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7.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https://clearesult5.sharepoint.com/sites/MidAtlanticEngineering/Shared Documents/PPL/Phase 5/Calculators/"/>
    </mc:Choice>
  </mc:AlternateContent>
  <xr:revisionPtr revIDLastSave="310" documentId="8_{D2BFC7F5-E162-406F-BD56-7A13F47B2E34}" xr6:coauthVersionLast="47" xr6:coauthVersionMax="47" xr10:uidLastSave="{58A4690F-4F1A-4169-A832-953215E3A3BB}"/>
  <workbookProtection workbookAlgorithmName="SHA-512" workbookHashValue="LaXB7nJyeTH/bf4G2k7/4AZ5Bi75SXBtO5Tq7KHRxhQ0nmdge5GyaFkrtKB/sNSI7hadOZuS/ye1gkbuPllepw==" workbookSaltValue="EfBLZKqgFiXkCENXvPtk3A==" workbookSpinCount="100000" lockStructure="1"/>
  <bookViews>
    <workbookView xWindow="20370" yWindow="-120" windowWidth="29040" windowHeight="15720" tabRatio="922" firstSheet="4" activeTab="5" xr2:uid="{00000000-000D-0000-FFFF-FFFF00000000}"/>
  </bookViews>
  <sheets>
    <sheet name="Zip Code Lookup Table" sheetId="54" state="hidden" r:id="rId1"/>
    <sheet name="Methodology Part 1 " sheetId="30" state="hidden" r:id="rId2"/>
    <sheet name="Methodology Part 2" sheetId="31" state="hidden" r:id="rId3"/>
    <sheet name="Printable Report" sheetId="52" state="hidden" r:id="rId4"/>
    <sheet name="Instructions" sheetId="16" r:id="rId5"/>
    <sheet name="Project Summary" sheetId="37" r:id="rId6"/>
    <sheet name="Data Export" sheetId="49" state="hidden" r:id="rId7"/>
    <sheet name="Version Log" sheetId="29" state="hidden" r:id="rId8"/>
    <sheet name="Measure List" sheetId="53" state="hidden" r:id="rId9"/>
    <sheet name="Utility Admin" sheetId="60" state="hidden" r:id="rId10"/>
    <sheet name="Incentives" sheetId="57" state="hidden" r:id="rId11"/>
    <sheet name="Look Up Tables" sheetId="32" state="hidden" r:id="rId12"/>
    <sheet name="Sheet1" sheetId="55" state="hidden" r:id="rId13"/>
    <sheet name="High Eff Ref Freeze" sheetId="4" r:id="rId14"/>
    <sheet name="Evap Fan Motors" sheetId="33" r:id="rId15"/>
    <sheet name="Anti Sweat" sheetId="38" r:id="rId16"/>
    <sheet name="Float Control" sheetId="35" state="hidden" r:id="rId17"/>
    <sheet name="Fan Control" sheetId="34" r:id="rId18"/>
    <sheet name="Strip Curtains" sheetId="41" r:id="rId19"/>
    <sheet name="VS Ref Comp" sheetId="40" state="hidden" r:id="rId20"/>
    <sheet name="Coil Defrost" sheetId="39" r:id="rId21"/>
    <sheet name="Night Covers" sheetId="42" state="hidden" r:id="rId22"/>
    <sheet name="Auto Closer" sheetId="43" r:id="rId23"/>
    <sheet name="Door Replace Open2021" sheetId="47" state="hidden" r:id="rId24"/>
    <sheet name="Door Replace Open" sheetId="59" r:id="rId25"/>
    <sheet name="Adding Doors" sheetId="48" r:id="rId26"/>
    <sheet name="Door Gaskets" sheetId="44" state="hidden" r:id="rId27"/>
    <sheet name="Special Doors" sheetId="45" state="hidden" r:id="rId28"/>
    <sheet name="Pipe Insulation" sheetId="46" state="hidden" r:id="rId29"/>
    <sheet name="Cooler Shutoff" sheetId="58" state="hidden" r:id="rId30"/>
    <sheet name="Air Cooled Ref Condenser" sheetId="50" state="hidden" r:id="rId31"/>
    <sheet name="Refrigeration Economizer" sheetId="51" state="hidden" r:id="rId32"/>
  </sheets>
  <definedNames>
    <definedName name="_xlnm._FilterDatabase" localSheetId="0" hidden="1">'Zip Code Lookup Table'!$B$1:$D$2223</definedName>
    <definedName name="_Ref532989422" localSheetId="10">Incentives!$B$140</definedName>
    <definedName name="_Ref532989422" localSheetId="11">'Look Up Tables'!$B$140</definedName>
    <definedName name="ASHkwh">#REF!</definedName>
    <definedName name="Building_Type" localSheetId="3">#REF!</definedName>
    <definedName name="Calculation_Method_NC">#REF!</definedName>
    <definedName name="Can_Capacity" localSheetId="3">#REF!</definedName>
    <definedName name="CF">#REF!</definedName>
    <definedName name="Chiller_BuildingLocation">#REF!</definedName>
    <definedName name="Chiller_BuildingType">#REF!</definedName>
    <definedName name="Chiller_Facility_Types">#REF!</definedName>
    <definedName name="City">"Pittsburgh"</definedName>
    <definedName name="CL_Incentive" localSheetId="1">#REF!</definedName>
    <definedName name="CL_Incentive" localSheetId="2">#REF!</definedName>
    <definedName name="CL_Incentive">0.06</definedName>
    <definedName name="Cool_Type" localSheetId="3">#REF!</definedName>
    <definedName name="Cooled">#REF!</definedName>
    <definedName name="CR_Utility">'Utility Admin'!$E$3</definedName>
    <definedName name="CR_Utility_Alt">'Utility Admin'!$F$3</definedName>
    <definedName name="Custom_Lite_Incentive">#REF!</definedName>
    <definedName name="CustomLite_Incentive">0.06</definedName>
    <definedName name="dASH">#REF!</definedName>
    <definedName name="DeterminingElecCostsDoc">"Object 4"</definedName>
    <definedName name="DHP_BuildingLocation">#REF!</definedName>
    <definedName name="DHP_BuildingType">#REF!</definedName>
    <definedName name="DoorkW">#REF!</definedName>
    <definedName name="DoorkWh">#REF!</definedName>
    <definedName name="EFLH">#REF!</definedName>
    <definedName name="ElectricHeatCOP">#REF!</definedName>
    <definedName name="Facility_Types">#REF!</definedName>
    <definedName name="Heated">#REF!</definedName>
    <definedName name="HVAC_BuildingLocation">#REF!</definedName>
    <definedName name="Ice_Machine_Type" localSheetId="3">#REF!</definedName>
    <definedName name="Interior_or_Exterior">#REF!</definedName>
    <definedName name="KASH">#REF!</definedName>
    <definedName name="kW_Rate">'Project Summary'!$C$17</definedName>
    <definedName name="kWh_Rate">'Project Summary'!$C$16</definedName>
    <definedName name="Logo">IF('Utility Admin'!$E$3="PPL",  'Utility Admin'!$H$7:$L$15,   IF('Utility Admin'!$E$3 = "First Energy",'Utility Admin'!$H$27:$L$35,'Utility Admin'!$H$17:$L$25))</definedName>
    <definedName name="NC_Type" hidden="1">#REF!</definedName>
    <definedName name="No_of_Pans" localSheetId="3">#REF!</definedName>
    <definedName name="Opcos">#REF!</definedName>
    <definedName name="Pres_Incentive" localSheetId="1">#REF!</definedName>
    <definedName name="Pres_Incentive" localSheetId="2">#REF!</definedName>
    <definedName name="Presc_kW_Incentive">185</definedName>
    <definedName name="Presc_kWh_Incentive">0.1</definedName>
    <definedName name="Prescriptive_Incentive">#REF!</definedName>
    <definedName name="_xlnm.Print_Area" localSheetId="25">'Adding Doors'!$B$3:$F$22</definedName>
    <definedName name="_xlnm.Print_Area" localSheetId="15">'Anti Sweat'!$B$3:$G$22</definedName>
    <definedName name="_xlnm.Print_Area" localSheetId="22">'Auto Closer'!$B$3:$G$22</definedName>
    <definedName name="_xlnm.Print_Area" localSheetId="20">'Coil Defrost'!$B$3:$G$22</definedName>
    <definedName name="_xlnm.Print_Area" localSheetId="29">'Cooler Shutoff'!$B$3:$F$22</definedName>
    <definedName name="_xlnm.Print_Area" localSheetId="26">'Door Gaskets'!$B$3:$G$22</definedName>
    <definedName name="_xlnm.Print_Area" localSheetId="24">'Door Replace Open'!$B$3:$F$22</definedName>
    <definedName name="_xlnm.Print_Area" localSheetId="23">'Door Replace Open2021'!$B$3:$F$22</definedName>
    <definedName name="_xlnm.Print_Area" localSheetId="14">'Evap Fan Motors'!$B$3:$H$22</definedName>
    <definedName name="_xlnm.Print_Area" localSheetId="17">'Fan Control'!$B$3:$H$22</definedName>
    <definedName name="_xlnm.Print_Area" localSheetId="16">'Float Control'!$B$3:$G$22</definedName>
    <definedName name="_xlnm.Print_Area" localSheetId="13">'High Eff Ref Freeze'!$B$3:$H$22</definedName>
    <definedName name="_xlnm.Print_Area" localSheetId="21">'Night Covers'!$B$3:$J$22</definedName>
    <definedName name="_xlnm.Print_Area" localSheetId="28">'Pipe Insulation'!$B$3:$G$22</definedName>
    <definedName name="_xlnm.Print_Area" localSheetId="3">'Printable Report'!Print_Area_Dynamic</definedName>
    <definedName name="_xlnm.Print_Area" localSheetId="5">'Project Summary'!$B$3:$F$42</definedName>
    <definedName name="_xlnm.Print_Area" localSheetId="27">'Special Doors'!$B$3:$G$22</definedName>
    <definedName name="_xlnm.Print_Area" localSheetId="18">'Strip Curtains'!$B$3:$G$22</definedName>
    <definedName name="_xlnm.Print_Area" localSheetId="19">'VS Ref Comp'!$B$3:$H$22</definedName>
    <definedName name="Print_Area_Dynamic" localSheetId="3">OFFSET('Printable Report'!$C$1,0,0,2164-COUNTBLANK('Printable Report'!$D$1:$D$1026),11)</definedName>
    <definedName name="PRJ_Type" localSheetId="3">#REF!</definedName>
    <definedName name="PRJ_Type" hidden="1">#REF!</definedName>
    <definedName name="Proj_Type">#REF!</definedName>
    <definedName name="Project_Type">#REF!</definedName>
    <definedName name="ProjectCost">'Project Summary'!$C$12</definedName>
    <definedName name="Reporting_Categories">#REF!</definedName>
    <definedName name="ReportLogo">IF('Utility Admin'!$E$3="PPL", 'Utility Admin'!$O$7:$S$15,   IF('Utility Admin'!$E$3 = "First Energy",'Utility Admin'!$O$27:$S$35,'Utility Admin'!$O$17:$S$25))</definedName>
    <definedName name="Sector">#REF!</definedName>
    <definedName name="SqFt" localSheetId="3" hidden="1">#REF!</definedName>
    <definedName name="Uncooled">#REF!</definedName>
    <definedName name="Unheated">#REF!</definedName>
    <definedName name="xBaseValues">#REF!</definedName>
    <definedName name="xBuilding_Location">#REF!</definedName>
    <definedName name="xyAC_Cooling_EFLHs">#REF!</definedName>
    <definedName name="xyAFUE">#REF!</definedName>
    <definedName name="xyChiller_CFs">#REF!</definedName>
    <definedName name="xyChiller_Cooling_EFLHs">#REF!</definedName>
    <definedName name="xyDegreeDays">#REF!</definedName>
    <definedName name="xyDHP_Cooling_Baseline">#REF!</definedName>
    <definedName name="xyDHP_Heating_Baseline">#REF!</definedName>
    <definedName name="xyFree_Cooling_Hrs">#REF!</definedName>
    <definedName name="xyGRControls">#REF!</definedName>
    <definedName name="xyHeating_EFLHs">#REF!</definedName>
    <definedName name="xyHVAC_CFs">#REF!</definedName>
    <definedName name="xyInsulationValue">#REF!</definedName>
    <definedName name="xyNCEx" localSheetId="3" hidden="1">INDIRECT("'NC Exterior Lighting Only'!$B$4:$E$"&amp;COUNTA(#REF!)+3)</definedName>
    <definedName name="xyPumpEff">#REF!</definedName>
    <definedName name="y_ECM_VSD">#REF!</definedName>
    <definedName name="y_Location_of_Fan_Plugs">#REF!</definedName>
    <definedName name="yBuilding_Type_Chillers">#REF!</definedName>
    <definedName name="yBuilding_Type_HVAC">#REF!</definedName>
    <definedName name="yChiller_EER_base">#REF!</definedName>
    <definedName name="yChiller_MaxCapacity">#REF!</definedName>
    <definedName name="yChiller_MinCapacity">#REF!</definedName>
    <definedName name="yChiller_Type">#REF!</definedName>
    <definedName name="yControlTypes" hidden="1">#REF!</definedName>
    <definedName name="yCOP_base">#REF!</definedName>
    <definedName name="yCOP_PT_a">#REF!</definedName>
    <definedName name="yDHP_Cooling_BaseEqpmt">#REF!</definedName>
    <definedName name="YDHP_heating_BaseEqpmt">#REF!</definedName>
    <definedName name="yEER_base">#REF!</definedName>
    <definedName name="yEER_PT_a">#REF!</definedName>
    <definedName name="yEfficiencyKnown">#REF!</definedName>
    <definedName name="yER_Existence">#REF!</definedName>
    <definedName name="yFixedVariableSpeed">#REF!</definedName>
    <definedName name="yFixture_Code" hidden="1">#REF!</definedName>
    <definedName name="yFS_COP">#REF!</definedName>
    <definedName name="yFS_EqptType">#REF!</definedName>
    <definedName name="yFS_HSPF">#REF!</definedName>
    <definedName name="yFS_MaxCap">#REF!</definedName>
    <definedName name="yFS_MinCap">#REF!</definedName>
    <definedName name="yGeothermal_COP">#REF!</definedName>
    <definedName name="yGeothermal_EER">#REF!</definedName>
    <definedName name="yGeothermal_EOL_Eqpt">#REF!</definedName>
    <definedName name="yGeothermal_EqptType">#REF!</definedName>
    <definedName name="yGeothermal_ERExist">#REF!</definedName>
    <definedName name="yGeothermal_HSPF">#REF!</definedName>
    <definedName name="yGeothermal_MinCap">#REF!</definedName>
    <definedName name="yGeothermal_ProposedEqp">#REF!</definedName>
    <definedName name="yGeothermal_SEER">#REF!</definedName>
    <definedName name="yGeothermalMaxCap">#REF!</definedName>
    <definedName name="yGRControls_Helper">#REF!</definedName>
    <definedName name="yHSPF_base">#REF!</definedName>
    <definedName name="yHVAC_MaxCapacity">#REF!</definedName>
    <definedName name="yHVAC_MinCapacity">#REF!</definedName>
    <definedName name="yHVAC_Type">#REF!</definedName>
    <definedName name="yIEER_base">#REF!</definedName>
    <definedName name="yIPLV_base">#REF!</definedName>
    <definedName name="ykWperton_base">#REF!</definedName>
    <definedName name="yMotorSize">#REF!</definedName>
    <definedName name="yNCExArea" localSheetId="3" hidden="1">INDIRECT("'NC Exterior Lighting Only'!$B$4:$B$"&amp;COUNTA(#REF!)+3)</definedName>
    <definedName name="yOperating_Schedule">#REF!</definedName>
    <definedName name="yProject_Type">#REF!</definedName>
    <definedName name="ySEER_ba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3" i="49" l="1"/>
  <c r="I44" i="49"/>
  <c r="I45" i="49"/>
  <c r="I46" i="49"/>
  <c r="I47" i="49"/>
  <c r="I48" i="49"/>
  <c r="I49" i="49"/>
  <c r="I50" i="49"/>
  <c r="I51" i="49"/>
  <c r="I52" i="49"/>
  <c r="I33" i="49"/>
  <c r="I34" i="49"/>
  <c r="I35" i="49"/>
  <c r="I36" i="49"/>
  <c r="I37" i="49"/>
  <c r="I38" i="49"/>
  <c r="I39" i="49"/>
  <c r="I40" i="49"/>
  <c r="I41" i="49"/>
  <c r="I42" i="49"/>
  <c r="F24" i="37"/>
  <c r="B2" i="16" l="1"/>
  <c r="F3" i="60"/>
  <c r="R9" i="4"/>
  <c r="S9" i="4"/>
  <c r="U9" i="4"/>
  <c r="T9" i="4"/>
  <c r="R10" i="4"/>
  <c r="S10" i="4"/>
  <c r="U10" i="4"/>
  <c r="T10" i="4"/>
  <c r="R11" i="4"/>
  <c r="S11" i="4"/>
  <c r="T11" i="4"/>
  <c r="R12" i="4"/>
  <c r="S12" i="4"/>
  <c r="U12" i="4"/>
  <c r="T12" i="4"/>
  <c r="R13" i="4"/>
  <c r="S13" i="4"/>
  <c r="U13" i="4"/>
  <c r="T13" i="4"/>
  <c r="R14" i="4"/>
  <c r="S14" i="4"/>
  <c r="U14" i="4"/>
  <c r="T14" i="4"/>
  <c r="R15" i="4"/>
  <c r="S15" i="4"/>
  <c r="U15" i="4"/>
  <c r="T15" i="4"/>
  <c r="R16" i="4"/>
  <c r="S16" i="4"/>
  <c r="U16" i="4"/>
  <c r="T16" i="4"/>
  <c r="R17" i="4"/>
  <c r="S17" i="4"/>
  <c r="U17" i="4"/>
  <c r="T17" i="4"/>
  <c r="T8" i="4"/>
  <c r="S8" i="4"/>
  <c r="R8" i="4"/>
  <c r="R8" i="35"/>
  <c r="D23" i="37"/>
  <c r="L9" i="46"/>
  <c r="M9" i="46"/>
  <c r="N9" i="46"/>
  <c r="L10" i="46"/>
  <c r="M10" i="46"/>
  <c r="N10" i="46"/>
  <c r="L11" i="46"/>
  <c r="M11" i="46"/>
  <c r="N11" i="46"/>
  <c r="L12" i="46"/>
  <c r="M12" i="46"/>
  <c r="N12" i="46"/>
  <c r="L13" i="46"/>
  <c r="M13" i="46"/>
  <c r="N13" i="46"/>
  <c r="L14" i="46"/>
  <c r="M14" i="46"/>
  <c r="N14" i="46"/>
  <c r="L15" i="46"/>
  <c r="M15" i="46"/>
  <c r="N15" i="46"/>
  <c r="L16" i="46"/>
  <c r="M16" i="46"/>
  <c r="N16" i="46"/>
  <c r="L17" i="46"/>
  <c r="M17" i="46"/>
  <c r="N17" i="46"/>
  <c r="N8" i="46"/>
  <c r="M8" i="46"/>
  <c r="L8" i="46"/>
  <c r="U11" i="4"/>
  <c r="O14" i="46"/>
  <c r="O10" i="46"/>
  <c r="O15" i="46"/>
  <c r="O11" i="46"/>
  <c r="O16" i="46"/>
  <c r="O12" i="46"/>
  <c r="O17" i="46"/>
  <c r="O13" i="46"/>
  <c r="O9" i="46"/>
  <c r="V8" i="59"/>
  <c r="U8" i="59"/>
  <c r="L9" i="43"/>
  <c r="M9" i="43"/>
  <c r="N9" i="43"/>
  <c r="L10" i="43"/>
  <c r="M10" i="43"/>
  <c r="N10" i="43"/>
  <c r="L11" i="43"/>
  <c r="M11" i="43"/>
  <c r="N11" i="43"/>
  <c r="L12" i="43"/>
  <c r="M12" i="43"/>
  <c r="N12" i="43"/>
  <c r="L13" i="43"/>
  <c r="M13" i="43"/>
  <c r="N13" i="43"/>
  <c r="L14" i="43"/>
  <c r="M14" i="43"/>
  <c r="N14" i="43"/>
  <c r="L15" i="43"/>
  <c r="M15" i="43"/>
  <c r="N15" i="43"/>
  <c r="L16" i="43"/>
  <c r="M16" i="43"/>
  <c r="N16" i="43"/>
  <c r="L17" i="43"/>
  <c r="M17" i="43"/>
  <c r="N17" i="43"/>
  <c r="N8" i="43"/>
  <c r="M8" i="43"/>
  <c r="L8" i="43"/>
  <c r="R9" i="42"/>
  <c r="R10" i="42"/>
  <c r="R11" i="42"/>
  <c r="R12" i="42"/>
  <c r="R13" i="42"/>
  <c r="R14" i="42"/>
  <c r="R15" i="42"/>
  <c r="R16" i="42"/>
  <c r="R17" i="42"/>
  <c r="S9" i="42"/>
  <c r="T9" i="42"/>
  <c r="E28" i="37"/>
  <c r="S10" i="42"/>
  <c r="T10" i="42"/>
  <c r="S11" i="42"/>
  <c r="T11" i="42"/>
  <c r="S12" i="42"/>
  <c r="T12" i="42"/>
  <c r="S13" i="42"/>
  <c r="T13" i="42"/>
  <c r="S14" i="42"/>
  <c r="T14" i="42"/>
  <c r="S15" i="42"/>
  <c r="T15" i="42"/>
  <c r="S16" i="42"/>
  <c r="T16" i="42"/>
  <c r="S17" i="42"/>
  <c r="T17" i="42"/>
  <c r="T8" i="42"/>
  <c r="S8" i="42"/>
  <c r="D28" i="37"/>
  <c r="R8" i="42"/>
  <c r="J9" i="41"/>
  <c r="K9" i="41"/>
  <c r="M9" i="41"/>
  <c r="L9" i="41"/>
  <c r="J10" i="41"/>
  <c r="K10" i="41"/>
  <c r="M10" i="41"/>
  <c r="L10" i="41"/>
  <c r="J11" i="41"/>
  <c r="K11" i="41"/>
  <c r="M11" i="41"/>
  <c r="L11" i="41"/>
  <c r="J12" i="41"/>
  <c r="K12" i="41"/>
  <c r="M12" i="41"/>
  <c r="L12" i="41"/>
  <c r="J13" i="41"/>
  <c r="K13" i="41"/>
  <c r="M13" i="41"/>
  <c r="L13" i="41"/>
  <c r="J14" i="41"/>
  <c r="K14" i="41"/>
  <c r="M14" i="41"/>
  <c r="L14" i="41"/>
  <c r="J15" i="41"/>
  <c r="K15" i="41"/>
  <c r="M15" i="41"/>
  <c r="L15" i="41"/>
  <c r="J16" i="41"/>
  <c r="K16" i="41"/>
  <c r="M16" i="41"/>
  <c r="L16" i="41"/>
  <c r="J17" i="41"/>
  <c r="K17" i="41"/>
  <c r="M17" i="41"/>
  <c r="L17" i="41"/>
  <c r="L8" i="41"/>
  <c r="K8" i="41"/>
  <c r="J8" i="41"/>
  <c r="N10" i="33"/>
  <c r="N11" i="33"/>
  <c r="N12" i="33"/>
  <c r="N13" i="33"/>
  <c r="N14" i="33"/>
  <c r="N15" i="33"/>
  <c r="N16" i="33"/>
  <c r="N17" i="33"/>
  <c r="N9" i="33"/>
  <c r="D30" i="37"/>
  <c r="E30" i="37"/>
  <c r="C30" i="37"/>
  <c r="C6" i="57"/>
  <c r="C5" i="57"/>
  <c r="C4" i="57"/>
  <c r="L13" i="35"/>
  <c r="L14" i="35"/>
  <c r="L15" i="35"/>
  <c r="L16" i="35"/>
  <c r="L17" i="35"/>
  <c r="L8" i="35"/>
  <c r="L9" i="35"/>
  <c r="L10" i="35"/>
  <c r="L11" i="35"/>
  <c r="L12" i="35"/>
  <c r="M9" i="35"/>
  <c r="O9" i="35"/>
  <c r="M10" i="35"/>
  <c r="O10" i="35"/>
  <c r="M11" i="35"/>
  <c r="O11" i="35"/>
  <c r="M12" i="35"/>
  <c r="O12" i="35"/>
  <c r="M13" i="35"/>
  <c r="O13" i="35"/>
  <c r="M14" i="35"/>
  <c r="O14" i="35"/>
  <c r="M15" i="35"/>
  <c r="O15" i="35"/>
  <c r="M16" i="35"/>
  <c r="O16" i="35"/>
  <c r="M17" i="35"/>
  <c r="O17" i="35"/>
  <c r="M8" i="35"/>
  <c r="O16" i="43"/>
  <c r="O12" i="43"/>
  <c r="O17" i="43"/>
  <c r="O13" i="43"/>
  <c r="O9" i="43"/>
  <c r="O14" i="43"/>
  <c r="O10" i="43"/>
  <c r="O15" i="43"/>
  <c r="O11" i="43"/>
  <c r="I9" i="45"/>
  <c r="I10" i="45"/>
  <c r="I11" i="45"/>
  <c r="I12" i="45"/>
  <c r="I13" i="45"/>
  <c r="I14" i="45"/>
  <c r="I15" i="45"/>
  <c r="I16" i="45"/>
  <c r="I17" i="45"/>
  <c r="I8" i="45"/>
  <c r="L9" i="45"/>
  <c r="L10" i="45"/>
  <c r="L11" i="45"/>
  <c r="L12" i="45"/>
  <c r="L13" i="45"/>
  <c r="L14" i="45"/>
  <c r="L15" i="45"/>
  <c r="L16" i="45"/>
  <c r="L17" i="45"/>
  <c r="L8" i="45"/>
  <c r="K9" i="45"/>
  <c r="K10" i="45"/>
  <c r="K11" i="45"/>
  <c r="K12" i="45"/>
  <c r="K13" i="45"/>
  <c r="K14" i="45"/>
  <c r="K15" i="45"/>
  <c r="K16" i="45"/>
  <c r="K17" i="45"/>
  <c r="K8" i="45"/>
  <c r="L9" i="39"/>
  <c r="L10" i="39"/>
  <c r="L11" i="39"/>
  <c r="L12" i="39"/>
  <c r="L13" i="39"/>
  <c r="L14" i="39"/>
  <c r="L15" i="39"/>
  <c r="L16" i="39"/>
  <c r="L17" i="39"/>
  <c r="L8" i="39"/>
  <c r="M8" i="39"/>
  <c r="M9" i="39"/>
  <c r="D25" i="37"/>
  <c r="M10" i="39"/>
  <c r="N10" i="39"/>
  <c r="N11" i="39"/>
  <c r="M11" i="39"/>
  <c r="M12" i="39"/>
  <c r="N12" i="39"/>
  <c r="M13" i="39"/>
  <c r="N13" i="39"/>
  <c r="M14" i="39"/>
  <c r="N14" i="39"/>
  <c r="M15" i="39"/>
  <c r="N15" i="39"/>
  <c r="M16" i="39"/>
  <c r="M17" i="39"/>
  <c r="N17" i="39"/>
  <c r="N8" i="39"/>
  <c r="O14" i="38"/>
  <c r="O16" i="38"/>
  <c r="N14" i="38"/>
  <c r="N16" i="38"/>
  <c r="M9" i="38"/>
  <c r="O9" i="38"/>
  <c r="M10" i="38"/>
  <c r="O10" i="38"/>
  <c r="M11" i="38"/>
  <c r="O11" i="38"/>
  <c r="M12" i="38"/>
  <c r="O12" i="38"/>
  <c r="M13" i="38"/>
  <c r="N13" i="38"/>
  <c r="M14" i="38"/>
  <c r="M15" i="38"/>
  <c r="O15" i="38"/>
  <c r="M16" i="38"/>
  <c r="M17" i="38"/>
  <c r="O17" i="38"/>
  <c r="M8" i="38"/>
  <c r="O8" i="39"/>
  <c r="E25" i="37"/>
  <c r="N15" i="38"/>
  <c r="N17" i="38"/>
  <c r="O11" i="39"/>
  <c r="O12" i="39"/>
  <c r="O13" i="39"/>
  <c r="O10" i="39"/>
  <c r="O15" i="39"/>
  <c r="O14" i="39"/>
  <c r="O13" i="38"/>
  <c r="C24" i="37"/>
  <c r="O8" i="38"/>
  <c r="E24" i="37"/>
  <c r="N8" i="38"/>
  <c r="N12" i="38"/>
  <c r="N11" i="38"/>
  <c r="N10" i="38"/>
  <c r="N9" i="38"/>
  <c r="N9" i="39"/>
  <c r="O9" i="39"/>
  <c r="N16" i="39"/>
  <c r="O16" i="39"/>
  <c r="D24" i="37"/>
  <c r="D27" i="37"/>
  <c r="E27" i="37"/>
  <c r="N15" i="42" a="1"/>
  <c r="N15" i="42"/>
  <c r="M15" i="42" a="1"/>
  <c r="M15" i="42"/>
  <c r="M17" i="59" a="1"/>
  <c r="M17" i="59"/>
  <c r="M16" i="59" a="1"/>
  <c r="M16" i="59"/>
  <c r="M15" i="59" a="1"/>
  <c r="M15" i="59"/>
  <c r="M14" i="59" a="1"/>
  <c r="M14" i="59"/>
  <c r="M13" i="59" a="1"/>
  <c r="M13" i="59"/>
  <c r="M12" i="59" a="1"/>
  <c r="M12" i="59"/>
  <c r="M11" i="59" a="1"/>
  <c r="M11" i="59"/>
  <c r="M10" i="59" a="1"/>
  <c r="M10" i="59"/>
  <c r="M9" i="59" a="1"/>
  <c r="M9" i="59"/>
  <c r="S9" i="59" a="1"/>
  <c r="S9" i="59"/>
  <c r="V9" i="59"/>
  <c r="M8" i="59" a="1"/>
  <c r="M8" i="59"/>
  <c r="F252" i="32"/>
  <c r="F251" i="32"/>
  <c r="U9" i="42"/>
  <c r="U10" i="42"/>
  <c r="U11" i="42"/>
  <c r="U12" i="42"/>
  <c r="U13" i="42"/>
  <c r="U14" i="42"/>
  <c r="U15" i="42"/>
  <c r="U16" i="42"/>
  <c r="U17" i="42"/>
  <c r="M9" i="42" a="1"/>
  <c r="M9" i="42"/>
  <c r="M10" i="42" a="1"/>
  <c r="M10" i="42"/>
  <c r="M11" i="42" a="1"/>
  <c r="M11" i="42"/>
  <c r="M12" i="42" a="1"/>
  <c r="M12" i="42"/>
  <c r="M13" i="42" a="1"/>
  <c r="M13" i="42"/>
  <c r="M14" i="42" a="1"/>
  <c r="M14" i="42"/>
  <c r="M16" i="42" a="1"/>
  <c r="M16" i="42"/>
  <c r="M17" i="42" a="1"/>
  <c r="M17" i="42"/>
  <c r="N9" i="42" a="1"/>
  <c r="N9" i="42"/>
  <c r="N10" i="42" a="1"/>
  <c r="N10" i="42"/>
  <c r="N11" i="42" a="1"/>
  <c r="N11" i="42"/>
  <c r="N12" i="42" a="1"/>
  <c r="N12" i="42"/>
  <c r="N13" i="42" a="1"/>
  <c r="N13" i="42"/>
  <c r="N14" i="42" a="1"/>
  <c r="N14" i="42"/>
  <c r="N16" i="42" a="1"/>
  <c r="N16" i="42"/>
  <c r="N17" i="42" a="1"/>
  <c r="N17" i="42"/>
  <c r="N8" i="42" a="1"/>
  <c r="N8" i="42"/>
  <c r="M8" i="42" a="1"/>
  <c r="M8" i="42"/>
  <c r="N9" i="48" a="1"/>
  <c r="N9" i="48"/>
  <c r="W9" i="48" a="1"/>
  <c r="W9" i="48"/>
  <c r="Z9" i="48"/>
  <c r="N10" i="48" a="1"/>
  <c r="N10" i="48"/>
  <c r="W10" i="48" a="1"/>
  <c r="W10" i="48"/>
  <c r="Z10" i="48"/>
  <c r="N11" i="48" a="1"/>
  <c r="N11" i="48"/>
  <c r="V11" i="48" a="1"/>
  <c r="V11" i="48"/>
  <c r="Y11" i="48"/>
  <c r="N12" i="48" a="1"/>
  <c r="N12" i="48"/>
  <c r="V12" i="48" a="1"/>
  <c r="V12" i="48"/>
  <c r="Y12" i="48"/>
  <c r="N13" i="48" a="1"/>
  <c r="N13" i="48"/>
  <c r="V13" i="48" a="1"/>
  <c r="V13" i="48"/>
  <c r="Y13" i="48"/>
  <c r="N14" i="48" a="1"/>
  <c r="N14" i="48"/>
  <c r="W14" i="48" a="1"/>
  <c r="W14" i="48"/>
  <c r="Z14" i="48"/>
  <c r="N15" i="48" a="1"/>
  <c r="N15" i="48"/>
  <c r="W15" i="48" a="1"/>
  <c r="W15" i="48"/>
  <c r="Z15" i="48"/>
  <c r="N16" i="48" a="1"/>
  <c r="N16" i="48"/>
  <c r="W16" i="48" a="1"/>
  <c r="W16" i="48"/>
  <c r="Z16" i="48"/>
  <c r="N17" i="48" a="1"/>
  <c r="N17" i="48"/>
  <c r="W17" i="48" a="1"/>
  <c r="W17" i="48"/>
  <c r="Z17" i="48"/>
  <c r="N8" i="48" a="1"/>
  <c r="N8" i="48"/>
  <c r="O9" i="40"/>
  <c r="O10" i="40"/>
  <c r="O11" i="40"/>
  <c r="O12" i="40"/>
  <c r="O13" i="40"/>
  <c r="O14" i="40"/>
  <c r="O15" i="40"/>
  <c r="O16" i="40"/>
  <c r="O17" i="40"/>
  <c r="O8" i="40"/>
  <c r="Q9" i="58"/>
  <c r="R9" i="58"/>
  <c r="S9" i="58"/>
  <c r="Q10" i="58"/>
  <c r="R10" i="58"/>
  <c r="S10" i="58"/>
  <c r="Q11" i="58"/>
  <c r="R11" i="58"/>
  <c r="S11" i="58"/>
  <c r="Q12" i="58"/>
  <c r="R12" i="58"/>
  <c r="S12" i="58"/>
  <c r="Q13" i="58"/>
  <c r="R13" i="58"/>
  <c r="S13" i="58"/>
  <c r="Q14" i="58"/>
  <c r="R14" i="58"/>
  <c r="S14" i="58"/>
  <c r="Q15" i="58"/>
  <c r="R15" i="58"/>
  <c r="S15" i="58"/>
  <c r="Q16" i="58"/>
  <c r="R16" i="58"/>
  <c r="S16" i="58"/>
  <c r="Q17" i="58"/>
  <c r="R17" i="58"/>
  <c r="T17" i="58"/>
  <c r="S17" i="58"/>
  <c r="S8" i="58"/>
  <c r="Q8" i="58"/>
  <c r="R8" i="58"/>
  <c r="W12" i="48" a="1"/>
  <c r="W12" i="48"/>
  <c r="Z12" i="48"/>
  <c r="AA12" i="48"/>
  <c r="W13" i="48" a="1"/>
  <c r="W13" i="48"/>
  <c r="Z13" i="48"/>
  <c r="AA13" i="48"/>
  <c r="V10" i="48" a="1"/>
  <c r="V10" i="48"/>
  <c r="Y10" i="48"/>
  <c r="AA10" i="48"/>
  <c r="W11" i="48" a="1"/>
  <c r="W11" i="48"/>
  <c r="Z11" i="48"/>
  <c r="AA11" i="48"/>
  <c r="O8" i="42"/>
  <c r="C28" i="37"/>
  <c r="O17" i="42"/>
  <c r="V8" i="48" a="1"/>
  <c r="V8" i="48"/>
  <c r="Y8" i="48"/>
  <c r="W8" i="48" a="1"/>
  <c r="W8" i="48"/>
  <c r="Z8" i="48"/>
  <c r="R9" i="59" a="1"/>
  <c r="R9" i="59"/>
  <c r="U9" i="59"/>
  <c r="V17" i="48" a="1"/>
  <c r="V17" i="48"/>
  <c r="Y17" i="48"/>
  <c r="AA17" i="48"/>
  <c r="T11" i="58"/>
  <c r="T14" i="58"/>
  <c r="V15" i="48" a="1"/>
  <c r="V15" i="48"/>
  <c r="Y15" i="48"/>
  <c r="AA15" i="48"/>
  <c r="V16" i="48" a="1"/>
  <c r="V16" i="48"/>
  <c r="Y16" i="48"/>
  <c r="AA16" i="48"/>
  <c r="V14" i="48" a="1"/>
  <c r="V14" i="48"/>
  <c r="Y14" i="48"/>
  <c r="AA14" i="48"/>
  <c r="V9" i="48" a="1"/>
  <c r="V9" i="48"/>
  <c r="Y9" i="48"/>
  <c r="AA9" i="48"/>
  <c r="R16" i="59" a="1"/>
  <c r="R16" i="59"/>
  <c r="U16" i="59"/>
  <c r="S16" i="59" a="1"/>
  <c r="S16" i="59"/>
  <c r="V16" i="59"/>
  <c r="S11" i="59" a="1"/>
  <c r="S11" i="59"/>
  <c r="V11" i="59"/>
  <c r="R11" i="59" a="1"/>
  <c r="R11" i="59"/>
  <c r="U11" i="59"/>
  <c r="R8" i="59" a="1"/>
  <c r="R8" i="59"/>
  <c r="S8" i="59" a="1"/>
  <c r="S8" i="59"/>
  <c r="S12" i="59" a="1"/>
  <c r="S12" i="59"/>
  <c r="V12" i="59"/>
  <c r="R12" i="59" a="1"/>
  <c r="R12" i="59"/>
  <c r="U12" i="59"/>
  <c r="S17" i="59" a="1"/>
  <c r="S17" i="59"/>
  <c r="V17" i="59"/>
  <c r="R17" i="59" a="1"/>
  <c r="R17" i="59"/>
  <c r="U17" i="59"/>
  <c r="S15" i="59" a="1"/>
  <c r="S15" i="59"/>
  <c r="V15" i="59"/>
  <c r="R15" i="59" a="1"/>
  <c r="R15" i="59"/>
  <c r="U15" i="59"/>
  <c r="S10" i="59" a="1"/>
  <c r="S10" i="59"/>
  <c r="V10" i="59"/>
  <c r="R10" i="59" a="1"/>
  <c r="R10" i="59"/>
  <c r="U10" i="59"/>
  <c r="S14" i="59" a="1"/>
  <c r="S14" i="59"/>
  <c r="V14" i="59"/>
  <c r="R14" i="59" a="1"/>
  <c r="R14" i="59"/>
  <c r="U14" i="59"/>
  <c r="S13" i="59" a="1"/>
  <c r="S13" i="59"/>
  <c r="V13" i="59"/>
  <c r="R13" i="59" a="1"/>
  <c r="R13" i="59"/>
  <c r="U13" i="59"/>
  <c r="O10" i="42"/>
  <c r="O15" i="42"/>
  <c r="O14" i="42"/>
  <c r="O12" i="42"/>
  <c r="O11" i="42"/>
  <c r="O16" i="42"/>
  <c r="O13" i="42"/>
  <c r="O9" i="42"/>
  <c r="T16" i="58"/>
  <c r="T13" i="58"/>
  <c r="T15" i="58"/>
  <c r="T10" i="58"/>
  <c r="T9" i="58"/>
  <c r="T12" i="58"/>
  <c r="T8" i="58"/>
  <c r="Q9" i="40"/>
  <c r="Q10" i="40"/>
  <c r="R10" i="40"/>
  <c r="Q11" i="40"/>
  <c r="Q12" i="40"/>
  <c r="Q13" i="40"/>
  <c r="R13" i="40"/>
  <c r="Q14" i="40"/>
  <c r="Q15" i="40"/>
  <c r="Q16" i="40"/>
  <c r="Q17" i="40"/>
  <c r="Q8" i="40"/>
  <c r="P9" i="40"/>
  <c r="P10" i="40"/>
  <c r="P11" i="40"/>
  <c r="P12" i="40"/>
  <c r="P13" i="40"/>
  <c r="P14" i="40"/>
  <c r="P15" i="40"/>
  <c r="P16" i="40"/>
  <c r="P17" i="40"/>
  <c r="P8" i="40"/>
  <c r="R8" i="40" s="1"/>
  <c r="C27" i="37"/>
  <c r="R9" i="35"/>
  <c r="R10" i="35"/>
  <c r="R11" i="35"/>
  <c r="R12" i="35"/>
  <c r="R13" i="35"/>
  <c r="R14" i="35"/>
  <c r="R15" i="35"/>
  <c r="R16" i="35"/>
  <c r="R17" i="35"/>
  <c r="B130" i="32"/>
  <c r="B131" i="32"/>
  <c r="B132" i="32"/>
  <c r="B133" i="32"/>
  <c r="B134" i="32"/>
  <c r="B135" i="32"/>
  <c r="B136" i="32"/>
  <c r="B137" i="32"/>
  <c r="B138" i="32"/>
  <c r="B129" i="32"/>
  <c r="U17" i="58"/>
  <c r="W16" i="59"/>
  <c r="E33" i="37"/>
  <c r="W13" i="59"/>
  <c r="W10" i="59"/>
  <c r="W17" i="59"/>
  <c r="D33" i="37"/>
  <c r="W9" i="59"/>
  <c r="W14" i="59"/>
  <c r="W15" i="59"/>
  <c r="W12" i="59"/>
  <c r="W11" i="59"/>
  <c r="E26" i="37"/>
  <c r="D26" i="37"/>
  <c r="R12" i="40"/>
  <c r="R15" i="40"/>
  <c r="R11" i="40"/>
  <c r="U8" i="58"/>
  <c r="U15" i="58"/>
  <c r="U12" i="58"/>
  <c r="U13" i="58"/>
  <c r="U14" i="58"/>
  <c r="U11" i="58"/>
  <c r="U9" i="58"/>
  <c r="U16" i="58"/>
  <c r="U10" i="58"/>
  <c r="P12" i="38"/>
  <c r="T12" i="38"/>
  <c r="P11" i="38"/>
  <c r="T11" i="38"/>
  <c r="P8" i="38"/>
  <c r="T8" i="38"/>
  <c r="W8" i="59"/>
  <c r="M8" i="41"/>
  <c r="O17" i="39"/>
  <c r="R17" i="40"/>
  <c r="R16" i="40"/>
  <c r="R9" i="40"/>
  <c r="P14" i="38"/>
  <c r="T14" i="38"/>
  <c r="P9" i="38"/>
  <c r="T9" i="38"/>
  <c r="P17" i="38"/>
  <c r="T17" i="38"/>
  <c r="R14" i="40"/>
  <c r="P16" i="38"/>
  <c r="T16" i="38"/>
  <c r="P15" i="38"/>
  <c r="T15" i="38"/>
  <c r="F33" i="37"/>
  <c r="P10" i="38"/>
  <c r="T10" i="38"/>
  <c r="P13" i="38"/>
  <c r="T13" i="38"/>
  <c r="C10" i="37"/>
  <c r="A2" i="54"/>
  <c r="A3" i="54"/>
  <c r="A4" i="54"/>
  <c r="A5" i="54"/>
  <c r="A6" i="54"/>
  <c r="A7" i="54"/>
  <c r="A8" i="54"/>
  <c r="A9" i="54"/>
  <c r="A10" i="54"/>
  <c r="A11" i="54"/>
  <c r="A12" i="54"/>
  <c r="A13" i="54"/>
  <c r="A14" i="54"/>
  <c r="A15" i="54"/>
  <c r="A16" i="54"/>
  <c r="A17" i="54"/>
  <c r="A18" i="54"/>
  <c r="A19" i="54"/>
  <c r="A20" i="54"/>
  <c r="A21" i="54"/>
  <c r="A22" i="54"/>
  <c r="A23" i="54"/>
  <c r="A24" i="54"/>
  <c r="A25" i="54"/>
  <c r="A26" i="54"/>
  <c r="A27" i="54"/>
  <c r="A28" i="54"/>
  <c r="A29" i="54"/>
  <c r="A30" i="54"/>
  <c r="A31" i="54"/>
  <c r="A32" i="54"/>
  <c r="A33" i="54"/>
  <c r="A34" i="54"/>
  <c r="A35" i="54"/>
  <c r="A36" i="54"/>
  <c r="A37" i="54"/>
  <c r="A38" i="54"/>
  <c r="A39" i="54"/>
  <c r="A40" i="54"/>
  <c r="A41" i="54"/>
  <c r="A42" i="54"/>
  <c r="A43" i="54"/>
  <c r="A44" i="54"/>
  <c r="A45" i="54"/>
  <c r="A46" i="54"/>
  <c r="A47" i="54"/>
  <c r="A48" i="54"/>
  <c r="A49" i="54"/>
  <c r="A50" i="54"/>
  <c r="A51" i="54"/>
  <c r="A52" i="54"/>
  <c r="A53" i="54"/>
  <c r="A54" i="54"/>
  <c r="A55" i="54"/>
  <c r="A56" i="54"/>
  <c r="A57" i="54"/>
  <c r="A58" i="54"/>
  <c r="A59" i="54"/>
  <c r="A60" i="54"/>
  <c r="A61" i="54"/>
  <c r="A62" i="54"/>
  <c r="A63" i="54"/>
  <c r="A64" i="54"/>
  <c r="A65" i="54"/>
  <c r="A66" i="54"/>
  <c r="A67" i="54"/>
  <c r="A68" i="54"/>
  <c r="A69" i="54"/>
  <c r="A70" i="54"/>
  <c r="A71" i="54"/>
  <c r="A72" i="54"/>
  <c r="A73" i="54"/>
  <c r="A74" i="54"/>
  <c r="A75" i="54"/>
  <c r="A76" i="54"/>
  <c r="A77" i="54"/>
  <c r="A78" i="54"/>
  <c r="A79" i="54"/>
  <c r="A80" i="54"/>
  <c r="A81" i="54"/>
  <c r="A82" i="54"/>
  <c r="A83" i="54"/>
  <c r="A84" i="54"/>
  <c r="A85" i="54"/>
  <c r="A86" i="54"/>
  <c r="A87" i="54"/>
  <c r="A88" i="54"/>
  <c r="A89" i="54"/>
  <c r="A90" i="54"/>
  <c r="A91" i="54"/>
  <c r="A92" i="54"/>
  <c r="A93" i="54"/>
  <c r="A94" i="54"/>
  <c r="A95" i="54"/>
  <c r="A96" i="54"/>
  <c r="A97" i="54"/>
  <c r="A98" i="54"/>
  <c r="A99" i="54"/>
  <c r="A100" i="54"/>
  <c r="A101" i="54"/>
  <c r="A102" i="54"/>
  <c r="A103" i="54"/>
  <c r="A104" i="54"/>
  <c r="A105" i="54"/>
  <c r="A106" i="54"/>
  <c r="A107" i="54"/>
  <c r="A108" i="54"/>
  <c r="A109" i="54"/>
  <c r="A110" i="54"/>
  <c r="A111" i="54"/>
  <c r="A112" i="54"/>
  <c r="A113" i="54"/>
  <c r="A114" i="54"/>
  <c r="A115" i="54"/>
  <c r="A116" i="54"/>
  <c r="A117" i="54"/>
  <c r="A118" i="54"/>
  <c r="A119" i="54"/>
  <c r="A120" i="54"/>
  <c r="A121" i="54"/>
  <c r="A122" i="54"/>
  <c r="A123" i="54"/>
  <c r="A124" i="54"/>
  <c r="A125" i="54"/>
  <c r="A126" i="54"/>
  <c r="A127" i="54"/>
  <c r="A128" i="54"/>
  <c r="A129" i="54"/>
  <c r="A130" i="54"/>
  <c r="A131" i="54"/>
  <c r="A132" i="54"/>
  <c r="A133" i="54"/>
  <c r="A134" i="54"/>
  <c r="A135" i="54"/>
  <c r="A136" i="54"/>
  <c r="A137" i="54"/>
  <c r="A138" i="54"/>
  <c r="A139" i="54"/>
  <c r="A140" i="54"/>
  <c r="A141" i="54"/>
  <c r="A142" i="54"/>
  <c r="A143" i="54"/>
  <c r="A144" i="54"/>
  <c r="A145" i="54"/>
  <c r="A146" i="54"/>
  <c r="A147" i="54"/>
  <c r="A148" i="54"/>
  <c r="A149" i="54"/>
  <c r="A150" i="54"/>
  <c r="A151" i="54"/>
  <c r="A152" i="54"/>
  <c r="A153" i="54"/>
  <c r="A154" i="54"/>
  <c r="A155" i="54"/>
  <c r="A156" i="54"/>
  <c r="A157" i="54"/>
  <c r="A158" i="54"/>
  <c r="A159" i="54"/>
  <c r="A160" i="54"/>
  <c r="A161" i="54"/>
  <c r="A162" i="54"/>
  <c r="A163" i="54"/>
  <c r="A164" i="54"/>
  <c r="A165" i="54"/>
  <c r="A166" i="54"/>
  <c r="A167" i="54"/>
  <c r="A168" i="54"/>
  <c r="A169" i="54"/>
  <c r="A170" i="54"/>
  <c r="A171" i="54"/>
  <c r="A172" i="54"/>
  <c r="A173" i="54"/>
  <c r="A174" i="54"/>
  <c r="A175" i="54"/>
  <c r="A176" i="54"/>
  <c r="A177" i="54"/>
  <c r="A178" i="54"/>
  <c r="A179" i="54"/>
  <c r="A180" i="54"/>
  <c r="A181" i="54"/>
  <c r="A182" i="54"/>
  <c r="A183" i="54"/>
  <c r="A184" i="54"/>
  <c r="A185" i="54"/>
  <c r="A186" i="54"/>
  <c r="A187" i="54"/>
  <c r="A188" i="54"/>
  <c r="A189" i="54"/>
  <c r="A190" i="54"/>
  <c r="A191" i="54"/>
  <c r="A192" i="54"/>
  <c r="A193" i="54"/>
  <c r="A194" i="54"/>
  <c r="A195" i="54"/>
  <c r="A196" i="54"/>
  <c r="A197" i="54"/>
  <c r="A198" i="54"/>
  <c r="A199" i="54"/>
  <c r="A200" i="54"/>
  <c r="A201" i="54"/>
  <c r="A202" i="54"/>
  <c r="A203" i="54"/>
  <c r="A204" i="54"/>
  <c r="A205" i="54"/>
  <c r="A206" i="54"/>
  <c r="A207" i="54"/>
  <c r="A208" i="54"/>
  <c r="A209" i="54"/>
  <c r="A210" i="54"/>
  <c r="A211" i="54"/>
  <c r="A212" i="54"/>
  <c r="A213" i="54"/>
  <c r="A214" i="54"/>
  <c r="A215" i="54"/>
  <c r="A216" i="54"/>
  <c r="A217" i="54"/>
  <c r="A218" i="54"/>
  <c r="A219" i="54"/>
  <c r="A220" i="54"/>
  <c r="A221" i="54"/>
  <c r="A222" i="54"/>
  <c r="A223" i="54"/>
  <c r="A224" i="54"/>
  <c r="A225" i="54"/>
  <c r="A226" i="54"/>
  <c r="A227" i="54"/>
  <c r="A228" i="54"/>
  <c r="A229" i="54"/>
  <c r="A230" i="54"/>
  <c r="A231" i="54"/>
  <c r="A232" i="54"/>
  <c r="A233" i="54"/>
  <c r="A234" i="54"/>
  <c r="A235" i="54"/>
  <c r="A236" i="54"/>
  <c r="A237" i="54"/>
  <c r="A238" i="54"/>
  <c r="A239" i="54"/>
  <c r="A240" i="54"/>
  <c r="A241" i="54"/>
  <c r="A242" i="54"/>
  <c r="A243" i="54"/>
  <c r="A244" i="54"/>
  <c r="A245" i="54"/>
  <c r="A246" i="54"/>
  <c r="A247" i="54"/>
  <c r="A248" i="54"/>
  <c r="A249" i="54"/>
  <c r="A250" i="54"/>
  <c r="A251" i="54"/>
  <c r="A252" i="54"/>
  <c r="A253" i="54"/>
  <c r="A254" i="54"/>
  <c r="A255" i="54"/>
  <c r="A256" i="54"/>
  <c r="A257" i="54"/>
  <c r="A258" i="54"/>
  <c r="A259" i="54"/>
  <c r="A260" i="54"/>
  <c r="A261" i="54"/>
  <c r="A262" i="54"/>
  <c r="A263" i="54"/>
  <c r="A264" i="54"/>
  <c r="A265" i="54"/>
  <c r="A266" i="54"/>
  <c r="A267" i="54"/>
  <c r="A268" i="54"/>
  <c r="A269" i="54"/>
  <c r="A270" i="54"/>
  <c r="A271" i="54"/>
  <c r="A272" i="54"/>
  <c r="A273" i="54"/>
  <c r="A274" i="54"/>
  <c r="A275" i="54"/>
  <c r="A276" i="54"/>
  <c r="A277" i="54"/>
  <c r="A278" i="54"/>
  <c r="A279" i="54"/>
  <c r="A280" i="54"/>
  <c r="A281" i="54"/>
  <c r="A282" i="54"/>
  <c r="A283" i="54"/>
  <c r="A284" i="54"/>
  <c r="A285" i="54"/>
  <c r="A286" i="54"/>
  <c r="A287" i="54"/>
  <c r="A288" i="54"/>
  <c r="A289" i="54"/>
  <c r="A290" i="54"/>
  <c r="A291" i="54"/>
  <c r="A292" i="54"/>
  <c r="A293" i="54"/>
  <c r="A294" i="54"/>
  <c r="A295" i="54"/>
  <c r="A296" i="54"/>
  <c r="A297" i="54"/>
  <c r="A298" i="54"/>
  <c r="A299" i="54"/>
  <c r="A300" i="54"/>
  <c r="A301" i="54"/>
  <c r="A302" i="54"/>
  <c r="A303" i="54"/>
  <c r="A304" i="54"/>
  <c r="A305" i="54"/>
  <c r="A306" i="54"/>
  <c r="A307" i="54"/>
  <c r="A308" i="54"/>
  <c r="A309" i="54"/>
  <c r="A310" i="54"/>
  <c r="A311" i="54"/>
  <c r="A312" i="54"/>
  <c r="A313" i="54"/>
  <c r="A314" i="54"/>
  <c r="A315" i="54"/>
  <c r="A316" i="54"/>
  <c r="A317" i="54"/>
  <c r="A318" i="54"/>
  <c r="A319" i="54"/>
  <c r="A320" i="54"/>
  <c r="A321" i="54"/>
  <c r="A322" i="54"/>
  <c r="A323" i="54"/>
  <c r="A324" i="54"/>
  <c r="A325" i="54"/>
  <c r="A326" i="54"/>
  <c r="A327" i="54"/>
  <c r="A328" i="54"/>
  <c r="A329" i="54"/>
  <c r="A330" i="54"/>
  <c r="A331" i="54"/>
  <c r="A332" i="54"/>
  <c r="A333" i="54"/>
  <c r="A334" i="54"/>
  <c r="A335" i="54"/>
  <c r="A336" i="54"/>
  <c r="A337" i="54"/>
  <c r="A338" i="54"/>
  <c r="A339" i="54"/>
  <c r="A340" i="54"/>
  <c r="A341" i="54"/>
  <c r="A342" i="54"/>
  <c r="A343" i="54"/>
  <c r="A344" i="54"/>
  <c r="A345" i="54"/>
  <c r="A346" i="54"/>
  <c r="A347" i="54"/>
  <c r="A348" i="54"/>
  <c r="A349" i="54"/>
  <c r="A350" i="54"/>
  <c r="A351" i="54"/>
  <c r="A352" i="54"/>
  <c r="A353" i="54"/>
  <c r="A354" i="54"/>
  <c r="A355" i="54"/>
  <c r="A356" i="54"/>
  <c r="A357" i="54"/>
  <c r="A358" i="54"/>
  <c r="A359" i="54"/>
  <c r="A360" i="54"/>
  <c r="A361" i="54"/>
  <c r="A362" i="54"/>
  <c r="A363" i="54"/>
  <c r="A364" i="54"/>
  <c r="A365" i="54"/>
  <c r="A366" i="54"/>
  <c r="A367" i="54"/>
  <c r="A368" i="54"/>
  <c r="A369" i="54"/>
  <c r="A370" i="54"/>
  <c r="A371" i="54"/>
  <c r="A372" i="54"/>
  <c r="A373" i="54"/>
  <c r="A374" i="54"/>
  <c r="A375" i="54"/>
  <c r="A376" i="54"/>
  <c r="A377" i="54"/>
  <c r="A378" i="54"/>
  <c r="A379" i="54"/>
  <c r="A380" i="54"/>
  <c r="A381" i="54"/>
  <c r="A382" i="54"/>
  <c r="A383" i="54"/>
  <c r="A384" i="54"/>
  <c r="A385" i="54"/>
  <c r="A386" i="54"/>
  <c r="A387" i="54"/>
  <c r="A388" i="54"/>
  <c r="A389" i="54"/>
  <c r="A390" i="54"/>
  <c r="A391" i="54"/>
  <c r="A392" i="54"/>
  <c r="A393" i="54"/>
  <c r="A394" i="54"/>
  <c r="A395" i="54"/>
  <c r="A396" i="54"/>
  <c r="A397" i="54"/>
  <c r="A398" i="54"/>
  <c r="A399" i="54"/>
  <c r="A400" i="54"/>
  <c r="A401" i="54"/>
  <c r="A402" i="54"/>
  <c r="A403" i="54"/>
  <c r="A404" i="54"/>
  <c r="A405" i="54"/>
  <c r="A406" i="54"/>
  <c r="A407" i="54"/>
  <c r="A408" i="54"/>
  <c r="A409" i="54"/>
  <c r="A410" i="54"/>
  <c r="A411" i="54"/>
  <c r="A412" i="54"/>
  <c r="A413" i="54"/>
  <c r="A414" i="54"/>
  <c r="A415" i="54"/>
  <c r="A416" i="54"/>
  <c r="A417" i="54"/>
  <c r="A418" i="54"/>
  <c r="A419" i="54"/>
  <c r="A420" i="54"/>
  <c r="A421" i="54"/>
  <c r="A422" i="54"/>
  <c r="A423" i="54"/>
  <c r="A424" i="54"/>
  <c r="A425" i="54"/>
  <c r="A426" i="54"/>
  <c r="A427" i="54"/>
  <c r="A428" i="54"/>
  <c r="A429" i="54"/>
  <c r="A430" i="54"/>
  <c r="A431" i="54"/>
  <c r="A432" i="54"/>
  <c r="A433" i="54"/>
  <c r="A434" i="54"/>
  <c r="A435" i="54"/>
  <c r="A436" i="54"/>
  <c r="A437" i="54"/>
  <c r="A438" i="54"/>
  <c r="A439" i="54"/>
  <c r="A440" i="54"/>
  <c r="A441" i="54"/>
  <c r="A442" i="54"/>
  <c r="A443" i="54"/>
  <c r="A444" i="54"/>
  <c r="A445" i="54"/>
  <c r="A446" i="54"/>
  <c r="A447" i="54"/>
  <c r="A448" i="54"/>
  <c r="A449" i="54"/>
  <c r="A450" i="54"/>
  <c r="A451" i="54"/>
  <c r="A452" i="54"/>
  <c r="A453" i="54"/>
  <c r="A454" i="54"/>
  <c r="A455" i="54"/>
  <c r="A456" i="54"/>
  <c r="A457" i="54"/>
  <c r="A458" i="54"/>
  <c r="A459" i="54"/>
  <c r="A460" i="54"/>
  <c r="A461" i="54"/>
  <c r="A462" i="54"/>
  <c r="A463" i="54"/>
  <c r="A464" i="54"/>
  <c r="A465" i="54"/>
  <c r="A466" i="54"/>
  <c r="A467" i="54"/>
  <c r="A468" i="54"/>
  <c r="A469" i="54"/>
  <c r="A470" i="54"/>
  <c r="A471" i="54"/>
  <c r="A472" i="54"/>
  <c r="A473" i="54"/>
  <c r="A474" i="54"/>
  <c r="A475" i="54"/>
  <c r="A476" i="54"/>
  <c r="A477" i="54"/>
  <c r="A478" i="54"/>
  <c r="A479" i="54"/>
  <c r="A480" i="54"/>
  <c r="A481" i="54"/>
  <c r="A482" i="54"/>
  <c r="A483" i="54"/>
  <c r="A484" i="54"/>
  <c r="A485" i="54"/>
  <c r="A486" i="54"/>
  <c r="A487" i="54"/>
  <c r="A488" i="54"/>
  <c r="A489" i="54"/>
  <c r="A490" i="54"/>
  <c r="A491" i="54"/>
  <c r="A492" i="54"/>
  <c r="A493" i="54"/>
  <c r="A494" i="54"/>
  <c r="A495" i="54"/>
  <c r="A496" i="54"/>
  <c r="A497" i="54"/>
  <c r="A498" i="54"/>
  <c r="A499" i="54"/>
  <c r="A500" i="54"/>
  <c r="A501" i="54"/>
  <c r="A502" i="54"/>
  <c r="A503" i="54"/>
  <c r="A504" i="54"/>
  <c r="A505" i="54"/>
  <c r="A506" i="54"/>
  <c r="A507" i="54"/>
  <c r="A508" i="54"/>
  <c r="A509" i="54"/>
  <c r="A510" i="54"/>
  <c r="A511" i="54"/>
  <c r="A512" i="54"/>
  <c r="A513" i="54"/>
  <c r="A514" i="54"/>
  <c r="A515" i="54"/>
  <c r="A516" i="54"/>
  <c r="A517" i="54"/>
  <c r="A518" i="54"/>
  <c r="A519" i="54"/>
  <c r="A520" i="54"/>
  <c r="A521" i="54"/>
  <c r="A522" i="54"/>
  <c r="A523" i="54"/>
  <c r="A524" i="54"/>
  <c r="A525" i="54"/>
  <c r="A526" i="54"/>
  <c r="A527" i="54"/>
  <c r="A528" i="54"/>
  <c r="A529" i="54"/>
  <c r="A530" i="54"/>
  <c r="A531" i="54"/>
  <c r="A532" i="54"/>
  <c r="A533" i="54"/>
  <c r="A534" i="54"/>
  <c r="A535" i="54"/>
  <c r="A536" i="54"/>
  <c r="A537" i="54"/>
  <c r="A538" i="54"/>
  <c r="A539" i="54"/>
  <c r="A540" i="54"/>
  <c r="A541" i="54"/>
  <c r="A542" i="54"/>
  <c r="A543" i="54"/>
  <c r="A544" i="54"/>
  <c r="A545" i="54"/>
  <c r="A546" i="54"/>
  <c r="A547" i="54"/>
  <c r="A548" i="54"/>
  <c r="A549" i="54"/>
  <c r="A550" i="54"/>
  <c r="A551" i="54"/>
  <c r="A552" i="54"/>
  <c r="A553" i="54"/>
  <c r="A554" i="54"/>
  <c r="A555" i="54"/>
  <c r="A556" i="54"/>
  <c r="A557" i="54"/>
  <c r="A558" i="54"/>
  <c r="A559" i="54"/>
  <c r="A560" i="54"/>
  <c r="A561" i="54"/>
  <c r="A562" i="54"/>
  <c r="A563" i="54"/>
  <c r="A564" i="54"/>
  <c r="A565" i="54"/>
  <c r="A566" i="54"/>
  <c r="A567" i="54"/>
  <c r="A568" i="54"/>
  <c r="A569" i="54"/>
  <c r="A570" i="54"/>
  <c r="A571" i="54"/>
  <c r="A572" i="54"/>
  <c r="A573" i="54"/>
  <c r="A574" i="54"/>
  <c r="A575" i="54"/>
  <c r="A576" i="54"/>
  <c r="A577" i="54"/>
  <c r="A578" i="54"/>
  <c r="A579" i="54"/>
  <c r="A580" i="54"/>
  <c r="A581" i="54"/>
  <c r="A582" i="54"/>
  <c r="A583" i="54"/>
  <c r="A584" i="54"/>
  <c r="A585" i="54"/>
  <c r="A586" i="54"/>
  <c r="A587" i="54"/>
  <c r="A588" i="54"/>
  <c r="A589" i="54"/>
  <c r="A590" i="54"/>
  <c r="A591" i="54"/>
  <c r="A592" i="54"/>
  <c r="A593" i="54"/>
  <c r="A594" i="54"/>
  <c r="A595" i="54"/>
  <c r="A596" i="54"/>
  <c r="A597" i="54"/>
  <c r="A598" i="54"/>
  <c r="A599" i="54"/>
  <c r="A600" i="54"/>
  <c r="A601" i="54"/>
  <c r="A602" i="54"/>
  <c r="A603" i="54"/>
  <c r="A604" i="54"/>
  <c r="A605" i="54"/>
  <c r="A606" i="54"/>
  <c r="A607" i="54"/>
  <c r="A608" i="54"/>
  <c r="A609" i="54"/>
  <c r="A610" i="54"/>
  <c r="A611" i="54"/>
  <c r="A612" i="54"/>
  <c r="A613" i="54"/>
  <c r="A614" i="54"/>
  <c r="A615" i="54"/>
  <c r="A616" i="54"/>
  <c r="A617" i="54"/>
  <c r="A618" i="54"/>
  <c r="A619" i="54"/>
  <c r="A620" i="54"/>
  <c r="A621" i="54"/>
  <c r="A622" i="54"/>
  <c r="A623" i="54"/>
  <c r="A624" i="54"/>
  <c r="A625" i="54"/>
  <c r="A626" i="54"/>
  <c r="A627" i="54"/>
  <c r="A628" i="54"/>
  <c r="A629" i="54"/>
  <c r="A630" i="54"/>
  <c r="A631" i="54"/>
  <c r="A632" i="54"/>
  <c r="A633" i="54"/>
  <c r="A634" i="54"/>
  <c r="A635" i="54"/>
  <c r="A636" i="54"/>
  <c r="A637" i="54"/>
  <c r="A638" i="54"/>
  <c r="A639" i="54"/>
  <c r="A640" i="54"/>
  <c r="A641" i="54"/>
  <c r="A642" i="54"/>
  <c r="A643" i="54"/>
  <c r="A644" i="54"/>
  <c r="A645" i="54"/>
  <c r="A646" i="54"/>
  <c r="A647" i="54"/>
  <c r="A648" i="54"/>
  <c r="A649" i="54"/>
  <c r="A650" i="54"/>
  <c r="A651" i="54"/>
  <c r="A652" i="54"/>
  <c r="A653" i="54"/>
  <c r="A654" i="54"/>
  <c r="A655" i="54"/>
  <c r="A656" i="54"/>
  <c r="A657" i="54"/>
  <c r="A658" i="54"/>
  <c r="A659" i="54"/>
  <c r="A660" i="54"/>
  <c r="A661" i="54"/>
  <c r="A662" i="54"/>
  <c r="A663" i="54"/>
  <c r="A664" i="54"/>
  <c r="A665" i="54"/>
  <c r="A666" i="54"/>
  <c r="A667" i="54"/>
  <c r="A668" i="54"/>
  <c r="A669" i="54"/>
  <c r="A670" i="54"/>
  <c r="A671" i="54"/>
  <c r="A672" i="54"/>
  <c r="A673" i="54"/>
  <c r="A674" i="54"/>
  <c r="A675" i="54"/>
  <c r="A676" i="54"/>
  <c r="A677" i="54"/>
  <c r="A678" i="54"/>
  <c r="A679" i="54"/>
  <c r="A680" i="54"/>
  <c r="A681" i="54"/>
  <c r="A682" i="54"/>
  <c r="A683" i="54"/>
  <c r="A684" i="54"/>
  <c r="A685" i="54"/>
  <c r="A686" i="54"/>
  <c r="A687" i="54"/>
  <c r="A688" i="54"/>
  <c r="A689" i="54"/>
  <c r="A690" i="54"/>
  <c r="A691" i="54"/>
  <c r="A692" i="54"/>
  <c r="A693" i="54"/>
  <c r="A694" i="54"/>
  <c r="A695" i="54"/>
  <c r="A696" i="54"/>
  <c r="A697" i="54"/>
  <c r="A698" i="54"/>
  <c r="A699" i="54"/>
  <c r="A700" i="54"/>
  <c r="A701" i="54"/>
  <c r="A702" i="54"/>
  <c r="A703" i="54"/>
  <c r="A704" i="54"/>
  <c r="A705" i="54"/>
  <c r="A706" i="54"/>
  <c r="A707" i="54"/>
  <c r="A708" i="54"/>
  <c r="A709" i="54"/>
  <c r="A710" i="54"/>
  <c r="A711" i="54"/>
  <c r="A712" i="54"/>
  <c r="A713" i="54"/>
  <c r="A714" i="54"/>
  <c r="A715" i="54"/>
  <c r="A716" i="54"/>
  <c r="A717" i="54"/>
  <c r="A718" i="54"/>
  <c r="A719" i="54"/>
  <c r="A720" i="54"/>
  <c r="A721" i="54"/>
  <c r="A722" i="54"/>
  <c r="A723" i="54"/>
  <c r="A724" i="54"/>
  <c r="A725" i="54"/>
  <c r="A726" i="54"/>
  <c r="A727" i="54"/>
  <c r="A728" i="54"/>
  <c r="A729" i="54"/>
  <c r="A730" i="54"/>
  <c r="A731" i="54"/>
  <c r="A732" i="54"/>
  <c r="A733" i="54"/>
  <c r="A734" i="54"/>
  <c r="A735" i="54"/>
  <c r="A736" i="54"/>
  <c r="A737" i="54"/>
  <c r="A738" i="54"/>
  <c r="A739" i="54"/>
  <c r="A740" i="54"/>
  <c r="A741" i="54"/>
  <c r="A742" i="54"/>
  <c r="A743" i="54"/>
  <c r="A744" i="54"/>
  <c r="A745" i="54"/>
  <c r="A746" i="54"/>
  <c r="A747" i="54"/>
  <c r="A748" i="54"/>
  <c r="A749" i="54"/>
  <c r="A750" i="54"/>
  <c r="A751" i="54"/>
  <c r="A752" i="54"/>
  <c r="A753" i="54"/>
  <c r="A754" i="54"/>
  <c r="A755" i="54"/>
  <c r="A756" i="54"/>
  <c r="A757" i="54"/>
  <c r="A758" i="54"/>
  <c r="A759" i="54"/>
  <c r="A760" i="54"/>
  <c r="A761" i="54"/>
  <c r="A762" i="54"/>
  <c r="A763" i="54"/>
  <c r="A764" i="54"/>
  <c r="A765" i="54"/>
  <c r="A766" i="54"/>
  <c r="A767" i="54"/>
  <c r="A768" i="54"/>
  <c r="A769" i="54"/>
  <c r="A770" i="54"/>
  <c r="A771" i="54"/>
  <c r="A772" i="54"/>
  <c r="A773" i="54"/>
  <c r="A774" i="54"/>
  <c r="A775" i="54"/>
  <c r="A776" i="54"/>
  <c r="A777" i="54"/>
  <c r="A778" i="54"/>
  <c r="A779" i="54"/>
  <c r="A780" i="54"/>
  <c r="A781" i="54"/>
  <c r="A782" i="54"/>
  <c r="A783" i="54"/>
  <c r="A784" i="54"/>
  <c r="A785" i="54"/>
  <c r="A786" i="54"/>
  <c r="A787" i="54"/>
  <c r="A788" i="54"/>
  <c r="A789" i="54"/>
  <c r="A790" i="54"/>
  <c r="A791" i="54"/>
  <c r="A792" i="54"/>
  <c r="A793" i="54"/>
  <c r="A794" i="54"/>
  <c r="A795" i="54"/>
  <c r="A796" i="54"/>
  <c r="A797" i="54"/>
  <c r="A798" i="54"/>
  <c r="A799" i="54"/>
  <c r="A800" i="54"/>
  <c r="A801" i="54"/>
  <c r="A802" i="54"/>
  <c r="A803" i="54"/>
  <c r="A804" i="54"/>
  <c r="A805" i="54"/>
  <c r="A806" i="54"/>
  <c r="A807" i="54"/>
  <c r="A808" i="54"/>
  <c r="A809" i="54"/>
  <c r="A810" i="54"/>
  <c r="A811" i="54"/>
  <c r="A812" i="54"/>
  <c r="A813" i="54"/>
  <c r="A814" i="54"/>
  <c r="A815" i="54"/>
  <c r="A816" i="54"/>
  <c r="A817" i="54"/>
  <c r="A818" i="54"/>
  <c r="A819" i="54"/>
  <c r="A820" i="54"/>
  <c r="A821" i="54"/>
  <c r="A822" i="54"/>
  <c r="A823" i="54"/>
  <c r="A824" i="54"/>
  <c r="A825" i="54"/>
  <c r="A826" i="54"/>
  <c r="A827" i="54"/>
  <c r="A828" i="54"/>
  <c r="A829" i="54"/>
  <c r="A830" i="54"/>
  <c r="A831" i="54"/>
  <c r="A832" i="54"/>
  <c r="A833" i="54"/>
  <c r="A834" i="54"/>
  <c r="A835" i="54"/>
  <c r="A836" i="54"/>
  <c r="A837" i="54"/>
  <c r="A838" i="54"/>
  <c r="A839" i="54"/>
  <c r="A840" i="54"/>
  <c r="A841" i="54"/>
  <c r="A842" i="54"/>
  <c r="A843" i="54"/>
  <c r="A844" i="54"/>
  <c r="A845" i="54"/>
  <c r="A846" i="54"/>
  <c r="A847" i="54"/>
  <c r="A848" i="54"/>
  <c r="A849" i="54"/>
  <c r="A850" i="54"/>
  <c r="A851" i="54"/>
  <c r="A852" i="54"/>
  <c r="A853" i="54"/>
  <c r="A854" i="54"/>
  <c r="A855" i="54"/>
  <c r="A856" i="54"/>
  <c r="A857" i="54"/>
  <c r="A858" i="54"/>
  <c r="A859" i="54"/>
  <c r="A860" i="54"/>
  <c r="A861" i="54"/>
  <c r="A862" i="54"/>
  <c r="A863" i="54"/>
  <c r="A864" i="54"/>
  <c r="A865" i="54"/>
  <c r="A866" i="54"/>
  <c r="A867" i="54"/>
  <c r="A868" i="54"/>
  <c r="A869" i="54"/>
  <c r="A870" i="54"/>
  <c r="A871" i="54"/>
  <c r="A872" i="54"/>
  <c r="A873" i="54"/>
  <c r="A874" i="54"/>
  <c r="A875" i="54"/>
  <c r="A876" i="54"/>
  <c r="A877" i="54"/>
  <c r="A878" i="54"/>
  <c r="A879" i="54"/>
  <c r="A880" i="54"/>
  <c r="A881" i="54"/>
  <c r="A882" i="54"/>
  <c r="A883" i="54"/>
  <c r="A884" i="54"/>
  <c r="A885" i="54"/>
  <c r="A886" i="54"/>
  <c r="A887" i="54"/>
  <c r="A888" i="54"/>
  <c r="A889" i="54"/>
  <c r="A890" i="54"/>
  <c r="A891" i="54"/>
  <c r="A892" i="54"/>
  <c r="A893" i="54"/>
  <c r="A894" i="54"/>
  <c r="A895" i="54"/>
  <c r="A896" i="54"/>
  <c r="A897" i="54"/>
  <c r="A898" i="54"/>
  <c r="A899" i="54"/>
  <c r="A900" i="54"/>
  <c r="A901" i="54"/>
  <c r="A902" i="54"/>
  <c r="A903" i="54"/>
  <c r="A904" i="54"/>
  <c r="A905" i="54"/>
  <c r="A906" i="54"/>
  <c r="A907" i="54"/>
  <c r="A908" i="54"/>
  <c r="A909" i="54"/>
  <c r="A910" i="54"/>
  <c r="A911" i="54"/>
  <c r="A912" i="54"/>
  <c r="A913" i="54"/>
  <c r="A914" i="54"/>
  <c r="A915" i="54"/>
  <c r="A916" i="54"/>
  <c r="A917" i="54"/>
  <c r="A918" i="54"/>
  <c r="A919" i="54"/>
  <c r="A920" i="54"/>
  <c r="A921" i="54"/>
  <c r="A922" i="54"/>
  <c r="A923" i="54"/>
  <c r="A924" i="54"/>
  <c r="A925" i="54"/>
  <c r="A926" i="54"/>
  <c r="A927" i="54"/>
  <c r="A928" i="54"/>
  <c r="A929" i="54"/>
  <c r="A930" i="54"/>
  <c r="A931" i="54"/>
  <c r="A932" i="54"/>
  <c r="A933" i="54"/>
  <c r="A934" i="54"/>
  <c r="A935" i="54"/>
  <c r="A936" i="54"/>
  <c r="A937" i="54"/>
  <c r="A938" i="54"/>
  <c r="A939" i="54"/>
  <c r="A940" i="54"/>
  <c r="A941" i="54"/>
  <c r="A942" i="54"/>
  <c r="A943" i="54"/>
  <c r="A944" i="54"/>
  <c r="A945" i="54"/>
  <c r="A946" i="54"/>
  <c r="A947" i="54"/>
  <c r="A948" i="54"/>
  <c r="A949" i="54"/>
  <c r="A950" i="54"/>
  <c r="A951" i="54"/>
  <c r="A952" i="54"/>
  <c r="A953" i="54"/>
  <c r="A954" i="54"/>
  <c r="A955" i="54"/>
  <c r="A956" i="54"/>
  <c r="A957" i="54"/>
  <c r="A958" i="54"/>
  <c r="A959" i="54"/>
  <c r="A960" i="54"/>
  <c r="A961" i="54"/>
  <c r="A962" i="54"/>
  <c r="A963" i="54"/>
  <c r="A964" i="54"/>
  <c r="A965" i="54"/>
  <c r="A966" i="54"/>
  <c r="A967" i="54"/>
  <c r="A968" i="54"/>
  <c r="A969" i="54"/>
  <c r="A970" i="54"/>
  <c r="A971" i="54"/>
  <c r="A972" i="54"/>
  <c r="A973" i="54"/>
  <c r="A974" i="54"/>
  <c r="A975" i="54"/>
  <c r="A976" i="54"/>
  <c r="A977" i="54"/>
  <c r="A978" i="54"/>
  <c r="A979" i="54"/>
  <c r="A980" i="54"/>
  <c r="A981" i="54"/>
  <c r="A982" i="54"/>
  <c r="A983" i="54"/>
  <c r="A984" i="54"/>
  <c r="A985" i="54"/>
  <c r="A986" i="54"/>
  <c r="A987" i="54"/>
  <c r="A988" i="54"/>
  <c r="A989" i="54"/>
  <c r="A990" i="54"/>
  <c r="A991" i="54"/>
  <c r="A992" i="54"/>
  <c r="A993" i="54"/>
  <c r="A994" i="54"/>
  <c r="A995" i="54"/>
  <c r="A996" i="54"/>
  <c r="A997" i="54"/>
  <c r="A998" i="54"/>
  <c r="A999" i="54"/>
  <c r="A1000" i="54"/>
  <c r="A1001" i="54"/>
  <c r="A1002" i="54"/>
  <c r="A1003" i="54"/>
  <c r="A1004" i="54"/>
  <c r="A1005" i="54"/>
  <c r="A1006" i="54"/>
  <c r="A1007" i="54"/>
  <c r="A1008" i="54"/>
  <c r="A1009" i="54"/>
  <c r="A1010" i="54"/>
  <c r="A1011" i="54"/>
  <c r="A1012" i="54"/>
  <c r="A1013" i="54"/>
  <c r="A1014" i="54"/>
  <c r="A1015" i="54"/>
  <c r="A1016" i="54"/>
  <c r="A1017" i="54"/>
  <c r="A1018" i="54"/>
  <c r="A1019" i="54"/>
  <c r="A1020" i="54"/>
  <c r="A1021" i="54"/>
  <c r="A1022" i="54"/>
  <c r="A1023" i="54"/>
  <c r="A1024" i="54"/>
  <c r="A1025" i="54"/>
  <c r="A1026" i="54"/>
  <c r="A1027" i="54"/>
  <c r="A1028" i="54"/>
  <c r="A1029" i="54"/>
  <c r="A1030" i="54"/>
  <c r="A1031" i="54"/>
  <c r="A1032" i="54"/>
  <c r="A1033" i="54"/>
  <c r="A1034" i="54"/>
  <c r="A1035" i="54"/>
  <c r="A1036" i="54"/>
  <c r="A1037" i="54"/>
  <c r="A1038" i="54"/>
  <c r="A1039" i="54"/>
  <c r="A1040" i="54"/>
  <c r="A1041" i="54"/>
  <c r="A1042" i="54"/>
  <c r="A1043" i="54"/>
  <c r="A1044" i="54"/>
  <c r="A1045" i="54"/>
  <c r="A1046" i="54"/>
  <c r="A1047" i="54"/>
  <c r="A1048" i="54"/>
  <c r="A1049" i="54"/>
  <c r="A1050" i="54"/>
  <c r="A1051" i="54"/>
  <c r="A1052" i="54"/>
  <c r="A1053" i="54"/>
  <c r="A1054" i="54"/>
  <c r="A1055" i="54"/>
  <c r="A1056" i="54"/>
  <c r="A1057" i="54"/>
  <c r="A1058" i="54"/>
  <c r="A1059" i="54"/>
  <c r="A1060" i="54"/>
  <c r="A1061" i="54"/>
  <c r="A1062" i="54"/>
  <c r="A1063" i="54"/>
  <c r="A1064" i="54"/>
  <c r="A1065" i="54"/>
  <c r="A1066" i="54"/>
  <c r="A1067" i="54"/>
  <c r="A1068" i="54"/>
  <c r="A1069" i="54"/>
  <c r="A1070" i="54"/>
  <c r="A1071" i="54"/>
  <c r="A1072" i="54"/>
  <c r="A1073" i="54"/>
  <c r="A1074" i="54"/>
  <c r="A1075" i="54"/>
  <c r="A1076" i="54"/>
  <c r="A1077" i="54"/>
  <c r="A1078" i="54"/>
  <c r="A1079" i="54"/>
  <c r="A1080" i="54"/>
  <c r="A1081" i="54"/>
  <c r="A1082" i="54"/>
  <c r="A1083" i="54"/>
  <c r="A1084" i="54"/>
  <c r="A1085" i="54"/>
  <c r="A1086" i="54"/>
  <c r="A1087" i="54"/>
  <c r="A1088" i="54"/>
  <c r="A1089" i="54"/>
  <c r="A1090" i="54"/>
  <c r="A1091" i="54"/>
  <c r="A1092" i="54"/>
  <c r="A1093" i="54"/>
  <c r="A1094" i="54"/>
  <c r="A1095" i="54"/>
  <c r="A1096" i="54"/>
  <c r="A1097" i="54"/>
  <c r="A1098" i="54"/>
  <c r="A1099" i="54"/>
  <c r="A1100" i="54"/>
  <c r="A1101" i="54"/>
  <c r="A1102" i="54"/>
  <c r="A1103" i="54"/>
  <c r="A1104" i="54"/>
  <c r="A1105" i="54"/>
  <c r="A1106" i="54"/>
  <c r="A1107" i="54"/>
  <c r="A1108" i="54"/>
  <c r="A1109" i="54"/>
  <c r="A1110" i="54"/>
  <c r="A1111" i="54"/>
  <c r="A1112" i="54"/>
  <c r="A1113" i="54"/>
  <c r="A1114" i="54"/>
  <c r="A1115" i="54"/>
  <c r="A1116" i="54"/>
  <c r="A1117" i="54"/>
  <c r="A1118" i="54"/>
  <c r="A1119" i="54"/>
  <c r="A1120" i="54"/>
  <c r="A1121" i="54"/>
  <c r="A1122" i="54"/>
  <c r="A1123" i="54"/>
  <c r="A1124" i="54"/>
  <c r="A1125" i="54"/>
  <c r="A1126" i="54"/>
  <c r="A1127" i="54"/>
  <c r="A1128" i="54"/>
  <c r="A1129" i="54"/>
  <c r="A1130" i="54"/>
  <c r="A1131" i="54"/>
  <c r="A1132" i="54"/>
  <c r="A1133" i="54"/>
  <c r="A1134" i="54"/>
  <c r="A1135" i="54"/>
  <c r="A1136" i="54"/>
  <c r="A1137" i="54"/>
  <c r="A1138" i="54"/>
  <c r="A1139" i="54"/>
  <c r="A1140" i="54"/>
  <c r="A1141" i="54"/>
  <c r="A1142" i="54"/>
  <c r="A1143" i="54"/>
  <c r="A1144" i="54"/>
  <c r="A1145" i="54"/>
  <c r="A1146" i="54"/>
  <c r="A1147" i="54"/>
  <c r="A1148" i="54"/>
  <c r="A1149" i="54"/>
  <c r="A1150" i="54"/>
  <c r="A1151" i="54"/>
  <c r="A1152" i="54"/>
  <c r="A1153" i="54"/>
  <c r="A1154" i="54"/>
  <c r="A1155" i="54"/>
  <c r="A1156" i="54"/>
  <c r="A1157" i="54"/>
  <c r="A1158" i="54"/>
  <c r="A1159" i="54"/>
  <c r="A1160" i="54"/>
  <c r="A1161" i="54"/>
  <c r="A1162" i="54"/>
  <c r="A1163" i="54"/>
  <c r="A1164" i="54"/>
  <c r="A1165" i="54"/>
  <c r="A1166" i="54"/>
  <c r="A1167" i="54"/>
  <c r="A1168" i="54"/>
  <c r="A1169" i="54"/>
  <c r="A1170" i="54"/>
  <c r="A1171" i="54"/>
  <c r="A1172" i="54"/>
  <c r="A1173" i="54"/>
  <c r="A1174" i="54"/>
  <c r="A1175" i="54"/>
  <c r="A1176" i="54"/>
  <c r="A1177" i="54"/>
  <c r="A1178" i="54"/>
  <c r="A1179" i="54"/>
  <c r="A1180" i="54"/>
  <c r="A1181" i="54"/>
  <c r="A1182" i="54"/>
  <c r="A1183" i="54"/>
  <c r="A1184" i="54"/>
  <c r="A1185" i="54"/>
  <c r="A1186" i="54"/>
  <c r="A1187" i="54"/>
  <c r="A1188" i="54"/>
  <c r="A1189" i="54"/>
  <c r="A1190" i="54"/>
  <c r="A1191" i="54"/>
  <c r="A1192" i="54"/>
  <c r="A1193" i="54"/>
  <c r="A1194" i="54"/>
  <c r="A1195" i="54"/>
  <c r="A1196" i="54"/>
  <c r="A1197" i="54"/>
  <c r="A1198" i="54"/>
  <c r="A1199" i="54"/>
  <c r="A1200" i="54"/>
  <c r="A1201" i="54"/>
  <c r="A1202" i="54"/>
  <c r="A1203" i="54"/>
  <c r="A1204" i="54"/>
  <c r="A1205" i="54"/>
  <c r="A1206" i="54"/>
  <c r="A1207" i="54"/>
  <c r="A1208" i="54"/>
  <c r="A1209" i="54"/>
  <c r="A1210" i="54"/>
  <c r="A1211" i="54"/>
  <c r="A1212" i="54"/>
  <c r="A1213" i="54"/>
  <c r="A1214" i="54"/>
  <c r="A1215" i="54"/>
  <c r="A1216" i="54"/>
  <c r="A1217" i="54"/>
  <c r="A1218" i="54"/>
  <c r="A1219" i="54"/>
  <c r="A1220" i="54"/>
  <c r="A1221" i="54"/>
  <c r="A1222" i="54"/>
  <c r="A1223" i="54"/>
  <c r="A1224" i="54"/>
  <c r="A1225" i="54"/>
  <c r="A1226" i="54"/>
  <c r="A1227" i="54"/>
  <c r="A1228" i="54"/>
  <c r="A1229" i="54"/>
  <c r="A1230" i="54"/>
  <c r="A1231" i="54"/>
  <c r="A1232" i="54"/>
  <c r="A1233" i="54"/>
  <c r="A1234" i="54"/>
  <c r="A1235" i="54"/>
  <c r="A1236" i="54"/>
  <c r="A1237" i="54"/>
  <c r="A1238" i="54"/>
  <c r="A1239" i="54"/>
  <c r="A1240" i="54"/>
  <c r="A1241" i="54"/>
  <c r="A1242" i="54"/>
  <c r="A1243" i="54"/>
  <c r="A1244" i="54"/>
  <c r="A1245" i="54"/>
  <c r="A1246" i="54"/>
  <c r="A1247" i="54"/>
  <c r="A1248" i="54"/>
  <c r="A1249" i="54"/>
  <c r="A1250" i="54"/>
  <c r="A1251" i="54"/>
  <c r="A1252" i="54"/>
  <c r="A1253" i="54"/>
  <c r="A1254" i="54"/>
  <c r="A1255" i="54"/>
  <c r="A1256" i="54"/>
  <c r="A1257" i="54"/>
  <c r="A1258" i="54"/>
  <c r="A1259" i="54"/>
  <c r="A1260" i="54"/>
  <c r="A1261" i="54"/>
  <c r="A1262" i="54"/>
  <c r="A1263" i="54"/>
  <c r="A1264" i="54"/>
  <c r="A1265" i="54"/>
  <c r="A1266" i="54"/>
  <c r="A1267" i="54"/>
  <c r="A1268" i="54"/>
  <c r="A1269" i="54"/>
  <c r="A1270" i="54"/>
  <c r="A1271" i="54"/>
  <c r="A1272" i="54"/>
  <c r="A1273" i="54"/>
  <c r="A1274" i="54"/>
  <c r="A1275" i="54"/>
  <c r="A1276" i="54"/>
  <c r="A1277" i="54"/>
  <c r="A1278" i="54"/>
  <c r="A1279" i="54"/>
  <c r="A1280" i="54"/>
  <c r="A1281" i="54"/>
  <c r="A1282" i="54"/>
  <c r="A1283" i="54"/>
  <c r="A1284" i="54"/>
  <c r="A1285" i="54"/>
  <c r="A1286" i="54"/>
  <c r="A1287" i="54"/>
  <c r="A1288" i="54"/>
  <c r="A1289" i="54"/>
  <c r="A1290" i="54"/>
  <c r="A1291" i="54"/>
  <c r="A1292" i="54"/>
  <c r="A1293" i="54"/>
  <c r="A1294" i="54"/>
  <c r="A1295" i="54"/>
  <c r="A1296" i="54"/>
  <c r="A1297" i="54"/>
  <c r="A1298" i="54"/>
  <c r="A1299" i="54"/>
  <c r="A1300" i="54"/>
  <c r="A1301" i="54"/>
  <c r="A1302" i="54"/>
  <c r="A1303" i="54"/>
  <c r="A1304" i="54"/>
  <c r="A1305" i="54"/>
  <c r="A1306" i="54"/>
  <c r="A1307" i="54"/>
  <c r="A1308" i="54"/>
  <c r="A1309" i="54"/>
  <c r="A1310" i="54"/>
  <c r="A1311" i="54"/>
  <c r="A1312" i="54"/>
  <c r="A1313" i="54"/>
  <c r="A1314" i="54"/>
  <c r="A1315" i="54"/>
  <c r="A1316" i="54"/>
  <c r="A1317" i="54"/>
  <c r="A1318" i="54"/>
  <c r="A1319" i="54"/>
  <c r="A1320" i="54"/>
  <c r="A1321" i="54"/>
  <c r="A1322" i="54"/>
  <c r="A1323" i="54"/>
  <c r="A1324" i="54"/>
  <c r="A1325" i="54"/>
  <c r="A1326" i="54"/>
  <c r="A1327" i="54"/>
  <c r="A1328" i="54"/>
  <c r="A1329" i="54"/>
  <c r="A1330" i="54"/>
  <c r="A1331" i="54"/>
  <c r="A1332" i="54"/>
  <c r="A1333" i="54"/>
  <c r="A1334" i="54"/>
  <c r="A1335" i="54"/>
  <c r="A1336" i="54"/>
  <c r="A1337" i="54"/>
  <c r="A1338" i="54"/>
  <c r="A1339" i="54"/>
  <c r="A1340" i="54"/>
  <c r="A1341" i="54"/>
  <c r="A1342" i="54"/>
  <c r="A1343" i="54"/>
  <c r="A1344" i="54"/>
  <c r="A1345" i="54"/>
  <c r="A1346" i="54"/>
  <c r="A1347" i="54"/>
  <c r="A1348" i="54"/>
  <c r="A1349" i="54"/>
  <c r="A1350" i="54"/>
  <c r="A1351" i="54"/>
  <c r="A1352" i="54"/>
  <c r="A1353" i="54"/>
  <c r="A1354" i="54"/>
  <c r="A1355" i="54"/>
  <c r="A1356" i="54"/>
  <c r="A1357" i="54"/>
  <c r="A1358" i="54"/>
  <c r="A1359" i="54"/>
  <c r="A1360" i="54"/>
  <c r="A1361" i="54"/>
  <c r="A1362" i="54"/>
  <c r="A1363" i="54"/>
  <c r="A1364" i="54"/>
  <c r="A1365" i="54"/>
  <c r="A1366" i="54"/>
  <c r="A1367" i="54"/>
  <c r="A1368" i="54"/>
  <c r="A1369" i="54"/>
  <c r="A1370" i="54"/>
  <c r="A1371" i="54"/>
  <c r="A1372" i="54"/>
  <c r="A1373" i="54"/>
  <c r="A1374" i="54"/>
  <c r="A1375" i="54"/>
  <c r="A1376" i="54"/>
  <c r="A1377" i="54"/>
  <c r="A1378" i="54"/>
  <c r="A1379" i="54"/>
  <c r="A1380" i="54"/>
  <c r="A1381" i="54"/>
  <c r="A1382" i="54"/>
  <c r="A1383" i="54"/>
  <c r="A1384" i="54"/>
  <c r="A1385" i="54"/>
  <c r="A1386" i="54"/>
  <c r="A1387" i="54"/>
  <c r="A1388" i="54"/>
  <c r="A1389" i="54"/>
  <c r="A1390" i="54"/>
  <c r="A1391" i="54"/>
  <c r="A1392" i="54"/>
  <c r="A1393" i="54"/>
  <c r="A1394" i="54"/>
  <c r="A1395" i="54"/>
  <c r="A1396" i="54"/>
  <c r="A1397" i="54"/>
  <c r="A1398" i="54"/>
  <c r="A1399" i="54"/>
  <c r="A1400" i="54"/>
  <c r="A1401" i="54"/>
  <c r="A1402" i="54"/>
  <c r="A1403" i="54"/>
  <c r="A1404" i="54"/>
  <c r="A1405" i="54"/>
  <c r="A1406" i="54"/>
  <c r="A1407" i="54"/>
  <c r="A1408" i="54"/>
  <c r="A1409" i="54"/>
  <c r="A1410" i="54"/>
  <c r="A1411" i="54"/>
  <c r="A1412" i="54"/>
  <c r="A1413" i="54"/>
  <c r="A1414" i="54"/>
  <c r="A1415" i="54"/>
  <c r="A1416" i="54"/>
  <c r="A1417" i="54"/>
  <c r="A1418" i="54"/>
  <c r="A1419" i="54"/>
  <c r="A1420" i="54"/>
  <c r="A1421" i="54"/>
  <c r="A1422" i="54"/>
  <c r="A1423" i="54"/>
  <c r="A1424" i="54"/>
  <c r="A1425" i="54"/>
  <c r="A1426" i="54"/>
  <c r="A1427" i="54"/>
  <c r="A1428" i="54"/>
  <c r="A1429" i="54"/>
  <c r="A1430" i="54"/>
  <c r="A1431" i="54"/>
  <c r="A1432" i="54"/>
  <c r="A1433" i="54"/>
  <c r="A1434" i="54"/>
  <c r="A1435" i="54"/>
  <c r="A1436" i="54"/>
  <c r="A1437" i="54"/>
  <c r="A1438" i="54"/>
  <c r="A1439" i="54"/>
  <c r="A1440" i="54"/>
  <c r="A1441" i="54"/>
  <c r="A1442" i="54"/>
  <c r="A1443" i="54"/>
  <c r="A1444" i="54"/>
  <c r="A1445" i="54"/>
  <c r="A1446" i="54"/>
  <c r="A1447" i="54"/>
  <c r="A1448" i="54"/>
  <c r="A1449" i="54"/>
  <c r="A1450" i="54"/>
  <c r="A1451" i="54"/>
  <c r="A1452" i="54"/>
  <c r="A1453" i="54"/>
  <c r="A1454" i="54"/>
  <c r="A1455" i="54"/>
  <c r="A1456" i="54"/>
  <c r="A1457" i="54"/>
  <c r="A1458" i="54"/>
  <c r="A1459" i="54"/>
  <c r="A1460" i="54"/>
  <c r="A1461" i="54"/>
  <c r="A1462" i="54"/>
  <c r="A1463" i="54"/>
  <c r="A1464" i="54"/>
  <c r="A1465" i="54"/>
  <c r="A1466" i="54"/>
  <c r="A1467" i="54"/>
  <c r="A1468" i="54"/>
  <c r="A1469" i="54"/>
  <c r="A1470" i="54"/>
  <c r="A1471" i="54"/>
  <c r="A1472" i="54"/>
  <c r="A1473" i="54"/>
  <c r="A1474" i="54"/>
  <c r="A1475" i="54"/>
  <c r="A1476" i="54"/>
  <c r="A1477" i="54"/>
  <c r="A1478" i="54"/>
  <c r="A1479" i="54"/>
  <c r="A1480" i="54"/>
  <c r="A1481" i="54"/>
  <c r="A1482" i="54"/>
  <c r="A1483" i="54"/>
  <c r="A1484" i="54"/>
  <c r="A1485" i="54"/>
  <c r="A1486" i="54"/>
  <c r="A1487" i="54"/>
  <c r="A1488" i="54"/>
  <c r="A1489" i="54"/>
  <c r="A1490" i="54"/>
  <c r="A1491" i="54"/>
  <c r="A1492" i="54"/>
  <c r="A1493" i="54"/>
  <c r="A1494" i="54"/>
  <c r="A1495" i="54"/>
  <c r="A1496" i="54"/>
  <c r="A1497" i="54"/>
  <c r="A1498" i="54"/>
  <c r="A1499" i="54"/>
  <c r="A1500" i="54"/>
  <c r="A1501" i="54"/>
  <c r="A1502" i="54"/>
  <c r="A1503" i="54"/>
  <c r="A1504" i="54"/>
  <c r="A1505" i="54"/>
  <c r="A1506" i="54"/>
  <c r="A1507" i="54"/>
  <c r="A1508" i="54"/>
  <c r="A1509" i="54"/>
  <c r="A1510" i="54"/>
  <c r="A1511" i="54"/>
  <c r="A1512" i="54"/>
  <c r="A1513" i="54"/>
  <c r="A1514" i="54"/>
  <c r="A1515" i="54"/>
  <c r="A1516" i="54"/>
  <c r="A1517" i="54"/>
  <c r="A1518" i="54"/>
  <c r="A1519" i="54"/>
  <c r="A1520" i="54"/>
  <c r="A1521" i="54"/>
  <c r="A1522" i="54"/>
  <c r="A1523" i="54"/>
  <c r="A1524" i="54"/>
  <c r="A1525" i="54"/>
  <c r="A1526" i="54"/>
  <c r="A1527" i="54"/>
  <c r="A1528" i="54"/>
  <c r="A1529" i="54"/>
  <c r="A1530" i="54"/>
  <c r="A1531" i="54"/>
  <c r="A1532" i="54"/>
  <c r="A1533" i="54"/>
  <c r="A1534" i="54"/>
  <c r="A1535" i="54"/>
  <c r="A1536" i="54"/>
  <c r="A1537" i="54"/>
  <c r="A1538" i="54"/>
  <c r="A1539" i="54"/>
  <c r="A1540" i="54"/>
  <c r="A1541" i="54"/>
  <c r="A1542" i="54"/>
  <c r="A1543" i="54"/>
  <c r="A1544" i="54"/>
  <c r="A1545" i="54"/>
  <c r="A1546" i="54"/>
  <c r="A1547" i="54"/>
  <c r="A1548" i="54"/>
  <c r="A1549" i="54"/>
  <c r="A1550" i="54"/>
  <c r="A1551" i="54"/>
  <c r="A1552" i="54"/>
  <c r="A1553" i="54"/>
  <c r="A1554" i="54"/>
  <c r="A1555" i="54"/>
  <c r="A1556" i="54"/>
  <c r="A1557" i="54"/>
  <c r="A1558" i="54"/>
  <c r="A1559" i="54"/>
  <c r="A1560" i="54"/>
  <c r="A1561" i="54"/>
  <c r="A1562" i="54"/>
  <c r="A1563" i="54"/>
  <c r="A1564" i="54"/>
  <c r="A1565" i="54"/>
  <c r="A1566" i="54"/>
  <c r="A1567" i="54"/>
  <c r="A1568" i="54"/>
  <c r="A1569" i="54"/>
  <c r="A1570" i="54"/>
  <c r="A1571" i="54"/>
  <c r="A1572" i="54"/>
  <c r="A1573" i="54"/>
  <c r="A1574" i="54"/>
  <c r="A1575" i="54"/>
  <c r="A1576" i="54"/>
  <c r="A1577" i="54"/>
  <c r="A1578" i="54"/>
  <c r="A1579" i="54"/>
  <c r="A1580" i="54"/>
  <c r="A1581" i="54"/>
  <c r="A1582" i="54"/>
  <c r="A1583" i="54"/>
  <c r="A1584" i="54"/>
  <c r="A1585" i="54"/>
  <c r="A1586" i="54"/>
  <c r="A1587" i="54"/>
  <c r="A1588" i="54"/>
  <c r="A1589" i="54"/>
  <c r="A1590" i="54"/>
  <c r="A1591" i="54"/>
  <c r="A1592" i="54"/>
  <c r="A1593" i="54"/>
  <c r="A1594" i="54"/>
  <c r="A1595" i="54"/>
  <c r="A1596" i="54"/>
  <c r="A1597" i="54"/>
  <c r="A1598" i="54"/>
  <c r="A1599" i="54"/>
  <c r="A1600" i="54"/>
  <c r="A1601" i="54"/>
  <c r="A1602" i="54"/>
  <c r="A1603" i="54"/>
  <c r="A1604" i="54"/>
  <c r="A1605" i="54"/>
  <c r="A1606" i="54"/>
  <c r="A1607" i="54"/>
  <c r="A1608" i="54"/>
  <c r="A1609" i="54"/>
  <c r="A1610" i="54"/>
  <c r="A1611" i="54"/>
  <c r="A1612" i="54"/>
  <c r="A1613" i="54"/>
  <c r="A1614" i="54"/>
  <c r="A1615" i="54"/>
  <c r="A1616" i="54"/>
  <c r="A1617" i="54"/>
  <c r="A1618" i="54"/>
  <c r="A1619" i="54"/>
  <c r="A1620" i="54"/>
  <c r="A1621" i="54"/>
  <c r="A1622" i="54"/>
  <c r="A1623" i="54"/>
  <c r="A1624" i="54"/>
  <c r="A1625" i="54"/>
  <c r="A1626" i="54"/>
  <c r="A1627" i="54"/>
  <c r="A1628" i="54"/>
  <c r="A1629" i="54"/>
  <c r="A1630" i="54"/>
  <c r="A1631" i="54"/>
  <c r="A1632" i="54"/>
  <c r="A1633" i="54"/>
  <c r="A1634" i="54"/>
  <c r="A1635" i="54"/>
  <c r="A1636" i="54"/>
  <c r="A1637" i="54"/>
  <c r="A1638" i="54"/>
  <c r="A1639" i="54"/>
  <c r="A1640" i="54"/>
  <c r="A1641" i="54"/>
  <c r="A1642" i="54"/>
  <c r="A1643" i="54"/>
  <c r="A1644" i="54"/>
  <c r="A1645" i="54"/>
  <c r="A1646" i="54"/>
  <c r="A1647" i="54"/>
  <c r="A1648" i="54"/>
  <c r="A1649" i="54"/>
  <c r="A1650" i="54"/>
  <c r="A1651" i="54"/>
  <c r="A1652" i="54"/>
  <c r="A1653" i="54"/>
  <c r="A1654" i="54"/>
  <c r="A1655" i="54"/>
  <c r="A1656" i="54"/>
  <c r="A1657" i="54"/>
  <c r="A1658" i="54"/>
  <c r="A1659" i="54"/>
  <c r="A1660" i="54"/>
  <c r="A1661" i="54"/>
  <c r="A1662" i="54"/>
  <c r="A1663" i="54"/>
  <c r="A1664" i="54"/>
  <c r="A1665" i="54"/>
  <c r="A1666" i="54"/>
  <c r="A1667" i="54"/>
  <c r="A1668" i="54"/>
  <c r="A1669" i="54"/>
  <c r="A1670" i="54"/>
  <c r="A1671" i="54"/>
  <c r="A1672" i="54"/>
  <c r="A1673" i="54"/>
  <c r="A1674" i="54"/>
  <c r="A1675" i="54"/>
  <c r="A1676" i="54"/>
  <c r="A1677" i="54"/>
  <c r="A1678" i="54"/>
  <c r="A1679" i="54"/>
  <c r="A1680" i="54"/>
  <c r="A1681" i="54"/>
  <c r="A1682" i="54"/>
  <c r="A1683" i="54"/>
  <c r="A1684" i="54"/>
  <c r="A1685" i="54"/>
  <c r="A1686" i="54"/>
  <c r="A1687" i="54"/>
  <c r="A1688" i="54"/>
  <c r="A1689" i="54"/>
  <c r="A1690" i="54"/>
  <c r="A1691" i="54"/>
  <c r="A1692" i="54"/>
  <c r="A1693" i="54"/>
  <c r="A1694" i="54"/>
  <c r="A1695" i="54"/>
  <c r="A1696" i="54"/>
  <c r="A1697" i="54"/>
  <c r="A1698" i="54"/>
  <c r="A1699" i="54"/>
  <c r="A1700" i="54"/>
  <c r="A1701" i="54"/>
  <c r="A1702" i="54"/>
  <c r="A1703" i="54"/>
  <c r="A1704" i="54"/>
  <c r="A1705" i="54"/>
  <c r="A1706" i="54"/>
  <c r="A1707" i="54"/>
  <c r="A1708" i="54"/>
  <c r="A1709" i="54"/>
  <c r="A1710" i="54"/>
  <c r="A1711" i="54"/>
  <c r="A1712" i="54"/>
  <c r="A1713" i="54"/>
  <c r="A1714" i="54"/>
  <c r="A1715" i="54"/>
  <c r="A1716" i="54"/>
  <c r="A1717" i="54"/>
  <c r="A1718" i="54"/>
  <c r="A1719" i="54"/>
  <c r="A1720" i="54"/>
  <c r="A1721" i="54"/>
  <c r="A1722" i="54"/>
  <c r="A1723" i="54"/>
  <c r="A1724" i="54"/>
  <c r="A1725" i="54"/>
  <c r="A1726" i="54"/>
  <c r="A1727" i="54"/>
  <c r="A1728" i="54"/>
  <c r="A1729" i="54"/>
  <c r="A1730" i="54"/>
  <c r="A1731" i="54"/>
  <c r="A1732" i="54"/>
  <c r="A1733" i="54"/>
  <c r="A1734" i="54"/>
  <c r="A1735" i="54"/>
  <c r="A1736" i="54"/>
  <c r="A1737" i="54"/>
  <c r="A1738" i="54"/>
  <c r="A1739" i="54"/>
  <c r="A1740" i="54"/>
  <c r="A1741" i="54"/>
  <c r="A1742" i="54"/>
  <c r="A1743" i="54"/>
  <c r="A1744" i="54"/>
  <c r="A1745" i="54"/>
  <c r="A1746" i="54"/>
  <c r="A1747" i="54"/>
  <c r="A1748" i="54"/>
  <c r="A1749" i="54"/>
  <c r="A1750" i="54"/>
  <c r="A1751" i="54"/>
  <c r="A1752" i="54"/>
  <c r="A1753" i="54"/>
  <c r="A1754" i="54"/>
  <c r="A1755" i="54"/>
  <c r="A1756" i="54"/>
  <c r="A1757" i="54"/>
  <c r="A1758" i="54"/>
  <c r="A1759" i="54"/>
  <c r="A1760" i="54"/>
  <c r="A1761" i="54"/>
  <c r="A1762" i="54"/>
  <c r="A1763" i="54"/>
  <c r="A1764" i="54"/>
  <c r="A1765" i="54"/>
  <c r="A1766" i="54"/>
  <c r="A1767" i="54"/>
  <c r="A1768" i="54"/>
  <c r="A1769" i="54"/>
  <c r="A1770" i="54"/>
  <c r="A1771" i="54"/>
  <c r="A1772" i="54"/>
  <c r="A1773" i="54"/>
  <c r="A1774" i="54"/>
  <c r="A1775" i="54"/>
  <c r="A1776" i="54"/>
  <c r="A1777" i="54"/>
  <c r="A1778" i="54"/>
  <c r="A1779" i="54"/>
  <c r="A1780" i="54"/>
  <c r="A1781" i="54"/>
  <c r="A1782" i="54"/>
  <c r="A1783" i="54"/>
  <c r="A1784" i="54"/>
  <c r="A1785" i="54"/>
  <c r="A1786" i="54"/>
  <c r="A1787" i="54"/>
  <c r="A1788" i="54"/>
  <c r="A1789" i="54"/>
  <c r="A1790" i="54"/>
  <c r="A1791" i="54"/>
  <c r="A1792" i="54"/>
  <c r="A1793" i="54"/>
  <c r="A1794" i="54"/>
  <c r="A1795" i="54"/>
  <c r="A1796" i="54"/>
  <c r="A1797" i="54"/>
  <c r="A1798" i="54"/>
  <c r="A1799" i="54"/>
  <c r="A1800" i="54"/>
  <c r="A1801" i="54"/>
  <c r="A1802" i="54"/>
  <c r="A1803" i="54"/>
  <c r="A1804" i="54"/>
  <c r="A1805" i="54"/>
  <c r="A1806" i="54"/>
  <c r="A1807" i="54"/>
  <c r="A1808" i="54"/>
  <c r="A1809" i="54"/>
  <c r="A1810" i="54"/>
  <c r="A1811" i="54"/>
  <c r="A1812" i="54"/>
  <c r="A1813" i="54"/>
  <c r="A1814" i="54"/>
  <c r="A1815" i="54"/>
  <c r="A1816" i="54"/>
  <c r="A1817" i="54"/>
  <c r="A1818" i="54"/>
  <c r="A1819" i="54"/>
  <c r="A1820" i="54"/>
  <c r="A1821" i="54"/>
  <c r="A1822" i="54"/>
  <c r="A1823" i="54"/>
  <c r="A1824" i="54"/>
  <c r="A1825" i="54"/>
  <c r="A1826" i="54"/>
  <c r="A1827" i="54"/>
  <c r="A1828" i="54"/>
  <c r="A1829" i="54"/>
  <c r="A1830" i="54"/>
  <c r="A1831" i="54"/>
  <c r="A1832" i="54"/>
  <c r="A1833" i="54"/>
  <c r="A1834" i="54"/>
  <c r="A1835" i="54"/>
  <c r="A1836" i="54"/>
  <c r="A1837" i="54"/>
  <c r="A1838" i="54"/>
  <c r="A1839" i="54"/>
  <c r="A1840" i="54"/>
  <c r="A1841" i="54"/>
  <c r="A1842" i="54"/>
  <c r="A1843" i="54"/>
  <c r="A1844" i="54"/>
  <c r="A1845" i="54"/>
  <c r="A1846" i="54"/>
  <c r="A1847" i="54"/>
  <c r="A1848" i="54"/>
  <c r="A1849" i="54"/>
  <c r="A1850" i="54"/>
  <c r="A1851" i="54"/>
  <c r="A1852" i="54"/>
  <c r="A1853" i="54"/>
  <c r="A1854" i="54"/>
  <c r="A1855" i="54"/>
  <c r="A1856" i="54"/>
  <c r="A1857" i="54"/>
  <c r="A1858" i="54"/>
  <c r="A1859" i="54"/>
  <c r="A1860" i="54"/>
  <c r="A1861" i="54"/>
  <c r="A1862" i="54"/>
  <c r="A1863" i="54"/>
  <c r="A1864" i="54"/>
  <c r="A1865" i="54"/>
  <c r="A1866" i="54"/>
  <c r="A1867" i="54"/>
  <c r="A1868" i="54"/>
  <c r="A1869" i="54"/>
  <c r="A1870" i="54"/>
  <c r="A1871" i="54"/>
  <c r="A1872" i="54"/>
  <c r="A1873" i="54"/>
  <c r="A1874" i="54"/>
  <c r="A1875" i="54"/>
  <c r="A1876" i="54"/>
  <c r="A1877" i="54"/>
  <c r="A1878" i="54"/>
  <c r="A1879" i="54"/>
  <c r="A1880" i="54"/>
  <c r="A1881" i="54"/>
  <c r="A1882" i="54"/>
  <c r="A1883" i="54"/>
  <c r="A1884" i="54"/>
  <c r="A1885" i="54"/>
  <c r="A1886" i="54"/>
  <c r="A1887" i="54"/>
  <c r="A1888" i="54"/>
  <c r="A1889" i="54"/>
  <c r="A1890" i="54"/>
  <c r="A1891" i="54"/>
  <c r="A1892" i="54"/>
  <c r="A1893" i="54"/>
  <c r="A1894" i="54"/>
  <c r="A1895" i="54"/>
  <c r="A1896" i="54"/>
  <c r="A1897" i="54"/>
  <c r="A1898" i="54"/>
  <c r="A1899" i="54"/>
  <c r="A1900" i="54"/>
  <c r="A1901" i="54"/>
  <c r="A1902" i="54"/>
  <c r="A1903" i="54"/>
  <c r="A1904" i="54"/>
  <c r="A1905" i="54"/>
  <c r="A1906" i="54"/>
  <c r="A1907" i="54"/>
  <c r="A1908" i="54"/>
  <c r="A1909" i="54"/>
  <c r="A1910" i="54"/>
  <c r="A1911" i="54"/>
  <c r="A1912" i="54"/>
  <c r="A1913" i="54"/>
  <c r="A1914" i="54"/>
  <c r="A1915" i="54"/>
  <c r="A1916" i="54"/>
  <c r="A1917" i="54"/>
  <c r="A1918" i="54"/>
  <c r="A1919" i="54"/>
  <c r="A1920" i="54"/>
  <c r="A1921" i="54"/>
  <c r="A1922" i="54"/>
  <c r="A1923" i="54"/>
  <c r="A1924" i="54"/>
  <c r="A1925" i="54"/>
  <c r="A1926" i="54"/>
  <c r="A1927" i="54"/>
  <c r="A1928" i="54"/>
  <c r="A1929" i="54"/>
  <c r="A1930" i="54"/>
  <c r="A1931" i="54"/>
  <c r="A1932" i="54"/>
  <c r="A1933" i="54"/>
  <c r="A1934" i="54"/>
  <c r="A1935" i="54"/>
  <c r="A1936" i="54"/>
  <c r="A1937" i="54"/>
  <c r="A1938" i="54"/>
  <c r="A1939" i="54"/>
  <c r="A1940" i="54"/>
  <c r="A1941" i="54"/>
  <c r="A1942" i="54"/>
  <c r="A1943" i="54"/>
  <c r="A1944" i="54"/>
  <c r="A1945" i="54"/>
  <c r="A1946" i="54"/>
  <c r="A1947" i="54"/>
  <c r="A1948" i="54"/>
  <c r="A1949" i="54"/>
  <c r="A1950" i="54"/>
  <c r="A1951" i="54"/>
  <c r="A1952" i="54"/>
  <c r="A1953" i="54"/>
  <c r="A1954" i="54"/>
  <c r="A1955" i="54"/>
  <c r="A1956" i="54"/>
  <c r="A1957" i="54"/>
  <c r="A1958" i="54"/>
  <c r="A1959" i="54"/>
  <c r="A1960" i="54"/>
  <c r="A1961" i="54"/>
  <c r="A1962" i="54"/>
  <c r="A1963" i="54"/>
  <c r="A1964" i="54"/>
  <c r="A1965" i="54"/>
  <c r="A1966" i="54"/>
  <c r="A1967" i="54"/>
  <c r="A1968" i="54"/>
  <c r="A1969" i="54"/>
  <c r="A1970" i="54"/>
  <c r="A1971" i="54"/>
  <c r="A1972" i="54"/>
  <c r="A1973" i="54"/>
  <c r="A1974" i="54"/>
  <c r="A1975" i="54"/>
  <c r="A1976" i="54"/>
  <c r="A1977" i="54"/>
  <c r="A1978" i="54"/>
  <c r="A1979" i="54"/>
  <c r="A1980" i="54"/>
  <c r="A1981" i="54"/>
  <c r="A1982" i="54"/>
  <c r="A1983" i="54"/>
  <c r="A1984" i="54"/>
  <c r="A1985" i="54"/>
  <c r="A1986" i="54"/>
  <c r="A1987" i="54"/>
  <c r="A1988" i="54"/>
  <c r="A1989" i="54"/>
  <c r="A1990" i="54"/>
  <c r="A1991" i="54"/>
  <c r="A1992" i="54"/>
  <c r="A1993" i="54"/>
  <c r="A1994" i="54"/>
  <c r="A1995" i="54"/>
  <c r="A1996" i="54"/>
  <c r="A1997" i="54"/>
  <c r="A1998" i="54"/>
  <c r="A1999" i="54"/>
  <c r="A2000" i="54"/>
  <c r="A2001" i="54"/>
  <c r="A2002" i="54"/>
  <c r="A2003" i="54"/>
  <c r="A2004" i="54"/>
  <c r="A2005" i="54"/>
  <c r="A2006" i="54"/>
  <c r="A2007" i="54"/>
  <c r="A2008" i="54"/>
  <c r="A2009" i="54"/>
  <c r="A2010" i="54"/>
  <c r="A2011" i="54"/>
  <c r="A2012" i="54"/>
  <c r="A2013" i="54"/>
  <c r="A2014" i="54"/>
  <c r="A2015" i="54"/>
  <c r="A2016" i="54"/>
  <c r="A2017" i="54"/>
  <c r="A2018" i="54"/>
  <c r="A2019" i="54"/>
  <c r="A2020" i="54"/>
  <c r="A2021" i="54"/>
  <c r="A2022" i="54"/>
  <c r="A2023" i="54"/>
  <c r="A2024" i="54"/>
  <c r="A2025" i="54"/>
  <c r="A2026" i="54"/>
  <c r="A2027" i="54"/>
  <c r="A2028" i="54"/>
  <c r="A2029" i="54"/>
  <c r="A2030" i="54"/>
  <c r="A2031" i="54"/>
  <c r="A2032" i="54"/>
  <c r="A2033" i="54"/>
  <c r="A2034" i="54"/>
  <c r="A2035" i="54"/>
  <c r="A2036" i="54"/>
  <c r="A2037" i="54"/>
  <c r="A2038" i="54"/>
  <c r="A2039" i="54"/>
  <c r="A2040" i="54"/>
  <c r="A2041" i="54"/>
  <c r="A2042" i="54"/>
  <c r="A2043" i="54"/>
  <c r="A2044" i="54"/>
  <c r="A2045" i="54"/>
  <c r="A2046" i="54"/>
  <c r="A2047" i="54"/>
  <c r="A2048" i="54"/>
  <c r="A2049" i="54"/>
  <c r="A2050" i="54"/>
  <c r="A2051" i="54"/>
  <c r="A2052" i="54"/>
  <c r="A2053" i="54"/>
  <c r="A2054" i="54"/>
  <c r="A2055" i="54"/>
  <c r="A2056" i="54"/>
  <c r="A2057" i="54"/>
  <c r="A2058" i="54"/>
  <c r="A2059" i="54"/>
  <c r="A2060" i="54"/>
  <c r="A2061" i="54"/>
  <c r="A2062" i="54"/>
  <c r="A2063" i="54"/>
  <c r="A2064" i="54"/>
  <c r="A2065" i="54"/>
  <c r="A2066" i="54"/>
  <c r="A2067" i="54"/>
  <c r="A2068" i="54"/>
  <c r="A2069" i="54"/>
  <c r="A2070" i="54"/>
  <c r="A2071" i="54"/>
  <c r="A2072" i="54"/>
  <c r="A2073" i="54"/>
  <c r="A2074" i="54"/>
  <c r="A2075" i="54"/>
  <c r="A2076" i="54"/>
  <c r="A2077" i="54"/>
  <c r="A2078" i="54"/>
  <c r="A2079" i="54"/>
  <c r="A2080" i="54"/>
  <c r="A2081" i="54"/>
  <c r="A2082" i="54"/>
  <c r="A2083" i="54"/>
  <c r="A2084" i="54"/>
  <c r="A2085" i="54"/>
  <c r="A2086" i="54"/>
  <c r="A2087" i="54"/>
  <c r="A2088" i="54"/>
  <c r="A2089" i="54"/>
  <c r="A2090" i="54"/>
  <c r="A2091" i="54"/>
  <c r="A2092" i="54"/>
  <c r="A2093" i="54"/>
  <c r="A2094" i="54"/>
  <c r="A2095" i="54"/>
  <c r="A2096" i="54"/>
  <c r="A2097" i="54"/>
  <c r="A2098" i="54"/>
  <c r="A2099" i="54"/>
  <c r="A2100" i="54"/>
  <c r="A2101" i="54"/>
  <c r="A2102" i="54"/>
  <c r="A2103" i="54"/>
  <c r="A2104" i="54"/>
  <c r="A2105" i="54"/>
  <c r="A2106" i="54"/>
  <c r="A2107" i="54"/>
  <c r="A2108" i="54"/>
  <c r="A2109" i="54"/>
  <c r="A2110" i="54"/>
  <c r="A2111" i="54"/>
  <c r="A2112" i="54"/>
  <c r="A2113" i="54"/>
  <c r="A2114" i="54"/>
  <c r="A2115" i="54"/>
  <c r="A2116" i="54"/>
  <c r="A2117" i="54"/>
  <c r="A2118" i="54"/>
  <c r="A2119" i="54"/>
  <c r="A2120" i="54"/>
  <c r="A2121" i="54"/>
  <c r="A2122" i="54"/>
  <c r="A2123" i="54"/>
  <c r="A2124" i="54"/>
  <c r="A2125" i="54"/>
  <c r="A2126" i="54"/>
  <c r="A2127" i="54"/>
  <c r="A2128" i="54"/>
  <c r="A2129" i="54"/>
  <c r="A2130" i="54"/>
  <c r="A2131" i="54"/>
  <c r="A2132" i="54"/>
  <c r="A2133" i="54"/>
  <c r="A2134" i="54"/>
  <c r="A2135" i="54"/>
  <c r="A2136" i="54"/>
  <c r="A2137" i="54"/>
  <c r="A2138" i="54"/>
  <c r="A2139" i="54"/>
  <c r="A2140" i="54"/>
  <c r="A2141" i="54"/>
  <c r="A2142" i="54"/>
  <c r="A2143" i="54"/>
  <c r="A2144" i="54"/>
  <c r="A2145" i="54"/>
  <c r="A2146" i="54"/>
  <c r="A2147" i="54"/>
  <c r="A2148" i="54"/>
  <c r="A2149" i="54"/>
  <c r="A2150" i="54"/>
  <c r="A2151" i="54"/>
  <c r="A2152" i="54"/>
  <c r="A2153" i="54"/>
  <c r="A2154" i="54"/>
  <c r="A2155" i="54"/>
  <c r="A2156" i="54"/>
  <c r="A2157" i="54"/>
  <c r="A2158" i="54"/>
  <c r="A2159" i="54"/>
  <c r="A2160" i="54"/>
  <c r="A2161" i="54"/>
  <c r="A2162" i="54"/>
  <c r="A2163" i="54"/>
  <c r="A2164" i="54"/>
  <c r="A2165" i="54"/>
  <c r="A2166" i="54"/>
  <c r="A2167" i="54"/>
  <c r="A2168" i="54"/>
  <c r="A2169" i="54"/>
  <c r="A2170" i="54"/>
  <c r="A2171" i="54"/>
  <c r="A2172" i="54"/>
  <c r="A2173" i="54"/>
  <c r="A2174" i="54"/>
  <c r="A2175" i="54"/>
  <c r="A2176" i="54"/>
  <c r="A2177" i="54"/>
  <c r="A2178" i="54"/>
  <c r="A2179" i="54"/>
  <c r="A2180" i="54"/>
  <c r="A2181" i="54"/>
  <c r="A2182" i="54"/>
  <c r="A2183" i="54"/>
  <c r="A2184" i="54"/>
  <c r="A2185" i="54"/>
  <c r="A2186" i="54"/>
  <c r="A2187" i="54"/>
  <c r="A2188" i="54"/>
  <c r="A2189" i="54"/>
  <c r="A2190" i="54"/>
  <c r="A2191" i="54"/>
  <c r="A2192" i="54"/>
  <c r="A2193" i="54"/>
  <c r="A2194" i="54"/>
  <c r="A2195" i="54"/>
  <c r="A2196" i="54"/>
  <c r="A2197" i="54"/>
  <c r="A2198" i="54"/>
  <c r="A2199" i="54"/>
  <c r="A2200" i="54"/>
  <c r="A2201" i="54"/>
  <c r="A2202" i="54"/>
  <c r="A2203" i="54"/>
  <c r="A2204" i="54"/>
  <c r="A2205" i="54"/>
  <c r="A2206" i="54"/>
  <c r="A2207" i="54"/>
  <c r="A2208" i="54"/>
  <c r="A2209" i="54"/>
  <c r="A2210" i="54"/>
  <c r="A2211" i="54"/>
  <c r="A2212" i="54"/>
  <c r="A2213" i="54"/>
  <c r="A2214" i="54"/>
  <c r="A2215" i="54"/>
  <c r="A2216" i="54"/>
  <c r="A2217" i="54"/>
  <c r="A2218" i="54"/>
  <c r="A2219" i="54"/>
  <c r="A2220" i="54"/>
  <c r="A2221" i="54"/>
  <c r="A2222" i="54"/>
  <c r="A2223" i="54"/>
  <c r="A2224" i="54"/>
  <c r="A2225" i="54"/>
  <c r="A2226" i="54"/>
  <c r="A2227" i="54"/>
  <c r="A2228" i="54"/>
  <c r="A2229" i="54"/>
  <c r="A2230" i="54"/>
  <c r="A2231" i="54"/>
  <c r="A2232" i="54"/>
  <c r="A2233" i="54"/>
  <c r="A2234" i="54"/>
  <c r="A2235" i="54"/>
  <c r="A2236" i="54"/>
  <c r="A2237" i="54"/>
  <c r="A2238" i="54"/>
  <c r="A2239" i="54"/>
  <c r="P8" i="59" a="1"/>
  <c r="P8" i="59"/>
  <c r="I8" i="43"/>
  <c r="P16" i="59" a="1"/>
  <c r="P16" i="59"/>
  <c r="P12" i="59" a="1"/>
  <c r="P12" i="59"/>
  <c r="Q8" i="59" a="1"/>
  <c r="Q8" i="59"/>
  <c r="Q17" i="59" a="1"/>
  <c r="Q17" i="59"/>
  <c r="P10" i="59" a="1"/>
  <c r="P10" i="59"/>
  <c r="Q13" i="59" a="1"/>
  <c r="Q13" i="59"/>
  <c r="Q12" i="59" a="1"/>
  <c r="Q12" i="59"/>
  <c r="Q11" i="59" a="1"/>
  <c r="Q11" i="59"/>
  <c r="P9" i="59" a="1"/>
  <c r="P9" i="59"/>
  <c r="Q15" i="59" a="1"/>
  <c r="Q15" i="59"/>
  <c r="P11" i="59" a="1"/>
  <c r="P11" i="59"/>
  <c r="P15" i="59" a="1"/>
  <c r="P15" i="59"/>
  <c r="Q10" i="59" a="1"/>
  <c r="Q10" i="59"/>
  <c r="Q14" i="59" a="1"/>
  <c r="Q14" i="59"/>
  <c r="P14" i="59" a="1"/>
  <c r="P14" i="59"/>
  <c r="P17" i="59" a="1"/>
  <c r="P17" i="59"/>
  <c r="P13" i="59" a="1"/>
  <c r="P13" i="59"/>
  <c r="Q9" i="59" a="1"/>
  <c r="Q9" i="59"/>
  <c r="Q16" i="59" a="1"/>
  <c r="Q16" i="59"/>
  <c r="I15" i="43"/>
  <c r="J15" i="43" a="1"/>
  <c r="J15" i="43"/>
  <c r="U15" i="48" a="1"/>
  <c r="U15" i="48"/>
  <c r="U17" i="48" a="1"/>
  <c r="U17" i="48"/>
  <c r="U8" i="48" a="1"/>
  <c r="U8" i="48"/>
  <c r="T10" i="48" a="1"/>
  <c r="T10" i="48"/>
  <c r="T11" i="48" a="1"/>
  <c r="T11" i="48"/>
  <c r="T12" i="48" a="1"/>
  <c r="T12" i="48"/>
  <c r="U16" i="48" a="1"/>
  <c r="U16" i="48"/>
  <c r="U9" i="48" a="1"/>
  <c r="U9" i="48"/>
  <c r="T13" i="48" a="1"/>
  <c r="T13" i="48"/>
  <c r="T14" i="48" a="1"/>
  <c r="T14" i="48"/>
  <c r="T15" i="48" a="1"/>
  <c r="T15" i="48"/>
  <c r="U10" i="48" a="1"/>
  <c r="U10" i="48"/>
  <c r="T16" i="48" a="1"/>
  <c r="T16" i="48"/>
  <c r="U11" i="48" a="1"/>
  <c r="U11" i="48"/>
  <c r="U12" i="48" a="1"/>
  <c r="U12" i="48"/>
  <c r="T9" i="48" a="1"/>
  <c r="T9" i="48"/>
  <c r="X9" i="48"/>
  <c r="U13" i="48" a="1"/>
  <c r="U13" i="48"/>
  <c r="T17" i="48" a="1"/>
  <c r="T17" i="48"/>
  <c r="X17" i="48"/>
  <c r="U14" i="48" a="1"/>
  <c r="U14" i="48"/>
  <c r="T8" i="48" a="1"/>
  <c r="T8" i="48"/>
  <c r="X8" i="48"/>
  <c r="I14" i="43"/>
  <c r="I12" i="43"/>
  <c r="J12" i="43" a="1"/>
  <c r="J12" i="43"/>
  <c r="J8" i="46"/>
  <c r="K8" i="46" a="1"/>
  <c r="K8" i="46"/>
  <c r="J17" i="46"/>
  <c r="K17" i="46" a="1"/>
  <c r="K17" i="46"/>
  <c r="J12" i="46"/>
  <c r="K12" i="46" a="1"/>
  <c r="K12" i="46"/>
  <c r="J11" i="46"/>
  <c r="K11" i="46" a="1"/>
  <c r="K11" i="46"/>
  <c r="J9" i="46"/>
  <c r="K9" i="46" a="1"/>
  <c r="K9" i="46"/>
  <c r="J10" i="46"/>
  <c r="K10" i="46" a="1"/>
  <c r="K10" i="46"/>
  <c r="I17" i="43"/>
  <c r="I13" i="43"/>
  <c r="J16" i="46"/>
  <c r="K16" i="46" a="1"/>
  <c r="K16" i="46"/>
  <c r="I16" i="43"/>
  <c r="I11" i="43"/>
  <c r="J14" i="46"/>
  <c r="K14" i="46" a="1"/>
  <c r="K14" i="46"/>
  <c r="I10" i="43"/>
  <c r="J15" i="46"/>
  <c r="K15" i="46" a="1"/>
  <c r="K15" i="46"/>
  <c r="J13" i="46"/>
  <c r="K13" i="46" a="1"/>
  <c r="K13" i="46"/>
  <c r="I9" i="43"/>
  <c r="D22" i="32"/>
  <c r="D23" i="32"/>
  <c r="D24" i="32"/>
  <c r="D25" i="32"/>
  <c r="D26" i="32"/>
  <c r="D27" i="32"/>
  <c r="D28" i="32"/>
  <c r="D29" i="32"/>
  <c r="D30" i="32"/>
  <c r="D21" i="32"/>
  <c r="T17" i="59"/>
  <c r="T14" i="59"/>
  <c r="X14" i="59"/>
  <c r="X16" i="48"/>
  <c r="X11" i="48"/>
  <c r="T13" i="59"/>
  <c r="X13" i="59"/>
  <c r="X15" i="48"/>
  <c r="T11" i="59"/>
  <c r="X11" i="59"/>
  <c r="X14" i="48"/>
  <c r="X12" i="48"/>
  <c r="T12" i="59"/>
  <c r="X12" i="59"/>
  <c r="X13" i="48"/>
  <c r="T9" i="59"/>
  <c r="X9" i="59"/>
  <c r="T10" i="59"/>
  <c r="X10" i="59"/>
  <c r="T16" i="59"/>
  <c r="X16" i="59"/>
  <c r="T15" i="59"/>
  <c r="X15" i="59"/>
  <c r="X10" i="48"/>
  <c r="T8" i="59"/>
  <c r="K8" i="43" a="1"/>
  <c r="K8" i="43"/>
  <c r="J8" i="43" a="1"/>
  <c r="J8" i="43"/>
  <c r="X17" i="59"/>
  <c r="K15" i="43" a="1"/>
  <c r="K15" i="43"/>
  <c r="K12" i="43" a="1"/>
  <c r="K12" i="43"/>
  <c r="K16" i="43" a="1"/>
  <c r="K16" i="43"/>
  <c r="J16" i="43" a="1"/>
  <c r="J16" i="43"/>
  <c r="G100" i="53"/>
  <c r="J17" i="43" a="1"/>
  <c r="J17" i="43"/>
  <c r="G101" i="53"/>
  <c r="K17" i="43" a="1"/>
  <c r="K17" i="43"/>
  <c r="J13" i="43" a="1"/>
  <c r="J13" i="43"/>
  <c r="G97" i="53"/>
  <c r="K13" i="43" a="1"/>
  <c r="K13" i="43"/>
  <c r="K14" i="43" a="1"/>
  <c r="K14" i="43"/>
  <c r="J14" i="43" a="1"/>
  <c r="J14" i="43"/>
  <c r="G98" i="53"/>
  <c r="K11" i="43" a="1"/>
  <c r="K11" i="43"/>
  <c r="J11" i="43" a="1"/>
  <c r="J11" i="43"/>
  <c r="G95" i="53"/>
  <c r="K10" i="43" a="1"/>
  <c r="K10" i="43"/>
  <c r="J10" i="43" a="1"/>
  <c r="J10" i="43"/>
  <c r="G94" i="53"/>
  <c r="J9" i="43" a="1"/>
  <c r="J9" i="43"/>
  <c r="G93" i="53"/>
  <c r="K9" i="43" a="1"/>
  <c r="K9" i="43"/>
  <c r="K16" i="50"/>
  <c r="H160" i="53"/>
  <c r="J16" i="50"/>
  <c r="L10" i="47"/>
  <c r="H134" i="53"/>
  <c r="L11" i="47"/>
  <c r="H135" i="53"/>
  <c r="L12" i="47"/>
  <c r="H136" i="53"/>
  <c r="L13" i="47"/>
  <c r="H137" i="53"/>
  <c r="L14" i="47"/>
  <c r="H138" i="53"/>
  <c r="L15" i="47"/>
  <c r="H139" i="53"/>
  <c r="L16" i="47"/>
  <c r="H140" i="53"/>
  <c r="L17" i="47"/>
  <c r="H141" i="53"/>
  <c r="L8" i="47"/>
  <c r="H132" i="53"/>
  <c r="K9" i="47"/>
  <c r="G133" i="53"/>
  <c r="K10" i="47"/>
  <c r="G134" i="53"/>
  <c r="K11" i="47"/>
  <c r="G135" i="53"/>
  <c r="K12" i="47"/>
  <c r="G136" i="53"/>
  <c r="K13" i="47"/>
  <c r="G137" i="53"/>
  <c r="K14" i="47"/>
  <c r="G138" i="53"/>
  <c r="K15" i="47"/>
  <c r="G139" i="53"/>
  <c r="K16" i="47"/>
  <c r="G140" i="53"/>
  <c r="K17" i="47"/>
  <c r="G141" i="53"/>
  <c r="K8" i="47"/>
  <c r="G132" i="53"/>
  <c r="K9" i="44"/>
  <c r="H103" i="53"/>
  <c r="K10" i="44"/>
  <c r="H104" i="53"/>
  <c r="K11" i="44"/>
  <c r="H105" i="53"/>
  <c r="K12" i="44"/>
  <c r="H106" i="53"/>
  <c r="K13" i="44"/>
  <c r="H107" i="53"/>
  <c r="K14" i="44"/>
  <c r="H108" i="53"/>
  <c r="K15" i="44"/>
  <c r="H109" i="53"/>
  <c r="K16" i="44"/>
  <c r="H110" i="53"/>
  <c r="K17" i="44"/>
  <c r="H111" i="53"/>
  <c r="K8" i="44"/>
  <c r="H102" i="53"/>
  <c r="J9" i="44"/>
  <c r="J10" i="44"/>
  <c r="G104" i="53"/>
  <c r="J11" i="44"/>
  <c r="G105" i="53"/>
  <c r="J12" i="44"/>
  <c r="G106" i="53"/>
  <c r="J13" i="44"/>
  <c r="G107" i="53"/>
  <c r="J14" i="44"/>
  <c r="G108" i="53"/>
  <c r="J15" i="44"/>
  <c r="G109" i="53"/>
  <c r="J16" i="44"/>
  <c r="G110" i="53"/>
  <c r="J17" i="44"/>
  <c r="G111" i="53"/>
  <c r="J8" i="44"/>
  <c r="G102" i="53"/>
  <c r="G96" i="53"/>
  <c r="G99" i="53"/>
  <c r="H81" i="53"/>
  <c r="H80" i="53"/>
  <c r="H79" i="53"/>
  <c r="H78" i="53"/>
  <c r="H77" i="53"/>
  <c r="H76" i="53"/>
  <c r="H75" i="53"/>
  <c r="H74" i="53"/>
  <c r="H73" i="53"/>
  <c r="H72" i="53"/>
  <c r="G73" i="53"/>
  <c r="G74" i="53"/>
  <c r="G75" i="53"/>
  <c r="G76" i="53"/>
  <c r="G77" i="53"/>
  <c r="G78" i="53"/>
  <c r="G79" i="53"/>
  <c r="G80" i="53"/>
  <c r="G81" i="53"/>
  <c r="G72" i="53"/>
  <c r="H63" i="53"/>
  <c r="H64" i="53"/>
  <c r="H66" i="53"/>
  <c r="H67" i="53"/>
  <c r="H68" i="53"/>
  <c r="H69" i="53"/>
  <c r="H70" i="53"/>
  <c r="H71" i="53"/>
  <c r="H62" i="53"/>
  <c r="G63" i="53"/>
  <c r="G64" i="53"/>
  <c r="G65" i="53"/>
  <c r="G67" i="53"/>
  <c r="G68" i="53"/>
  <c r="G70" i="53"/>
  <c r="G71" i="53"/>
  <c r="G62" i="53"/>
  <c r="F30" i="32"/>
  <c r="C30" i="32"/>
  <c r="I14" i="32"/>
  <c r="N14" i="32"/>
  <c r="E30" i="32"/>
  <c r="T15" i="32"/>
  <c r="AC15" i="32"/>
  <c r="N9" i="41"/>
  <c r="N10" i="41"/>
  <c r="N11" i="41"/>
  <c r="N12" i="41"/>
  <c r="N13" i="41"/>
  <c r="N14" i="41"/>
  <c r="N15" i="41"/>
  <c r="N16" i="41"/>
  <c r="N17" i="41"/>
  <c r="N8" i="41"/>
  <c r="F21" i="32"/>
  <c r="I5" i="32"/>
  <c r="C21" i="32"/>
  <c r="E21" i="32"/>
  <c r="T6" i="32"/>
  <c r="AC6" i="32"/>
  <c r="F22" i="32"/>
  <c r="I6" i="32"/>
  <c r="N6" i="32"/>
  <c r="C22" i="32"/>
  <c r="E22" i="32"/>
  <c r="T7" i="32"/>
  <c r="AC7" i="32"/>
  <c r="F23" i="32"/>
  <c r="I7" i="32"/>
  <c r="C23" i="32"/>
  <c r="E23" i="32"/>
  <c r="T8" i="32"/>
  <c r="AC8" i="32"/>
  <c r="F24" i="32"/>
  <c r="I8" i="32"/>
  <c r="N8" i="32"/>
  <c r="C24" i="32"/>
  <c r="E24" i="32"/>
  <c r="T9" i="32"/>
  <c r="AC9" i="32"/>
  <c r="F25" i="32"/>
  <c r="I9" i="32"/>
  <c r="N9" i="32"/>
  <c r="C25" i="32"/>
  <c r="E25" i="32"/>
  <c r="T10" i="32"/>
  <c r="AC10" i="32"/>
  <c r="F26" i="32"/>
  <c r="I10" i="32"/>
  <c r="C26" i="32"/>
  <c r="E26" i="32"/>
  <c r="T11" i="32"/>
  <c r="AC11" i="32"/>
  <c r="F27" i="32"/>
  <c r="I11" i="32"/>
  <c r="C27" i="32"/>
  <c r="E27" i="32"/>
  <c r="T12" i="32"/>
  <c r="AC12" i="32"/>
  <c r="F28" i="32"/>
  <c r="I12" i="32"/>
  <c r="N12" i="32"/>
  <c r="C28" i="32"/>
  <c r="E28" i="32"/>
  <c r="T13" i="32"/>
  <c r="AC13" i="32"/>
  <c r="F29" i="32"/>
  <c r="I13" i="32"/>
  <c r="C29" i="32"/>
  <c r="E29" i="32"/>
  <c r="T14" i="32"/>
  <c r="AC14" i="32"/>
  <c r="L115" i="32"/>
  <c r="G115" i="32"/>
  <c r="D115" i="32"/>
  <c r="H115" i="32"/>
  <c r="E115" i="32"/>
  <c r="L116" i="32"/>
  <c r="G116" i="32"/>
  <c r="D116" i="32"/>
  <c r="H116" i="32"/>
  <c r="E116" i="32"/>
  <c r="L117" i="32"/>
  <c r="G117" i="32"/>
  <c r="D117" i="32"/>
  <c r="H117" i="32"/>
  <c r="E117" i="32"/>
  <c r="L118" i="32"/>
  <c r="G118" i="32"/>
  <c r="D118" i="32"/>
  <c r="H118" i="32"/>
  <c r="E118" i="32"/>
  <c r="L119" i="32"/>
  <c r="G119" i="32"/>
  <c r="D119" i="32"/>
  <c r="H119" i="32"/>
  <c r="E119" i="32"/>
  <c r="L120" i="32"/>
  <c r="G120" i="32"/>
  <c r="D120" i="32"/>
  <c r="H120" i="32"/>
  <c r="E120" i="32"/>
  <c r="L121" i="32"/>
  <c r="G121" i="32"/>
  <c r="D121" i="32"/>
  <c r="H121" i="32"/>
  <c r="E121" i="32"/>
  <c r="L122" i="32"/>
  <c r="G122" i="32"/>
  <c r="D122" i="32"/>
  <c r="H122" i="32"/>
  <c r="E122" i="32"/>
  <c r="L123" i="32"/>
  <c r="G123" i="32"/>
  <c r="D123" i="32"/>
  <c r="H123" i="32"/>
  <c r="E123" i="32"/>
  <c r="L124" i="32"/>
  <c r="G124" i="32"/>
  <c r="D124" i="32"/>
  <c r="H124" i="32"/>
  <c r="E124" i="32"/>
  <c r="C129" i="32"/>
  <c r="E129" i="32"/>
  <c r="G129" i="32"/>
  <c r="H129" i="32"/>
  <c r="C130" i="32"/>
  <c r="E130" i="32"/>
  <c r="G130" i="32"/>
  <c r="H130" i="32"/>
  <c r="C131" i="32"/>
  <c r="E131" i="32"/>
  <c r="G131" i="32"/>
  <c r="H131" i="32"/>
  <c r="C132" i="32"/>
  <c r="E132" i="32"/>
  <c r="G132" i="32"/>
  <c r="H132" i="32"/>
  <c r="G133" i="32"/>
  <c r="C133" i="32"/>
  <c r="E133" i="32"/>
  <c r="H133" i="32"/>
  <c r="G134" i="32"/>
  <c r="C134" i="32"/>
  <c r="E134" i="32"/>
  <c r="H134" i="32"/>
  <c r="G135" i="32"/>
  <c r="C135" i="32"/>
  <c r="E135" i="32"/>
  <c r="H135" i="32"/>
  <c r="G136" i="32"/>
  <c r="C136" i="32"/>
  <c r="E136" i="32"/>
  <c r="H136" i="32"/>
  <c r="G137" i="32"/>
  <c r="C137" i="32"/>
  <c r="E137" i="32"/>
  <c r="H137" i="32"/>
  <c r="G138" i="32"/>
  <c r="C138" i="32"/>
  <c r="E138" i="32"/>
  <c r="H138" i="32"/>
  <c r="K8" i="35"/>
  <c r="N8" i="35"/>
  <c r="O8" i="35"/>
  <c r="K9" i="35"/>
  <c r="N9" i="35"/>
  <c r="Q9" i="35"/>
  <c r="K10" i="35"/>
  <c r="N10" i="35"/>
  <c r="Q10" i="35"/>
  <c r="K11" i="35"/>
  <c r="N11" i="35"/>
  <c r="Q11" i="35"/>
  <c r="K12" i="35"/>
  <c r="N12" i="35"/>
  <c r="Q12" i="35"/>
  <c r="K13" i="35"/>
  <c r="N13" i="35"/>
  <c r="Q13" i="35"/>
  <c r="K14" i="35"/>
  <c r="N14" i="35"/>
  <c r="Q14" i="35"/>
  <c r="K15" i="35"/>
  <c r="N15" i="35"/>
  <c r="Q15" i="35"/>
  <c r="K16" i="35"/>
  <c r="N16" i="35"/>
  <c r="Q16" i="35"/>
  <c r="K17" i="35"/>
  <c r="N17" i="35"/>
  <c r="Q17" i="35"/>
  <c r="G42" i="53"/>
  <c r="H42" i="53"/>
  <c r="G43" i="53"/>
  <c r="H43" i="53"/>
  <c r="G44" i="53"/>
  <c r="H44" i="53"/>
  <c r="G45" i="53"/>
  <c r="H45" i="53"/>
  <c r="G46" i="53"/>
  <c r="H46" i="53"/>
  <c r="G47" i="53"/>
  <c r="H47" i="53"/>
  <c r="G48" i="53"/>
  <c r="H48" i="53"/>
  <c r="G49" i="53"/>
  <c r="H49" i="53"/>
  <c r="G50" i="53"/>
  <c r="H50" i="53"/>
  <c r="G51" i="53"/>
  <c r="H51" i="53"/>
  <c r="H52" i="53"/>
  <c r="G53" i="53"/>
  <c r="G82" i="53"/>
  <c r="G83" i="53"/>
  <c r="G84" i="53"/>
  <c r="G85" i="53"/>
  <c r="G86" i="53"/>
  <c r="G87" i="53"/>
  <c r="G88" i="53"/>
  <c r="G89" i="53"/>
  <c r="G91" i="53"/>
  <c r="J8" i="45"/>
  <c r="M8" i="45"/>
  <c r="J9" i="45"/>
  <c r="M9" i="45"/>
  <c r="J10" i="45"/>
  <c r="J11" i="45"/>
  <c r="J12" i="45"/>
  <c r="M12" i="45"/>
  <c r="J13" i="45"/>
  <c r="M13" i="45"/>
  <c r="J14" i="45"/>
  <c r="M14" i="45"/>
  <c r="J15" i="45"/>
  <c r="M15" i="45"/>
  <c r="J17" i="45"/>
  <c r="M17" i="45"/>
  <c r="O8" i="48"/>
  <c r="O9" i="48"/>
  <c r="O10" i="48"/>
  <c r="O11" i="48"/>
  <c r="O12" i="48"/>
  <c r="O13" i="48"/>
  <c r="O14" i="48"/>
  <c r="O15" i="48"/>
  <c r="O17" i="48"/>
  <c r="R17" i="38"/>
  <c r="Q17" i="38"/>
  <c r="R16" i="38"/>
  <c r="Q16" i="38"/>
  <c r="R15" i="38"/>
  <c r="Q15" i="38"/>
  <c r="R14" i="38"/>
  <c r="Q14" i="38"/>
  <c r="R13" i="38"/>
  <c r="Q13" i="38"/>
  <c r="R12" i="38"/>
  <c r="Q12" i="38"/>
  <c r="R11" i="38"/>
  <c r="Q11" i="38"/>
  <c r="R10" i="38"/>
  <c r="Q10" i="38"/>
  <c r="R9" i="38"/>
  <c r="Q9" i="38"/>
  <c r="R8" i="38"/>
  <c r="Q8" i="38"/>
  <c r="I5" i="29" a="1"/>
  <c r="I5" i="29" s="1"/>
  <c r="J2" i="37" s="1"/>
  <c r="I4" i="29" a="1"/>
  <c r="I4" i="29" s="1"/>
  <c r="J1" i="37" s="1"/>
  <c r="D4" i="52"/>
  <c r="D3" i="52"/>
  <c r="H65" i="53"/>
  <c r="G69" i="53"/>
  <c r="H83" i="53"/>
  <c r="H84" i="53"/>
  <c r="H85" i="53"/>
  <c r="H86" i="53"/>
  <c r="H87" i="53"/>
  <c r="H88" i="53"/>
  <c r="H89" i="53"/>
  <c r="H90" i="53"/>
  <c r="H91" i="53"/>
  <c r="H162" i="53"/>
  <c r="H163" i="53"/>
  <c r="H164" i="53"/>
  <c r="H165" i="53"/>
  <c r="H166" i="53"/>
  <c r="H167" i="53"/>
  <c r="H168" i="53"/>
  <c r="H169" i="53"/>
  <c r="H170" i="53"/>
  <c r="H171" i="53"/>
  <c r="E9" i="52"/>
  <c r="D163" i="53"/>
  <c r="D164" i="53"/>
  <c r="D165" i="53"/>
  <c r="D166" i="53"/>
  <c r="D167" i="53"/>
  <c r="D168" i="53"/>
  <c r="D169" i="53"/>
  <c r="D170" i="53"/>
  <c r="D171" i="53"/>
  <c r="C163" i="53"/>
  <c r="C164" i="53"/>
  <c r="C165" i="53"/>
  <c r="C166" i="53"/>
  <c r="C167" i="53"/>
  <c r="C168" i="53"/>
  <c r="C169" i="53"/>
  <c r="C170" i="53"/>
  <c r="C171" i="53"/>
  <c r="C162" i="53"/>
  <c r="C161" i="53"/>
  <c r="D162" i="53"/>
  <c r="C153" i="53"/>
  <c r="D153" i="53"/>
  <c r="C154" i="53"/>
  <c r="D154" i="53"/>
  <c r="C155" i="53"/>
  <c r="D155" i="53"/>
  <c r="C156" i="53"/>
  <c r="D156" i="53"/>
  <c r="C157" i="53"/>
  <c r="D157" i="53"/>
  <c r="C158" i="53"/>
  <c r="D158" i="53"/>
  <c r="C159" i="53"/>
  <c r="D159" i="53"/>
  <c r="C160" i="53"/>
  <c r="D160" i="53"/>
  <c r="D161" i="53"/>
  <c r="C152" i="53"/>
  <c r="C151" i="53"/>
  <c r="D152" i="53"/>
  <c r="C143" i="53"/>
  <c r="D143" i="53"/>
  <c r="C144" i="53"/>
  <c r="D144" i="53"/>
  <c r="C145" i="53"/>
  <c r="D145" i="53"/>
  <c r="C146" i="53"/>
  <c r="D146" i="53"/>
  <c r="C147" i="53"/>
  <c r="D147" i="53"/>
  <c r="C148" i="53"/>
  <c r="D148" i="53"/>
  <c r="C149" i="53"/>
  <c r="D149" i="53"/>
  <c r="C150" i="53"/>
  <c r="D150" i="53"/>
  <c r="D151" i="53"/>
  <c r="C142" i="53"/>
  <c r="C141" i="53"/>
  <c r="D142" i="53"/>
  <c r="C133" i="53"/>
  <c r="C134" i="53"/>
  <c r="C135" i="53"/>
  <c r="C136" i="53"/>
  <c r="C137" i="53"/>
  <c r="C138" i="53"/>
  <c r="C139" i="53"/>
  <c r="C140" i="53"/>
  <c r="C132" i="53"/>
  <c r="D133" i="53"/>
  <c r="D134" i="53"/>
  <c r="D135" i="53"/>
  <c r="D136" i="53"/>
  <c r="D137" i="53"/>
  <c r="D138" i="53"/>
  <c r="D139" i="53"/>
  <c r="D140" i="53"/>
  <c r="D141" i="53"/>
  <c r="C131" i="53"/>
  <c r="D132" i="53"/>
  <c r="C123" i="53"/>
  <c r="D123" i="53"/>
  <c r="C124" i="53"/>
  <c r="D124" i="53"/>
  <c r="C125" i="53"/>
  <c r="D125" i="53"/>
  <c r="C126" i="53"/>
  <c r="D126" i="53"/>
  <c r="C127" i="53"/>
  <c r="D127" i="53"/>
  <c r="C128" i="53"/>
  <c r="D128" i="53"/>
  <c r="C129" i="53"/>
  <c r="D129" i="53"/>
  <c r="C130" i="53"/>
  <c r="D130" i="53"/>
  <c r="D131" i="53"/>
  <c r="C122" i="53"/>
  <c r="C121" i="53"/>
  <c r="D122" i="53"/>
  <c r="C113" i="53"/>
  <c r="D113" i="53"/>
  <c r="C114" i="53"/>
  <c r="D114" i="53"/>
  <c r="C115" i="53"/>
  <c r="D115" i="53"/>
  <c r="C116" i="53"/>
  <c r="D116" i="53"/>
  <c r="C117" i="53"/>
  <c r="D117" i="53"/>
  <c r="C118" i="53"/>
  <c r="D118" i="53"/>
  <c r="C119" i="53"/>
  <c r="D119" i="53"/>
  <c r="C120" i="53"/>
  <c r="D120" i="53"/>
  <c r="D121" i="53"/>
  <c r="C112" i="53"/>
  <c r="C111" i="53"/>
  <c r="D112" i="53"/>
  <c r="C103" i="53"/>
  <c r="D103" i="53"/>
  <c r="C104" i="53"/>
  <c r="D104" i="53"/>
  <c r="C105" i="53"/>
  <c r="D105" i="53"/>
  <c r="C106" i="53"/>
  <c r="D106" i="53"/>
  <c r="C107" i="53"/>
  <c r="D107" i="53"/>
  <c r="C108" i="53"/>
  <c r="D108" i="53"/>
  <c r="C109" i="53"/>
  <c r="D109" i="53"/>
  <c r="C110" i="53"/>
  <c r="D110" i="53"/>
  <c r="D111" i="53"/>
  <c r="C102" i="53"/>
  <c r="D102" i="53"/>
  <c r="C93" i="53"/>
  <c r="D93" i="53"/>
  <c r="C94" i="53"/>
  <c r="D94" i="53"/>
  <c r="C95" i="53"/>
  <c r="D95" i="53"/>
  <c r="C96" i="53"/>
  <c r="D96" i="53"/>
  <c r="C97" i="53"/>
  <c r="D97" i="53"/>
  <c r="C98" i="53"/>
  <c r="D98" i="53"/>
  <c r="C99" i="53"/>
  <c r="D99" i="53"/>
  <c r="C100" i="53"/>
  <c r="D100" i="53"/>
  <c r="C101" i="53"/>
  <c r="D101" i="53"/>
  <c r="C92" i="53"/>
  <c r="C91" i="53"/>
  <c r="D92" i="53"/>
  <c r="C83" i="53"/>
  <c r="C84" i="53"/>
  <c r="C85" i="53"/>
  <c r="C86" i="53"/>
  <c r="C87" i="53"/>
  <c r="C88" i="53"/>
  <c r="C89" i="53"/>
  <c r="C90" i="53"/>
  <c r="C82" i="53"/>
  <c r="C81" i="53"/>
  <c r="D83" i="53"/>
  <c r="D84" i="53"/>
  <c r="D85" i="53"/>
  <c r="D86" i="53"/>
  <c r="D87" i="53"/>
  <c r="D88" i="53"/>
  <c r="D89" i="53"/>
  <c r="D90" i="53"/>
  <c r="D91" i="53"/>
  <c r="D82" i="53"/>
  <c r="C73" i="53"/>
  <c r="D73" i="53"/>
  <c r="C74" i="53"/>
  <c r="D74" i="53"/>
  <c r="C75" i="53"/>
  <c r="D75" i="53"/>
  <c r="C76" i="53"/>
  <c r="D76" i="53"/>
  <c r="C77" i="53"/>
  <c r="D77" i="53"/>
  <c r="C78" i="53"/>
  <c r="D78" i="53"/>
  <c r="C79" i="53"/>
  <c r="D79" i="53"/>
  <c r="C80" i="53"/>
  <c r="D80" i="53"/>
  <c r="D81" i="53"/>
  <c r="D72" i="53"/>
  <c r="C72" i="53"/>
  <c r="C51" i="53"/>
  <c r="C63" i="53"/>
  <c r="C64" i="53"/>
  <c r="C65" i="53"/>
  <c r="C66" i="53"/>
  <c r="C67" i="53"/>
  <c r="C68" i="53"/>
  <c r="C69" i="53"/>
  <c r="C70" i="53"/>
  <c r="C71" i="53"/>
  <c r="C62" i="53"/>
  <c r="C33" i="53"/>
  <c r="C34" i="53"/>
  <c r="C35" i="53"/>
  <c r="C36" i="53"/>
  <c r="C37" i="53"/>
  <c r="C38" i="53"/>
  <c r="C39" i="53"/>
  <c r="C40" i="53"/>
  <c r="C41" i="53"/>
  <c r="C32" i="53"/>
  <c r="C23" i="53"/>
  <c r="C24" i="53"/>
  <c r="C25" i="53"/>
  <c r="C26" i="53"/>
  <c r="C27" i="53"/>
  <c r="C28" i="53"/>
  <c r="C29" i="53"/>
  <c r="C30" i="53"/>
  <c r="C31" i="53"/>
  <c r="C22" i="53"/>
  <c r="C13" i="53"/>
  <c r="C14" i="53"/>
  <c r="C15" i="53"/>
  <c r="C16" i="53"/>
  <c r="C17" i="53"/>
  <c r="C18" i="53"/>
  <c r="C19" i="53"/>
  <c r="C20" i="53"/>
  <c r="C21" i="53"/>
  <c r="C12" i="53"/>
  <c r="C61" i="53"/>
  <c r="D63" i="53"/>
  <c r="D64" i="53"/>
  <c r="D65" i="53"/>
  <c r="D66" i="53"/>
  <c r="D67" i="53"/>
  <c r="D68" i="53"/>
  <c r="D69" i="53"/>
  <c r="D70" i="53"/>
  <c r="D71" i="53"/>
  <c r="D62" i="53"/>
  <c r="C53" i="53"/>
  <c r="C54" i="53"/>
  <c r="C55" i="53"/>
  <c r="C56" i="53"/>
  <c r="C57" i="53"/>
  <c r="C58" i="53"/>
  <c r="C59" i="53"/>
  <c r="C60" i="53"/>
  <c r="C52" i="53"/>
  <c r="D53" i="53"/>
  <c r="D54" i="53"/>
  <c r="D55" i="53"/>
  <c r="D56" i="53"/>
  <c r="D57" i="53"/>
  <c r="D58" i="53"/>
  <c r="D59" i="53"/>
  <c r="D60" i="53"/>
  <c r="D61" i="53"/>
  <c r="D52" i="53"/>
  <c r="C43" i="53"/>
  <c r="C44" i="53"/>
  <c r="C45" i="53"/>
  <c r="C46" i="53"/>
  <c r="C47" i="53"/>
  <c r="C48" i="53"/>
  <c r="C49" i="53"/>
  <c r="C50" i="53"/>
  <c r="C42" i="53"/>
  <c r="D43" i="53"/>
  <c r="D44" i="53"/>
  <c r="D45" i="53"/>
  <c r="D46" i="53"/>
  <c r="D47" i="53"/>
  <c r="D48" i="53"/>
  <c r="D49" i="53"/>
  <c r="D50" i="53"/>
  <c r="D51" i="53"/>
  <c r="D42" i="53"/>
  <c r="D33" i="53"/>
  <c r="D34" i="53"/>
  <c r="D35" i="53"/>
  <c r="D36" i="53"/>
  <c r="D37" i="53"/>
  <c r="D38" i="53"/>
  <c r="D39" i="53"/>
  <c r="D40" i="53"/>
  <c r="D41" i="53"/>
  <c r="D32" i="53"/>
  <c r="C3" i="53"/>
  <c r="C4" i="53"/>
  <c r="C5" i="53"/>
  <c r="C6" i="53"/>
  <c r="C7" i="53"/>
  <c r="C8" i="53"/>
  <c r="C9" i="53"/>
  <c r="C10" i="53"/>
  <c r="C11" i="53"/>
  <c r="C2" i="53"/>
  <c r="D23" i="53"/>
  <c r="D24" i="53"/>
  <c r="D25" i="53"/>
  <c r="D26" i="53"/>
  <c r="D27" i="53"/>
  <c r="D28" i="53"/>
  <c r="D29" i="53"/>
  <c r="D30" i="53"/>
  <c r="D31" i="53"/>
  <c r="D22" i="53"/>
  <c r="D13" i="53"/>
  <c r="D14" i="53"/>
  <c r="D15" i="53"/>
  <c r="D16" i="53"/>
  <c r="D17" i="53"/>
  <c r="D18" i="53"/>
  <c r="D19" i="53"/>
  <c r="D20" i="53"/>
  <c r="D21" i="53"/>
  <c r="D12" i="53"/>
  <c r="D3" i="53"/>
  <c r="D4" i="53"/>
  <c r="D5" i="53"/>
  <c r="D6" i="53"/>
  <c r="D7" i="53"/>
  <c r="D8" i="53"/>
  <c r="D9" i="53"/>
  <c r="D10" i="53"/>
  <c r="D11" i="53"/>
  <c r="D2" i="53"/>
  <c r="A154" i="49"/>
  <c r="A155" i="49"/>
  <c r="A156" i="49"/>
  <c r="A157" i="49"/>
  <c r="A158" i="49"/>
  <c r="A159" i="49"/>
  <c r="A160" i="49"/>
  <c r="A161" i="49"/>
  <c r="A162" i="49"/>
  <c r="A153" i="49"/>
  <c r="A144" i="49"/>
  <c r="A145" i="49"/>
  <c r="A146" i="49"/>
  <c r="A147" i="49"/>
  <c r="A148" i="49"/>
  <c r="A149" i="49"/>
  <c r="A150" i="49"/>
  <c r="A151" i="49"/>
  <c r="A152" i="49"/>
  <c r="A143" i="49"/>
  <c r="F36" i="37"/>
  <c r="L17" i="51"/>
  <c r="T17" i="51"/>
  <c r="L16" i="51"/>
  <c r="L15" i="51"/>
  <c r="T15" i="51"/>
  <c r="L14" i="51"/>
  <c r="T14" i="51"/>
  <c r="L13" i="51"/>
  <c r="T13" i="51"/>
  <c r="L12" i="51"/>
  <c r="L11" i="51"/>
  <c r="T11" i="51"/>
  <c r="L10" i="51"/>
  <c r="T10" i="51"/>
  <c r="L9" i="51"/>
  <c r="L8" i="51"/>
  <c r="T8" i="51"/>
  <c r="M8" i="51"/>
  <c r="I17" i="50"/>
  <c r="I16" i="50"/>
  <c r="I15" i="50"/>
  <c r="I14" i="50"/>
  <c r="I13" i="50"/>
  <c r="I12" i="50"/>
  <c r="I11" i="50"/>
  <c r="I10" i="50"/>
  <c r="I9" i="50"/>
  <c r="I8" i="50"/>
  <c r="J9" i="50"/>
  <c r="J16" i="45"/>
  <c r="M16" i="45"/>
  <c r="J9" i="47"/>
  <c r="L9" i="47"/>
  <c r="H133" i="53"/>
  <c r="J10" i="47"/>
  <c r="J11" i="47"/>
  <c r="J12" i="47"/>
  <c r="J13" i="47"/>
  <c r="J14" i="47"/>
  <c r="J15" i="47"/>
  <c r="J16" i="47"/>
  <c r="J17" i="47"/>
  <c r="J8" i="47"/>
  <c r="BA8" i="32"/>
  <c r="BA9" i="32"/>
  <c r="BA10" i="32"/>
  <c r="BA11" i="32"/>
  <c r="BA12" i="32"/>
  <c r="BA3" i="32"/>
  <c r="BA4" i="32"/>
  <c r="BA5" i="32"/>
  <c r="BA6" i="32"/>
  <c r="BA7" i="32"/>
  <c r="AX4" i="32"/>
  <c r="AX5" i="32"/>
  <c r="AX6" i="32"/>
  <c r="AX7" i="32"/>
  <c r="AX8" i="32"/>
  <c r="AX9" i="32"/>
  <c r="AX10" i="32"/>
  <c r="AX11" i="32"/>
  <c r="AX12" i="32"/>
  <c r="AX3" i="32"/>
  <c r="AY4" i="32"/>
  <c r="AZ4" i="32"/>
  <c r="AY5" i="32"/>
  <c r="AZ5" i="32"/>
  <c r="AY6" i="32"/>
  <c r="AZ6" i="32"/>
  <c r="AY7" i="32"/>
  <c r="AZ7" i="32"/>
  <c r="AY8" i="32"/>
  <c r="AZ8" i="32"/>
  <c r="AY9" i="32"/>
  <c r="AZ9" i="32"/>
  <c r="AY10" i="32"/>
  <c r="AZ10" i="32"/>
  <c r="AY11" i="32"/>
  <c r="AZ11" i="32"/>
  <c r="AY12" i="32"/>
  <c r="AZ12" i="32"/>
  <c r="AY3" i="32"/>
  <c r="AZ3" i="32"/>
  <c r="A124" i="49"/>
  <c r="A125" i="49"/>
  <c r="A126" i="49"/>
  <c r="A127" i="49"/>
  <c r="A128" i="49"/>
  <c r="A129" i="49"/>
  <c r="A130" i="49"/>
  <c r="A131" i="49"/>
  <c r="A132" i="49"/>
  <c r="A123" i="49"/>
  <c r="A134" i="49"/>
  <c r="A135" i="49"/>
  <c r="A136" i="49"/>
  <c r="A137" i="49"/>
  <c r="A138" i="49"/>
  <c r="A139" i="49"/>
  <c r="A140" i="49"/>
  <c r="A141" i="49"/>
  <c r="A142" i="49"/>
  <c r="A133" i="49"/>
  <c r="A114" i="49"/>
  <c r="A115" i="49"/>
  <c r="A116" i="49"/>
  <c r="A117" i="49"/>
  <c r="A118" i="49"/>
  <c r="A119" i="49"/>
  <c r="A120" i="49"/>
  <c r="A121" i="49"/>
  <c r="A122" i="49"/>
  <c r="A113" i="49"/>
  <c r="A104" i="49"/>
  <c r="A105" i="49"/>
  <c r="A106" i="49"/>
  <c r="A107" i="49"/>
  <c r="A108" i="49"/>
  <c r="A109" i="49"/>
  <c r="A110" i="49"/>
  <c r="A111" i="49"/>
  <c r="A112" i="49"/>
  <c r="A103" i="49"/>
  <c r="A164" i="49"/>
  <c r="A165" i="49"/>
  <c r="A166" i="49"/>
  <c r="A167" i="49"/>
  <c r="A168" i="49"/>
  <c r="A169" i="49"/>
  <c r="A170" i="49"/>
  <c r="A171" i="49"/>
  <c r="A172" i="49"/>
  <c r="A163" i="49"/>
  <c r="A94" i="49"/>
  <c r="A95" i="49"/>
  <c r="A96" i="49"/>
  <c r="A97" i="49"/>
  <c r="A98" i="49"/>
  <c r="A99" i="49"/>
  <c r="A100" i="49"/>
  <c r="A101" i="49"/>
  <c r="A102" i="49"/>
  <c r="A93" i="49"/>
  <c r="A84" i="49"/>
  <c r="A85" i="49"/>
  <c r="A86" i="49"/>
  <c r="A87" i="49"/>
  <c r="A88" i="49"/>
  <c r="A89" i="49"/>
  <c r="A90" i="49"/>
  <c r="A91" i="49"/>
  <c r="A92" i="49"/>
  <c r="A83" i="49"/>
  <c r="A74" i="49"/>
  <c r="A75" i="49"/>
  <c r="A76" i="49"/>
  <c r="A77" i="49"/>
  <c r="A78" i="49"/>
  <c r="A79" i="49"/>
  <c r="A80" i="49"/>
  <c r="A81" i="49"/>
  <c r="A82" i="49"/>
  <c r="A73" i="49"/>
  <c r="A64" i="49"/>
  <c r="A65" i="49"/>
  <c r="A66" i="49"/>
  <c r="A67" i="49"/>
  <c r="A68" i="49"/>
  <c r="A69" i="49"/>
  <c r="A70" i="49"/>
  <c r="A71" i="49"/>
  <c r="A72" i="49"/>
  <c r="A63" i="49"/>
  <c r="A54" i="49"/>
  <c r="A55" i="49"/>
  <c r="A56" i="49"/>
  <c r="A57" i="49"/>
  <c r="A58" i="49"/>
  <c r="A59" i="49"/>
  <c r="A60" i="49"/>
  <c r="A61" i="49"/>
  <c r="A62" i="49"/>
  <c r="A53" i="49"/>
  <c r="A44" i="49"/>
  <c r="A45" i="49"/>
  <c r="A46" i="49"/>
  <c r="A47" i="49"/>
  <c r="A48" i="49"/>
  <c r="A49" i="49"/>
  <c r="A50" i="49"/>
  <c r="A51" i="49"/>
  <c r="A52" i="49"/>
  <c r="A43" i="49"/>
  <c r="A34" i="49"/>
  <c r="A35" i="49"/>
  <c r="A36" i="49"/>
  <c r="A37" i="49"/>
  <c r="A38" i="49"/>
  <c r="A39" i="49"/>
  <c r="A40" i="49"/>
  <c r="A41" i="49"/>
  <c r="A42" i="49"/>
  <c r="A33" i="49"/>
  <c r="A24" i="49"/>
  <c r="A25" i="49"/>
  <c r="A26" i="49"/>
  <c r="A27" i="49"/>
  <c r="A28" i="49"/>
  <c r="A29" i="49"/>
  <c r="A30" i="49"/>
  <c r="A31" i="49"/>
  <c r="A32" i="49"/>
  <c r="A23" i="49"/>
  <c r="A14" i="49"/>
  <c r="A15" i="49"/>
  <c r="A16" i="49"/>
  <c r="A17" i="49"/>
  <c r="A18" i="49"/>
  <c r="A19" i="49"/>
  <c r="A20" i="49"/>
  <c r="A21" i="49"/>
  <c r="A22" i="49"/>
  <c r="A13" i="49"/>
  <c r="A4" i="49"/>
  <c r="A5" i="49"/>
  <c r="A6" i="49"/>
  <c r="A7" i="49"/>
  <c r="A8" i="49"/>
  <c r="A9" i="49"/>
  <c r="A10" i="49"/>
  <c r="A11" i="49"/>
  <c r="A12" i="49"/>
  <c r="A3" i="49"/>
  <c r="O16" i="48"/>
  <c r="G90" i="53"/>
  <c r="C33" i="37"/>
  <c r="X8" i="59"/>
  <c r="Q8" i="35"/>
  <c r="G92" i="53"/>
  <c r="C29" i="37"/>
  <c r="C32" i="37"/>
  <c r="G131" i="53"/>
  <c r="G130" i="53"/>
  <c r="G128" i="53"/>
  <c r="G126" i="53"/>
  <c r="G129" i="53"/>
  <c r="G127" i="53"/>
  <c r="O16" i="45"/>
  <c r="N16" i="45"/>
  <c r="O17" i="45"/>
  <c r="N17" i="45"/>
  <c r="O15" i="45"/>
  <c r="N15" i="45"/>
  <c r="N14" i="45"/>
  <c r="O14" i="45"/>
  <c r="N13" i="45"/>
  <c r="O13" i="45"/>
  <c r="O12" i="45"/>
  <c r="N12" i="45"/>
  <c r="O9" i="45"/>
  <c r="N9" i="45"/>
  <c r="G125" i="53"/>
  <c r="N8" i="45"/>
  <c r="O8" i="45"/>
  <c r="M11" i="45"/>
  <c r="O11" i="45"/>
  <c r="M10" i="45"/>
  <c r="C31" i="37"/>
  <c r="G143" i="53"/>
  <c r="G144" i="53"/>
  <c r="G145" i="53"/>
  <c r="G150" i="53"/>
  <c r="G151" i="53"/>
  <c r="G149" i="53"/>
  <c r="G147" i="53"/>
  <c r="G148" i="53"/>
  <c r="S14" i="38"/>
  <c r="B115" i="32"/>
  <c r="I137" i="32"/>
  <c r="L16" i="34"/>
  <c r="S11" i="38"/>
  <c r="S15" i="38"/>
  <c r="G124" i="53"/>
  <c r="G122" i="53"/>
  <c r="G123" i="53"/>
  <c r="S12" i="38"/>
  <c r="S8" i="38"/>
  <c r="S10" i="38"/>
  <c r="S9" i="38"/>
  <c r="S17" i="38"/>
  <c r="S16" i="38"/>
  <c r="I133" i="32"/>
  <c r="L12" i="34"/>
  <c r="I132" i="32"/>
  <c r="L11" i="34"/>
  <c r="I135" i="32"/>
  <c r="L14" i="34"/>
  <c r="I138" i="32"/>
  <c r="I131" i="32"/>
  <c r="I134" i="32"/>
  <c r="L13" i="34"/>
  <c r="I130" i="32"/>
  <c r="N5" i="32"/>
  <c r="J5" i="32"/>
  <c r="O5" i="32"/>
  <c r="I136" i="32"/>
  <c r="S13" i="38"/>
  <c r="I129" i="32"/>
  <c r="I88" i="53"/>
  <c r="I85" i="53"/>
  <c r="I89" i="53"/>
  <c r="I91" i="53"/>
  <c r="I86" i="53"/>
  <c r="I87" i="53"/>
  <c r="I84" i="53"/>
  <c r="I83" i="53"/>
  <c r="AG7" i="32"/>
  <c r="AG11" i="32"/>
  <c r="AG13" i="32"/>
  <c r="AG10" i="32"/>
  <c r="AG12" i="32"/>
  <c r="AG15" i="32"/>
  <c r="AG8" i="32"/>
  <c r="AG9" i="32"/>
  <c r="AG14" i="32"/>
  <c r="AG6" i="32"/>
  <c r="I63" i="53"/>
  <c r="H61" i="53"/>
  <c r="G61" i="53"/>
  <c r="I74" i="53"/>
  <c r="AN14" i="32"/>
  <c r="AK14" i="32"/>
  <c r="AL14" i="32"/>
  <c r="AM14" i="32"/>
  <c r="K10" i="32"/>
  <c r="P10" i="32"/>
  <c r="N10" i="32"/>
  <c r="AN8" i="32"/>
  <c r="AK8" i="32"/>
  <c r="AL8" i="32"/>
  <c r="AM8" i="32"/>
  <c r="AN9" i="32"/>
  <c r="AK9" i="32"/>
  <c r="X24" i="32"/>
  <c r="AL9" i="32"/>
  <c r="AM9" i="32"/>
  <c r="AM10" i="32"/>
  <c r="AN10" i="32"/>
  <c r="AK10" i="32"/>
  <c r="AL10" i="32"/>
  <c r="AN15" i="32"/>
  <c r="AK15" i="32"/>
  <c r="AL15" i="32"/>
  <c r="Y30" i="32"/>
  <c r="AM15" i="32"/>
  <c r="K13" i="32"/>
  <c r="P13" i="32"/>
  <c r="N13" i="32"/>
  <c r="Y11" i="32"/>
  <c r="AM11" i="32"/>
  <c r="AN11" i="32"/>
  <c r="AK11" i="32"/>
  <c r="AL11" i="32"/>
  <c r="J7" i="32"/>
  <c r="O7" i="32"/>
  <c r="N7" i="32"/>
  <c r="L11" i="32"/>
  <c r="Q11" i="32"/>
  <c r="N11" i="32"/>
  <c r="Z12" i="32"/>
  <c r="AL12" i="32"/>
  <c r="AM12" i="32"/>
  <c r="AN12" i="32"/>
  <c r="AK12" i="32"/>
  <c r="AB6" i="32"/>
  <c r="AM6" i="32"/>
  <c r="AL6" i="32"/>
  <c r="AN6" i="32"/>
  <c r="AK6" i="32"/>
  <c r="AL13" i="32"/>
  <c r="AM13" i="32"/>
  <c r="AN13" i="32"/>
  <c r="AK13" i="32"/>
  <c r="X28" i="32"/>
  <c r="AL7" i="32"/>
  <c r="AM7" i="32"/>
  <c r="AN7" i="32"/>
  <c r="AK7" i="32"/>
  <c r="X22" i="32"/>
  <c r="I76" i="53"/>
  <c r="S14" i="35"/>
  <c r="S10" i="35"/>
  <c r="G146" i="53"/>
  <c r="I138" i="53"/>
  <c r="I133" i="53"/>
  <c r="I132" i="53"/>
  <c r="G112" i="53"/>
  <c r="I140" i="53"/>
  <c r="I136" i="53"/>
  <c r="I134" i="53"/>
  <c r="I139" i="53"/>
  <c r="I135" i="53"/>
  <c r="I141" i="53"/>
  <c r="I137" i="53"/>
  <c r="C26" i="37"/>
  <c r="I62" i="53"/>
  <c r="I71" i="53"/>
  <c r="I65" i="53"/>
  <c r="I69" i="53"/>
  <c r="I67" i="53"/>
  <c r="I64" i="53"/>
  <c r="H59" i="53"/>
  <c r="G59" i="53"/>
  <c r="H58" i="53"/>
  <c r="G58" i="53"/>
  <c r="H57" i="53"/>
  <c r="G57" i="53"/>
  <c r="H55" i="53"/>
  <c r="G55" i="53"/>
  <c r="H54" i="53"/>
  <c r="G54" i="53"/>
  <c r="H60" i="53"/>
  <c r="G60" i="53"/>
  <c r="H56" i="53"/>
  <c r="G56" i="53"/>
  <c r="G52" i="53"/>
  <c r="I52" i="53"/>
  <c r="S17" i="35"/>
  <c r="S16" i="35"/>
  <c r="S15" i="35"/>
  <c r="S13" i="35"/>
  <c r="S12" i="35"/>
  <c r="S11" i="35"/>
  <c r="S9" i="35"/>
  <c r="L8" i="32"/>
  <c r="Q8" i="32"/>
  <c r="M8" i="32"/>
  <c r="L7" i="32"/>
  <c r="Q7" i="32"/>
  <c r="K8" i="32"/>
  <c r="P8" i="32"/>
  <c r="I108" i="53"/>
  <c r="C122" i="32"/>
  <c r="C120" i="32"/>
  <c r="B121" i="32"/>
  <c r="C115" i="32"/>
  <c r="C116" i="32"/>
  <c r="J8" i="32"/>
  <c r="B123" i="32"/>
  <c r="C118" i="32"/>
  <c r="Z15" i="32"/>
  <c r="V14" i="32"/>
  <c r="U6" i="32"/>
  <c r="W12" i="32"/>
  <c r="J12" i="32"/>
  <c r="O12" i="32"/>
  <c r="J28" i="32"/>
  <c r="K5" i="32"/>
  <c r="P5" i="32"/>
  <c r="J11" i="32"/>
  <c r="O11" i="32"/>
  <c r="L14" i="32"/>
  <c r="Q14" i="32"/>
  <c r="V6" i="32"/>
  <c r="M14" i="32"/>
  <c r="M5" i="32"/>
  <c r="J10" i="32"/>
  <c r="O10" i="32"/>
  <c r="K7" i="32"/>
  <c r="M7" i="32"/>
  <c r="M10" i="32"/>
  <c r="K14" i="32"/>
  <c r="L10" i="32"/>
  <c r="Q10" i="32"/>
  <c r="C124" i="32"/>
  <c r="C123" i="32"/>
  <c r="B119" i="32"/>
  <c r="C117" i="32"/>
  <c r="J13" i="32"/>
  <c r="K9" i="32"/>
  <c r="K6" i="32"/>
  <c r="F25" i="37"/>
  <c r="I79" i="53"/>
  <c r="I73" i="53"/>
  <c r="I77" i="53"/>
  <c r="I107" i="53"/>
  <c r="X15" i="32"/>
  <c r="M13" i="32"/>
  <c r="C119" i="32"/>
  <c r="I49" i="53"/>
  <c r="I45" i="53"/>
  <c r="I81" i="53"/>
  <c r="L13" i="32"/>
  <c r="Q13" i="32"/>
  <c r="I42" i="53"/>
  <c r="U15" i="32"/>
  <c r="BB12" i="32"/>
  <c r="BC12" i="32"/>
  <c r="BB8" i="32"/>
  <c r="BC8" i="32"/>
  <c r="BB4" i="32"/>
  <c r="BC4" i="32"/>
  <c r="C121" i="32"/>
  <c r="B117" i="32"/>
  <c r="AE10" i="32"/>
  <c r="AI10" i="32"/>
  <c r="AJ10" i="32"/>
  <c r="AD10" i="32"/>
  <c r="AH10" i="32"/>
  <c r="AF10" i="32"/>
  <c r="X7" i="32"/>
  <c r="AE7" i="32"/>
  <c r="AJ7" i="32"/>
  <c r="AD7" i="32"/>
  <c r="AH7" i="32"/>
  <c r="AF7" i="32"/>
  <c r="AI7" i="32"/>
  <c r="AE15" i="32"/>
  <c r="AD15" i="32"/>
  <c r="AH15" i="32"/>
  <c r="AF15" i="32"/>
  <c r="AI15" i="32"/>
  <c r="AJ15" i="32"/>
  <c r="AB13" i="32"/>
  <c r="AE13" i="32"/>
  <c r="AD13" i="32"/>
  <c r="AH13" i="32"/>
  <c r="AF13" i="32"/>
  <c r="AI13" i="32"/>
  <c r="AJ13" i="32"/>
  <c r="I78" i="53"/>
  <c r="H53" i="53"/>
  <c r="I53" i="53"/>
  <c r="L5" i="32"/>
  <c r="Q5" i="32"/>
  <c r="W15" i="32"/>
  <c r="N30" i="32"/>
  <c r="J6" i="32"/>
  <c r="M11" i="32"/>
  <c r="Y15" i="32"/>
  <c r="P30" i="32"/>
  <c r="K11" i="32"/>
  <c r="L6" i="32"/>
  <c r="Q6" i="32"/>
  <c r="I43" i="53"/>
  <c r="AE12" i="32"/>
  <c r="AI12" i="32"/>
  <c r="AJ12" i="32"/>
  <c r="AH12" i="32"/>
  <c r="AF12" i="32"/>
  <c r="AD12" i="32"/>
  <c r="AJ6" i="32"/>
  <c r="AD6" i="32"/>
  <c r="AI6" i="32"/>
  <c r="AF6" i="32"/>
  <c r="AE6" i="32"/>
  <c r="V15" i="32"/>
  <c r="BB3" i="32"/>
  <c r="BC3" i="32"/>
  <c r="BB11" i="32"/>
  <c r="BC11" i="32"/>
  <c r="BB9" i="32"/>
  <c r="BC9" i="32"/>
  <c r="BB7" i="32"/>
  <c r="BC7" i="32"/>
  <c r="BB5" i="32"/>
  <c r="BC5" i="32"/>
  <c r="Y9" i="32"/>
  <c r="AE9" i="32"/>
  <c r="AJ9" i="32"/>
  <c r="AD9" i="32"/>
  <c r="AH9" i="32"/>
  <c r="AF9" i="32"/>
  <c r="AI9" i="32"/>
  <c r="AB15" i="32"/>
  <c r="S30" i="32"/>
  <c r="M6" i="32"/>
  <c r="V10" i="32"/>
  <c r="AA15" i="32"/>
  <c r="R30" i="32"/>
  <c r="BB10" i="32"/>
  <c r="BC10" i="32"/>
  <c r="BB6" i="32"/>
  <c r="BC6" i="32"/>
  <c r="I51" i="53"/>
  <c r="B124" i="32"/>
  <c r="B122" i="32"/>
  <c r="B120" i="32"/>
  <c r="B118" i="32"/>
  <c r="B116" i="32"/>
  <c r="AE14" i="32"/>
  <c r="AI14" i="32"/>
  <c r="AJ14" i="32"/>
  <c r="AH14" i="32"/>
  <c r="AF14" i="32"/>
  <c r="AD14" i="32"/>
  <c r="V11" i="32"/>
  <c r="AE11" i="32"/>
  <c r="AH11" i="32"/>
  <c r="AF11" i="32"/>
  <c r="AI11" i="32"/>
  <c r="AJ11" i="32"/>
  <c r="AD11" i="32"/>
  <c r="AE8" i="32"/>
  <c r="AI8" i="32"/>
  <c r="AH8" i="32"/>
  <c r="AF8" i="32"/>
  <c r="AJ8" i="32"/>
  <c r="AD8" i="32"/>
  <c r="I46" i="53"/>
  <c r="I72" i="53"/>
  <c r="I102" i="53"/>
  <c r="I104" i="53"/>
  <c r="I48" i="53"/>
  <c r="F27" i="37"/>
  <c r="I75" i="53"/>
  <c r="I44" i="53"/>
  <c r="I106" i="53"/>
  <c r="I111" i="53"/>
  <c r="I109" i="53"/>
  <c r="I105" i="53"/>
  <c r="F30" i="37"/>
  <c r="G103" i="53"/>
  <c r="I103" i="53"/>
  <c r="I47" i="53"/>
  <c r="V9" i="42"/>
  <c r="K12" i="32"/>
  <c r="M12" i="32"/>
  <c r="M9" i="32"/>
  <c r="J9" i="32"/>
  <c r="L9" i="32"/>
  <c r="Q9" i="32"/>
  <c r="L12" i="32"/>
  <c r="Q12" i="32"/>
  <c r="V8" i="32"/>
  <c r="AA11" i="32"/>
  <c r="U7" i="32"/>
  <c r="L22" i="32"/>
  <c r="AA7" i="32"/>
  <c r="V7" i="32"/>
  <c r="U9" i="32"/>
  <c r="V13" i="32"/>
  <c r="AB7" i="32"/>
  <c r="S22" i="32"/>
  <c r="W7" i="32"/>
  <c r="AB11" i="32"/>
  <c r="S26" i="32"/>
  <c r="J14" i="32"/>
  <c r="Y7" i="32"/>
  <c r="I110" i="53"/>
  <c r="I90" i="53"/>
  <c r="I80" i="53"/>
  <c r="I70" i="53"/>
  <c r="I68" i="53"/>
  <c r="F26" i="37"/>
  <c r="G66" i="53"/>
  <c r="I66" i="53"/>
  <c r="I50" i="53"/>
  <c r="W13" i="32"/>
  <c r="N28" i="32"/>
  <c r="AA13" i="32"/>
  <c r="U13" i="32"/>
  <c r="L28" i="32"/>
  <c r="Z13" i="32"/>
  <c r="X13" i="32"/>
  <c r="Y13" i="32"/>
  <c r="P28" i="32"/>
  <c r="U11" i="32"/>
  <c r="L26" i="32"/>
  <c r="X11" i="32"/>
  <c r="Z11" i="32"/>
  <c r="Q26" i="32"/>
  <c r="W11" i="32"/>
  <c r="AB9" i="32"/>
  <c r="S24" i="32"/>
  <c r="X9" i="32"/>
  <c r="O24" i="32"/>
  <c r="AA9" i="32"/>
  <c r="W9" i="32"/>
  <c r="N24" i="32"/>
  <c r="Z9" i="32"/>
  <c r="V9" i="32"/>
  <c r="Z7" i="32"/>
  <c r="X14" i="32"/>
  <c r="AB14" i="32"/>
  <c r="Z14" i="32"/>
  <c r="W14" i="32"/>
  <c r="AA14" i="32"/>
  <c r="Y14" i="32"/>
  <c r="U14" i="32"/>
  <c r="V12" i="32"/>
  <c r="AB12" i="32"/>
  <c r="U12" i="32"/>
  <c r="AA12" i="32"/>
  <c r="Y12" i="32"/>
  <c r="X12" i="32"/>
  <c r="AB10" i="32"/>
  <c r="Y10" i="32"/>
  <c r="AA10" i="32"/>
  <c r="X10" i="32"/>
  <c r="Z10" i="32"/>
  <c r="W10" i="32"/>
  <c r="U10" i="32"/>
  <c r="L25" i="32"/>
  <c r="AA8" i="32"/>
  <c r="Y8" i="32"/>
  <c r="AB8" i="32"/>
  <c r="X8" i="32"/>
  <c r="Z8" i="32"/>
  <c r="W8" i="32"/>
  <c r="U8" i="32"/>
  <c r="Y6" i="32"/>
  <c r="AH6" i="32"/>
  <c r="W6" i="32"/>
  <c r="AA6" i="32"/>
  <c r="Z6" i="32"/>
  <c r="X6" i="32"/>
  <c r="L16" i="50"/>
  <c r="M9" i="47"/>
  <c r="M15" i="47"/>
  <c r="M17" i="47"/>
  <c r="M14" i="47"/>
  <c r="V17" i="42"/>
  <c r="M10" i="47"/>
  <c r="M10" i="51"/>
  <c r="U10" i="51"/>
  <c r="M17" i="51"/>
  <c r="V17" i="51"/>
  <c r="W17" i="51"/>
  <c r="G160" i="53"/>
  <c r="M11" i="47"/>
  <c r="L12" i="44"/>
  <c r="M13" i="51"/>
  <c r="V13" i="51"/>
  <c r="M13" i="47"/>
  <c r="L8" i="44"/>
  <c r="M15" i="51"/>
  <c r="U15" i="51"/>
  <c r="M16" i="47"/>
  <c r="M12" i="47"/>
  <c r="M8" i="47"/>
  <c r="M11" i="51"/>
  <c r="V11" i="51"/>
  <c r="G153" i="53"/>
  <c r="T12" i="51"/>
  <c r="M12" i="51"/>
  <c r="M16" i="51"/>
  <c r="T16" i="51"/>
  <c r="K12" i="50"/>
  <c r="H156" i="53"/>
  <c r="J10" i="50"/>
  <c r="J14" i="50"/>
  <c r="J8" i="50"/>
  <c r="K9" i="50"/>
  <c r="H153" i="53"/>
  <c r="K13" i="50"/>
  <c r="H157" i="53"/>
  <c r="K17" i="50"/>
  <c r="H161" i="53"/>
  <c r="J11" i="50"/>
  <c r="J15" i="50"/>
  <c r="K10" i="50"/>
  <c r="H154" i="53"/>
  <c r="K14" i="50"/>
  <c r="H158" i="53"/>
  <c r="K8" i="50"/>
  <c r="J12" i="50"/>
  <c r="T9" i="51"/>
  <c r="M9" i="51"/>
  <c r="J17" i="50"/>
  <c r="K15" i="50"/>
  <c r="H159" i="53"/>
  <c r="V8" i="51"/>
  <c r="J13" i="50"/>
  <c r="K11" i="50"/>
  <c r="H155" i="53"/>
  <c r="M14" i="51"/>
  <c r="L16" i="44"/>
  <c r="U8" i="51"/>
  <c r="L14" i="44"/>
  <c r="L10" i="44"/>
  <c r="S11" i="40"/>
  <c r="L17" i="44"/>
  <c r="L13" i="44"/>
  <c r="L9" i="44"/>
  <c r="L15" i="44"/>
  <c r="L11" i="44"/>
  <c r="V16" i="42"/>
  <c r="V13" i="42"/>
  <c r="O16" i="41"/>
  <c r="V12" i="42"/>
  <c r="S15" i="40"/>
  <c r="O8" i="41"/>
  <c r="O12" i="41"/>
  <c r="O15" i="41"/>
  <c r="O11" i="41"/>
  <c r="S14" i="40"/>
  <c r="S10" i="40"/>
  <c r="P9" i="39"/>
  <c r="V15" i="42"/>
  <c r="V11" i="42"/>
  <c r="O14" i="41"/>
  <c r="O10" i="41"/>
  <c r="S17" i="40"/>
  <c r="S13" i="40"/>
  <c r="S9" i="40"/>
  <c r="V14" i="42"/>
  <c r="V10" i="42"/>
  <c r="O17" i="41"/>
  <c r="O13" i="41"/>
  <c r="O9" i="41"/>
  <c r="S16" i="40"/>
  <c r="S12" i="40"/>
  <c r="S8" i="40"/>
  <c r="R24" i="32"/>
  <c r="H131" i="53"/>
  <c r="I131" i="53"/>
  <c r="D31" i="37"/>
  <c r="E34" i="37"/>
  <c r="D34" i="37"/>
  <c r="D32" i="37"/>
  <c r="D29" i="37"/>
  <c r="G142" i="53"/>
  <c r="C34" i="37"/>
  <c r="E32" i="37"/>
  <c r="E29" i="37"/>
  <c r="H128" i="53"/>
  <c r="I128" i="53"/>
  <c r="H129" i="53"/>
  <c r="I129" i="53"/>
  <c r="H125" i="53"/>
  <c r="I125" i="53"/>
  <c r="J137" i="32"/>
  <c r="H145" i="53"/>
  <c r="I145" i="53"/>
  <c r="H149" i="53"/>
  <c r="I149" i="53"/>
  <c r="H148" i="53"/>
  <c r="I148" i="53"/>
  <c r="H151" i="53"/>
  <c r="I151" i="53"/>
  <c r="N11" i="45"/>
  <c r="N10" i="45"/>
  <c r="O10" i="45"/>
  <c r="E31" i="37"/>
  <c r="H146" i="53"/>
  <c r="I146" i="53"/>
  <c r="H143" i="53"/>
  <c r="I143" i="53"/>
  <c r="H147" i="53"/>
  <c r="I147" i="53"/>
  <c r="H150" i="53"/>
  <c r="I150" i="53"/>
  <c r="S8" i="35"/>
  <c r="AA8" i="48"/>
  <c r="H142" i="53"/>
  <c r="H144" i="53"/>
  <c r="I144" i="53"/>
  <c r="M28" i="32"/>
  <c r="S28" i="32"/>
  <c r="O28" i="32"/>
  <c r="Q28" i="32"/>
  <c r="U28" i="32"/>
  <c r="Y28" i="32"/>
  <c r="Z28" i="32"/>
  <c r="R28" i="32"/>
  <c r="V28" i="32"/>
  <c r="N26" i="32"/>
  <c r="R26" i="32"/>
  <c r="Y26" i="32"/>
  <c r="N23" i="32"/>
  <c r="P27" i="32"/>
  <c r="R27" i="32"/>
  <c r="Y25" i="32"/>
  <c r="J135" i="32"/>
  <c r="M14" i="34"/>
  <c r="O25" i="32"/>
  <c r="Y23" i="32"/>
  <c r="J132" i="32"/>
  <c r="M11" i="34"/>
  <c r="Y29" i="32"/>
  <c r="J133" i="32"/>
  <c r="N12" i="34"/>
  <c r="Q25" i="32"/>
  <c r="X27" i="32"/>
  <c r="J129" i="32"/>
  <c r="L8" i="34"/>
  <c r="J27" i="32"/>
  <c r="G21" i="32"/>
  <c r="O8" i="46"/>
  <c r="H93" i="53"/>
  <c r="I93" i="53"/>
  <c r="I59" i="53"/>
  <c r="O8" i="43"/>
  <c r="P8" i="45"/>
  <c r="Q8" i="45"/>
  <c r="J130" i="32"/>
  <c r="L9" i="34"/>
  <c r="M16" i="34"/>
  <c r="N16" i="34"/>
  <c r="J131" i="32"/>
  <c r="L10" i="34"/>
  <c r="J138" i="32"/>
  <c r="L17" i="34"/>
  <c r="J136" i="32"/>
  <c r="L15" i="34"/>
  <c r="P9" i="45"/>
  <c r="G113" i="53"/>
  <c r="P15" i="45"/>
  <c r="Q15" i="45"/>
  <c r="G115" i="53"/>
  <c r="G116" i="53"/>
  <c r="P12" i="45"/>
  <c r="H116" i="53"/>
  <c r="G120" i="53"/>
  <c r="P16" i="45"/>
  <c r="H120" i="53"/>
  <c r="G114" i="53"/>
  <c r="G121" i="53"/>
  <c r="G117" i="53"/>
  <c r="Y27" i="32"/>
  <c r="I56" i="53"/>
  <c r="Q27" i="32"/>
  <c r="R25" i="32"/>
  <c r="H97" i="53"/>
  <c r="I97" i="53"/>
  <c r="S25" i="32"/>
  <c r="N25" i="32"/>
  <c r="X29" i="32"/>
  <c r="M23" i="32"/>
  <c r="J134" i="32"/>
  <c r="J26" i="32"/>
  <c r="Q22" i="32"/>
  <c r="O22" i="32"/>
  <c r="W22" i="32"/>
  <c r="Y22" i="32"/>
  <c r="R22" i="32"/>
  <c r="G40" i="53"/>
  <c r="T16" i="35"/>
  <c r="G37" i="53"/>
  <c r="T13" i="35"/>
  <c r="G36" i="53"/>
  <c r="T12" i="35"/>
  <c r="G41" i="53"/>
  <c r="T17" i="35"/>
  <c r="G35" i="53"/>
  <c r="T11" i="35"/>
  <c r="G39" i="53"/>
  <c r="T15" i="35"/>
  <c r="G33" i="53"/>
  <c r="T9" i="35"/>
  <c r="G32" i="53"/>
  <c r="G34" i="53"/>
  <c r="T10" i="35"/>
  <c r="G38" i="53"/>
  <c r="T14" i="35"/>
  <c r="I54" i="53"/>
  <c r="J23" i="32"/>
  <c r="X30" i="32"/>
  <c r="Z30" i="32"/>
  <c r="L29" i="32"/>
  <c r="P29" i="32"/>
  <c r="S29" i="32"/>
  <c r="L27" i="32"/>
  <c r="M27" i="32"/>
  <c r="X25" i="32"/>
  <c r="X23" i="32"/>
  <c r="Z23" i="32"/>
  <c r="L23" i="32"/>
  <c r="T23" i="32"/>
  <c r="Q23" i="32"/>
  <c r="S23" i="32"/>
  <c r="P23" i="32"/>
  <c r="O21" i="32"/>
  <c r="R21" i="32"/>
  <c r="P24" i="32"/>
  <c r="L24" i="32"/>
  <c r="T24" i="32"/>
  <c r="M24" i="32"/>
  <c r="Q24" i="32"/>
  <c r="Y24" i="32"/>
  <c r="Z24" i="32"/>
  <c r="S21" i="32"/>
  <c r="G118" i="53"/>
  <c r="M26" i="32"/>
  <c r="U26" i="32"/>
  <c r="P26" i="32"/>
  <c r="T26" i="32"/>
  <c r="O26" i="32"/>
  <c r="W26" i="32"/>
  <c r="X26" i="32"/>
  <c r="L30" i="32"/>
  <c r="T30" i="32"/>
  <c r="M30" i="32"/>
  <c r="O30" i="32"/>
  <c r="W30" i="32"/>
  <c r="Q30" i="32"/>
  <c r="I55" i="53"/>
  <c r="G119" i="53"/>
  <c r="P17" i="39"/>
  <c r="G23" i="32"/>
  <c r="V10" i="51"/>
  <c r="I61" i="53"/>
  <c r="I57" i="53"/>
  <c r="W28" i="32"/>
  <c r="T28" i="32"/>
  <c r="H29" i="32"/>
  <c r="V30" i="32"/>
  <c r="W8" i="51"/>
  <c r="Y8" i="51"/>
  <c r="H22" i="32"/>
  <c r="P6" i="32"/>
  <c r="H27" i="32"/>
  <c r="P11" i="32"/>
  <c r="H25" i="32"/>
  <c r="P9" i="32"/>
  <c r="H28" i="32"/>
  <c r="P12" i="32"/>
  <c r="H23" i="32"/>
  <c r="P7" i="32"/>
  <c r="G30" i="32"/>
  <c r="O14" i="32"/>
  <c r="J30" i="32"/>
  <c r="G29" i="32"/>
  <c r="O13" i="32"/>
  <c r="J29" i="32"/>
  <c r="H26" i="32"/>
  <c r="G22" i="32"/>
  <c r="I22" i="32"/>
  <c r="O6" i="32"/>
  <c r="J22" i="32"/>
  <c r="H30" i="32"/>
  <c r="P14" i="32"/>
  <c r="H24" i="32"/>
  <c r="G25" i="32"/>
  <c r="O9" i="32"/>
  <c r="J25" i="32"/>
  <c r="O8" i="32"/>
  <c r="J24" i="32"/>
  <c r="P14" i="39"/>
  <c r="P10" i="39"/>
  <c r="R23" i="32"/>
  <c r="P25" i="32"/>
  <c r="T25" i="32"/>
  <c r="S27" i="32"/>
  <c r="P15" i="39"/>
  <c r="O27" i="32"/>
  <c r="M25" i="32"/>
  <c r="O23" i="32"/>
  <c r="W10" i="51"/>
  <c r="G164" i="53"/>
  <c r="I164" i="53"/>
  <c r="M21" i="32"/>
  <c r="N27" i="32"/>
  <c r="M29" i="32"/>
  <c r="N29" i="32"/>
  <c r="I58" i="53"/>
  <c r="P13" i="39"/>
  <c r="P12" i="39"/>
  <c r="P8" i="39"/>
  <c r="C25" i="37"/>
  <c r="I60" i="53"/>
  <c r="P11" i="39"/>
  <c r="P16" i="39"/>
  <c r="M122" i="32"/>
  <c r="M117" i="32"/>
  <c r="W24" i="32"/>
  <c r="Z22" i="32"/>
  <c r="V24" i="32"/>
  <c r="X21" i="32"/>
  <c r="P21" i="32"/>
  <c r="Y21" i="32"/>
  <c r="H21" i="32"/>
  <c r="L21" i="32"/>
  <c r="G27" i="32"/>
  <c r="G28" i="32"/>
  <c r="G26" i="32"/>
  <c r="G24" i="32"/>
  <c r="M116" i="32"/>
  <c r="M121" i="32"/>
  <c r="M118" i="32"/>
  <c r="M115" i="32"/>
  <c r="N115" i="32"/>
  <c r="M120" i="32"/>
  <c r="M123" i="32"/>
  <c r="M124" i="32"/>
  <c r="M119" i="32"/>
  <c r="J21" i="32"/>
  <c r="G26" i="37"/>
  <c r="R29" i="32"/>
  <c r="O29" i="32"/>
  <c r="P22" i="32"/>
  <c r="T22" i="32"/>
  <c r="Q21" i="32"/>
  <c r="N21" i="32"/>
  <c r="Q29" i="32"/>
  <c r="N22" i="32"/>
  <c r="V22" i="32"/>
  <c r="M22" i="32"/>
  <c r="U22" i="32"/>
  <c r="G33" i="37"/>
  <c r="G30" i="37"/>
  <c r="G27" i="37"/>
  <c r="G24" i="37"/>
  <c r="C23" i="37"/>
  <c r="U17" i="51"/>
  <c r="U13" i="51"/>
  <c r="W13" i="51"/>
  <c r="U11" i="51"/>
  <c r="W11" i="51"/>
  <c r="G165" i="53"/>
  <c r="V15" i="51"/>
  <c r="W15" i="51"/>
  <c r="Y15" i="51"/>
  <c r="I160" i="53"/>
  <c r="V14" i="51"/>
  <c r="W14" i="51"/>
  <c r="U14" i="51"/>
  <c r="G171" i="53"/>
  <c r="Y17" i="51"/>
  <c r="L10" i="50"/>
  <c r="G154" i="53"/>
  <c r="V12" i="51"/>
  <c r="U12" i="51"/>
  <c r="L17" i="50"/>
  <c r="G161" i="53"/>
  <c r="G156" i="53"/>
  <c r="L12" i="50"/>
  <c r="G159" i="53"/>
  <c r="L15" i="50"/>
  <c r="F35" i="37"/>
  <c r="H152" i="53"/>
  <c r="G155" i="53"/>
  <c r="L11" i="50"/>
  <c r="G152" i="53"/>
  <c r="C35" i="37"/>
  <c r="L8" i="50"/>
  <c r="I153" i="53"/>
  <c r="L13" i="50"/>
  <c r="G157" i="53"/>
  <c r="V9" i="51"/>
  <c r="U9" i="51"/>
  <c r="W9" i="51"/>
  <c r="L14" i="50"/>
  <c r="G158" i="53"/>
  <c r="U16" i="51"/>
  <c r="V16" i="51"/>
  <c r="L9" i="50"/>
  <c r="U8" i="35"/>
  <c r="E23" i="37"/>
  <c r="P17" i="46"/>
  <c r="I142" i="53"/>
  <c r="H98" i="53"/>
  <c r="I98" i="53"/>
  <c r="P14" i="43"/>
  <c r="P11" i="46"/>
  <c r="P14" i="46"/>
  <c r="P15" i="46"/>
  <c r="H126" i="53"/>
  <c r="I126" i="53"/>
  <c r="P12" i="46"/>
  <c r="H100" i="53"/>
  <c r="I100" i="53"/>
  <c r="P16" i="43"/>
  <c r="H130" i="53"/>
  <c r="I130" i="53"/>
  <c r="P16" i="46"/>
  <c r="H127" i="53"/>
  <c r="I127" i="53"/>
  <c r="P13" i="46"/>
  <c r="H101" i="53"/>
  <c r="I101" i="53"/>
  <c r="P17" i="43"/>
  <c r="H99" i="53"/>
  <c r="I99" i="53"/>
  <c r="P15" i="43"/>
  <c r="N14" i="34"/>
  <c r="O14" i="34"/>
  <c r="H28" i="53"/>
  <c r="AB13" i="48"/>
  <c r="Z25" i="32"/>
  <c r="I120" i="53"/>
  <c r="T8" i="35"/>
  <c r="Z26" i="32"/>
  <c r="V26" i="32"/>
  <c r="AB8" i="48"/>
  <c r="AB15" i="48"/>
  <c r="AB9" i="48"/>
  <c r="AB17" i="48"/>
  <c r="AB11" i="48"/>
  <c r="AB16" i="48"/>
  <c r="AB12" i="48"/>
  <c r="F34" i="37"/>
  <c r="AB10" i="48"/>
  <c r="AB14" i="48"/>
  <c r="V23" i="32"/>
  <c r="V27" i="32"/>
  <c r="T27" i="32"/>
  <c r="U25" i="32"/>
  <c r="H96" i="53"/>
  <c r="I96" i="53"/>
  <c r="P12" i="43"/>
  <c r="Z29" i="32"/>
  <c r="Z27" i="32"/>
  <c r="V25" i="32"/>
  <c r="W25" i="32"/>
  <c r="U24" i="32"/>
  <c r="H95" i="53"/>
  <c r="I95" i="53"/>
  <c r="P11" i="43"/>
  <c r="N11" i="34"/>
  <c r="O11" i="34"/>
  <c r="H25" i="53"/>
  <c r="M12" i="34"/>
  <c r="O12" i="34"/>
  <c r="H26" i="53"/>
  <c r="F32" i="37"/>
  <c r="O120" i="32"/>
  <c r="P13" i="33"/>
  <c r="N120" i="32"/>
  <c r="O13" i="33"/>
  <c r="N118" i="32"/>
  <c r="O11" i="33"/>
  <c r="O118" i="32"/>
  <c r="P11" i="33"/>
  <c r="N122" i="32"/>
  <c r="O15" i="33"/>
  <c r="O122" i="32"/>
  <c r="P15" i="33"/>
  <c r="U23" i="32"/>
  <c r="P9" i="43"/>
  <c r="U27" i="32"/>
  <c r="N8" i="34"/>
  <c r="M8" i="34"/>
  <c r="N121" i="32"/>
  <c r="O14" i="33"/>
  <c r="O121" i="32"/>
  <c r="P14" i="33"/>
  <c r="O116" i="32"/>
  <c r="P9" i="33"/>
  <c r="N116" i="32"/>
  <c r="O9" i="33"/>
  <c r="N117" i="32"/>
  <c r="O10" i="33"/>
  <c r="O117" i="32"/>
  <c r="P10" i="33"/>
  <c r="H124" i="53"/>
  <c r="I124" i="53"/>
  <c r="P10" i="46"/>
  <c r="N119" i="32"/>
  <c r="O12" i="33"/>
  <c r="O119" i="32"/>
  <c r="P12" i="33"/>
  <c r="N124" i="32"/>
  <c r="O17" i="33"/>
  <c r="O124" i="32"/>
  <c r="P17" i="33"/>
  <c r="N123" i="32"/>
  <c r="O16" i="33"/>
  <c r="O123" i="32"/>
  <c r="P16" i="33"/>
  <c r="F29" i="37"/>
  <c r="O115" i="32"/>
  <c r="P8" i="33"/>
  <c r="O8" i="33"/>
  <c r="P13" i="43"/>
  <c r="H122" i="53"/>
  <c r="I122" i="53"/>
  <c r="P8" i="46"/>
  <c r="P9" i="46"/>
  <c r="H123" i="53"/>
  <c r="I123" i="53"/>
  <c r="N8" i="33"/>
  <c r="H92" i="53"/>
  <c r="I92" i="53"/>
  <c r="P8" i="43"/>
  <c r="I116" i="53"/>
  <c r="N9" i="34"/>
  <c r="M9" i="34"/>
  <c r="N10" i="34"/>
  <c r="M10" i="34"/>
  <c r="M17" i="34"/>
  <c r="N17" i="34"/>
  <c r="M13" i="34"/>
  <c r="N13" i="34"/>
  <c r="M15" i="34"/>
  <c r="N15" i="34"/>
  <c r="P11" i="45"/>
  <c r="H115" i="53"/>
  <c r="I115" i="53"/>
  <c r="P17" i="45"/>
  <c r="Q17" i="45"/>
  <c r="P10" i="45"/>
  <c r="H119" i="53"/>
  <c r="I119" i="53"/>
  <c r="P13" i="45"/>
  <c r="P14" i="45"/>
  <c r="H113" i="53"/>
  <c r="I113" i="53"/>
  <c r="Q9" i="45"/>
  <c r="Q16" i="45"/>
  <c r="H94" i="53"/>
  <c r="I94" i="53"/>
  <c r="P10" i="43"/>
  <c r="O16" i="34"/>
  <c r="H30" i="53"/>
  <c r="H38" i="53"/>
  <c r="I38" i="53"/>
  <c r="H36" i="53"/>
  <c r="I36" i="53"/>
  <c r="H39" i="53"/>
  <c r="I39" i="53"/>
  <c r="H34" i="53"/>
  <c r="I34" i="53"/>
  <c r="H41" i="53"/>
  <c r="I41" i="53"/>
  <c r="H37" i="53"/>
  <c r="I37" i="53"/>
  <c r="H40" i="53"/>
  <c r="I40" i="53"/>
  <c r="H33" i="53"/>
  <c r="I33" i="53"/>
  <c r="H35" i="53"/>
  <c r="I35" i="53"/>
  <c r="U16" i="35"/>
  <c r="G19" i="53"/>
  <c r="G14" i="53"/>
  <c r="AA23" i="32"/>
  <c r="O10" i="4"/>
  <c r="I28" i="32"/>
  <c r="K28" i="32"/>
  <c r="N15" i="4"/>
  <c r="T29" i="32"/>
  <c r="AA28" i="32"/>
  <c r="O15" i="4"/>
  <c r="U12" i="35"/>
  <c r="U14" i="35"/>
  <c r="U11" i="35"/>
  <c r="U17" i="35"/>
  <c r="U15" i="35"/>
  <c r="U9" i="35"/>
  <c r="H32" i="53"/>
  <c r="I32" i="53"/>
  <c r="F23" i="37"/>
  <c r="U10" i="35"/>
  <c r="U13" i="35"/>
  <c r="W21" i="32"/>
  <c r="W29" i="32"/>
  <c r="AA26" i="32"/>
  <c r="O13" i="4"/>
  <c r="AA24" i="32"/>
  <c r="O11" i="4"/>
  <c r="W23" i="32"/>
  <c r="V21" i="32"/>
  <c r="AA29" i="32"/>
  <c r="O16" i="4"/>
  <c r="AA22" i="32"/>
  <c r="O9" i="4"/>
  <c r="I23" i="32"/>
  <c r="K23" i="32"/>
  <c r="N10" i="4"/>
  <c r="U30" i="32"/>
  <c r="G31" i="53"/>
  <c r="AA30" i="32"/>
  <c r="O17" i="4"/>
  <c r="T21" i="32"/>
  <c r="K22" i="32"/>
  <c r="N9" i="4"/>
  <c r="V29" i="32"/>
  <c r="W27" i="32"/>
  <c r="I24" i="32"/>
  <c r="K24" i="32"/>
  <c r="N11" i="4"/>
  <c r="U29" i="32"/>
  <c r="I30" i="32"/>
  <c r="K30" i="32"/>
  <c r="N17" i="4"/>
  <c r="I29" i="32"/>
  <c r="K29" i="32"/>
  <c r="N16" i="4"/>
  <c r="I26" i="32"/>
  <c r="K26" i="32"/>
  <c r="N13" i="4"/>
  <c r="I27" i="32"/>
  <c r="K27" i="32"/>
  <c r="N14" i="4"/>
  <c r="I25" i="32"/>
  <c r="K25" i="32"/>
  <c r="N12" i="4"/>
  <c r="G162" i="53"/>
  <c r="I162" i="53"/>
  <c r="H112" i="53"/>
  <c r="I112" i="53"/>
  <c r="Q12" i="45"/>
  <c r="U21" i="32"/>
  <c r="Y10" i="51"/>
  <c r="G167" i="53"/>
  <c r="I167" i="53"/>
  <c r="Y13" i="51"/>
  <c r="W16" i="51"/>
  <c r="G170" i="53"/>
  <c r="AA25" i="32"/>
  <c r="O12" i="4"/>
  <c r="G25" i="37"/>
  <c r="G169" i="53"/>
  <c r="I169" i="53"/>
  <c r="W12" i="51"/>
  <c r="Y12" i="51"/>
  <c r="G23" i="53"/>
  <c r="G30" i="53"/>
  <c r="G24" i="53"/>
  <c r="G27" i="53"/>
  <c r="G29" i="53"/>
  <c r="G26" i="53"/>
  <c r="G28" i="53"/>
  <c r="G25" i="53"/>
  <c r="G22" i="53"/>
  <c r="C22" i="37"/>
  <c r="I21" i="32"/>
  <c r="K21" i="32"/>
  <c r="N8" i="4"/>
  <c r="Z21" i="32"/>
  <c r="Y11" i="51"/>
  <c r="G35" i="37"/>
  <c r="I158" i="53"/>
  <c r="I165" i="53"/>
  <c r="I152" i="53"/>
  <c r="I156" i="53"/>
  <c r="G163" i="53"/>
  <c r="Y9" i="51"/>
  <c r="I157" i="53"/>
  <c r="I161" i="53"/>
  <c r="I171" i="53"/>
  <c r="G168" i="53"/>
  <c r="Y14" i="51"/>
  <c r="I155" i="53"/>
  <c r="I159" i="53"/>
  <c r="I154" i="53"/>
  <c r="D22" i="37"/>
  <c r="E22" i="37"/>
  <c r="D21" i="37"/>
  <c r="E21" i="37"/>
  <c r="G34" i="37"/>
  <c r="Q11" i="45"/>
  <c r="AA27" i="32"/>
  <c r="O14" i="4"/>
  <c r="Q8" i="33"/>
  <c r="R8" i="33"/>
  <c r="G32" i="37"/>
  <c r="O15" i="34"/>
  <c r="H29" i="53"/>
  <c r="I29" i="53"/>
  <c r="G29" i="37"/>
  <c r="Q10" i="33"/>
  <c r="H14" i="53"/>
  <c r="I14" i="53"/>
  <c r="O17" i="34"/>
  <c r="H31" i="53"/>
  <c r="I31" i="53"/>
  <c r="O10" i="34"/>
  <c r="H24" i="53"/>
  <c r="I24" i="53"/>
  <c r="Q11" i="33"/>
  <c r="H15" i="53"/>
  <c r="Q14" i="33"/>
  <c r="R14" i="33"/>
  <c r="H121" i="53"/>
  <c r="I121" i="53"/>
  <c r="H117" i="53"/>
  <c r="I117" i="53"/>
  <c r="Q13" i="45"/>
  <c r="H118" i="53"/>
  <c r="I118" i="53"/>
  <c r="Q14" i="45"/>
  <c r="F31" i="37"/>
  <c r="H114" i="53"/>
  <c r="I114" i="53"/>
  <c r="Q10" i="45"/>
  <c r="Q12" i="33"/>
  <c r="H16" i="53"/>
  <c r="Q17" i="33"/>
  <c r="H21" i="53"/>
  <c r="Q15" i="33"/>
  <c r="H19" i="53"/>
  <c r="I19" i="53"/>
  <c r="Q9" i="33"/>
  <c r="H13" i="53"/>
  <c r="Q16" i="33"/>
  <c r="H20" i="53"/>
  <c r="Q13" i="33"/>
  <c r="R13" i="33"/>
  <c r="O9" i="34"/>
  <c r="O13" i="34"/>
  <c r="O8" i="34"/>
  <c r="P8" i="34"/>
  <c r="P14" i="34"/>
  <c r="I30" i="53"/>
  <c r="P11" i="34"/>
  <c r="P16" i="34"/>
  <c r="I25" i="53"/>
  <c r="I28" i="53"/>
  <c r="P12" i="34"/>
  <c r="I26" i="53"/>
  <c r="G23" i="37"/>
  <c r="AA21" i="32"/>
  <c r="O8" i="4"/>
  <c r="G21" i="53"/>
  <c r="Y16" i="51"/>
  <c r="G36" i="37"/>
  <c r="C36" i="37"/>
  <c r="G166" i="53"/>
  <c r="I166" i="53"/>
  <c r="I170" i="53"/>
  <c r="G20" i="53"/>
  <c r="G18" i="53"/>
  <c r="G17" i="53"/>
  <c r="G16" i="53"/>
  <c r="G15" i="53"/>
  <c r="G13" i="53"/>
  <c r="C21" i="37"/>
  <c r="G12" i="53"/>
  <c r="I163" i="53"/>
  <c r="I168" i="53"/>
  <c r="F171" i="53"/>
  <c r="E20" i="37"/>
  <c r="E37" i="37"/>
  <c r="P15" i="34"/>
  <c r="D20" i="37"/>
  <c r="D37" i="37"/>
  <c r="G31" i="37"/>
  <c r="P10" i="34"/>
  <c r="G8" i="53"/>
  <c r="H18" i="53"/>
  <c r="I18" i="53"/>
  <c r="H3" i="53"/>
  <c r="P17" i="34"/>
  <c r="H17" i="53"/>
  <c r="I17" i="53"/>
  <c r="V10" i="4"/>
  <c r="R9" i="33"/>
  <c r="R12" i="33"/>
  <c r="V11" i="4"/>
  <c r="V12" i="4"/>
  <c r="V16" i="4"/>
  <c r="H9" i="53"/>
  <c r="G5" i="53"/>
  <c r="V13" i="4"/>
  <c r="I20" i="53"/>
  <c r="I13" i="53"/>
  <c r="V17" i="4"/>
  <c r="G6" i="53"/>
  <c r="G9" i="53"/>
  <c r="R16" i="33"/>
  <c r="G3" i="53"/>
  <c r="F91" i="53"/>
  <c r="H22" i="53"/>
  <c r="I22" i="53"/>
  <c r="I16" i="53"/>
  <c r="H27" i="53"/>
  <c r="I27" i="53"/>
  <c r="P13" i="34"/>
  <c r="I21" i="53"/>
  <c r="R17" i="33"/>
  <c r="R10" i="33"/>
  <c r="R11" i="33"/>
  <c r="F21" i="37"/>
  <c r="I15" i="53"/>
  <c r="R15" i="33"/>
  <c r="G10" i="53"/>
  <c r="G7" i="53"/>
  <c r="H23" i="53"/>
  <c r="I23" i="53"/>
  <c r="P9" i="34"/>
  <c r="F22" i="37"/>
  <c r="H12" i="53"/>
  <c r="I12" i="53"/>
  <c r="G11" i="53"/>
  <c r="G4" i="53"/>
  <c r="G2" i="53"/>
  <c r="F121" i="53"/>
  <c r="C20" i="37"/>
  <c r="C37" i="37"/>
  <c r="V14" i="4"/>
  <c r="V9" i="4"/>
  <c r="I9" i="53"/>
  <c r="H10" i="53"/>
  <c r="I10" i="53"/>
  <c r="H6" i="53"/>
  <c r="I6" i="53"/>
  <c r="H8" i="53"/>
  <c r="I8" i="53"/>
  <c r="H5" i="53"/>
  <c r="I5" i="53"/>
  <c r="U8" i="4"/>
  <c r="V8" i="4"/>
  <c r="H4" i="53"/>
  <c r="I4" i="53"/>
  <c r="I3" i="53"/>
  <c r="H11" i="53"/>
  <c r="I11" i="53"/>
  <c r="H7" i="53"/>
  <c r="I7" i="53"/>
  <c r="V15" i="4"/>
  <c r="G21" i="37"/>
  <c r="G22" i="37"/>
  <c r="F21" i="53"/>
  <c r="H2" i="53"/>
  <c r="I2" i="53"/>
  <c r="F11" i="53"/>
  <c r="A91" i="52" a="1"/>
  <c r="A91" i="52"/>
  <c r="F91" i="52" a="1"/>
  <c r="F91" i="52"/>
  <c r="F71" i="53"/>
  <c r="F111" i="53"/>
  <c r="F31" i="53"/>
  <c r="F51" i="53"/>
  <c r="F151" i="53"/>
  <c r="F61" i="53"/>
  <c r="F161" i="53"/>
  <c r="F131" i="53"/>
  <c r="F101" i="53"/>
  <c r="F41" i="53"/>
  <c r="F141" i="53"/>
  <c r="F81" i="53"/>
  <c r="A173" i="52" a="1"/>
  <c r="A173" i="52"/>
  <c r="F173" i="52" a="1"/>
  <c r="F173" i="52"/>
  <c r="A63" i="52" a="1"/>
  <c r="A63" i="52"/>
  <c r="G63" i="52" a="1"/>
  <c r="G63" i="52"/>
  <c r="A177" i="52" a="1"/>
  <c r="A177" i="52"/>
  <c r="L177" i="52" a="1"/>
  <c r="L177" i="52"/>
  <c r="A49" i="52" a="1"/>
  <c r="A49" i="52"/>
  <c r="F49" i="52" a="1"/>
  <c r="F49" i="52"/>
  <c r="A121" i="52" a="1"/>
  <c r="A121" i="52"/>
  <c r="I121" i="52" a="1"/>
  <c r="I121" i="52"/>
  <c r="A97" i="52" a="1"/>
  <c r="A97" i="52"/>
  <c r="G97" i="52" a="1"/>
  <c r="G97" i="52"/>
  <c r="A186" i="52" a="1"/>
  <c r="A186" i="52"/>
  <c r="G186" i="52" a="1"/>
  <c r="G186" i="52"/>
  <c r="A152" i="52" a="1"/>
  <c r="A152" i="52"/>
  <c r="G152" i="52" a="1"/>
  <c r="G152" i="52"/>
  <c r="A168" i="52" a="1"/>
  <c r="A168" i="52"/>
  <c r="J168" i="52" a="1"/>
  <c r="J168" i="52"/>
  <c r="A82" i="52" a="1"/>
  <c r="A82" i="52"/>
  <c r="J82" i="52" a="1"/>
  <c r="J82" i="52"/>
  <c r="A100" i="52" a="1"/>
  <c r="A100" i="52"/>
  <c r="F100" i="52" a="1"/>
  <c r="F100" i="52"/>
  <c r="A33" i="52" a="1"/>
  <c r="A33" i="52"/>
  <c r="E33" i="52" a="1"/>
  <c r="E33" i="52"/>
  <c r="A105" i="52" a="1"/>
  <c r="A105" i="52"/>
  <c r="J105" i="52" a="1"/>
  <c r="J105" i="52"/>
  <c r="A27" i="52" a="1"/>
  <c r="A27" i="52"/>
  <c r="G27" i="52" a="1"/>
  <c r="G27" i="52"/>
  <c r="A126" i="52" a="1"/>
  <c r="A126" i="52"/>
  <c r="J126" i="52" a="1"/>
  <c r="J126" i="52"/>
  <c r="A87" i="52" a="1"/>
  <c r="A87" i="52"/>
  <c r="E87" i="52" a="1"/>
  <c r="E87" i="52"/>
  <c r="A90" i="52" a="1"/>
  <c r="A90" i="52"/>
  <c r="J90" i="52" a="1"/>
  <c r="J90" i="52"/>
  <c r="A118" i="52" a="1"/>
  <c r="A118" i="52"/>
  <c r="D118" i="52" a="1"/>
  <c r="D118" i="52"/>
  <c r="A53" i="52" a="1"/>
  <c r="A53" i="52"/>
  <c r="J53" i="52" a="1"/>
  <c r="J53" i="52"/>
  <c r="A75" i="52" a="1"/>
  <c r="A75" i="52"/>
  <c r="E75" i="52" a="1"/>
  <c r="E75" i="52"/>
  <c r="A62" i="52" a="1"/>
  <c r="A62" i="52"/>
  <c r="I62" i="52" a="1"/>
  <c r="I62" i="52"/>
  <c r="A133" i="52" a="1"/>
  <c r="A133" i="52"/>
  <c r="J133" i="52" a="1"/>
  <c r="J133" i="52"/>
  <c r="F9" i="53"/>
  <c r="F3" i="53"/>
  <c r="F5" i="53"/>
  <c r="A150" i="52" a="1"/>
  <c r="A150" i="52"/>
  <c r="L150" i="52" a="1"/>
  <c r="L150" i="52"/>
  <c r="A157" i="52" a="1"/>
  <c r="A157" i="52"/>
  <c r="F157" i="52" a="1"/>
  <c r="F157" i="52"/>
  <c r="A99" i="52" a="1"/>
  <c r="A99" i="52"/>
  <c r="J99" i="52" a="1"/>
  <c r="J99" i="52"/>
  <c r="A164" i="52" a="1"/>
  <c r="A164" i="52"/>
  <c r="F164" i="52" a="1"/>
  <c r="F164" i="52"/>
  <c r="A81" i="52" a="1"/>
  <c r="A81" i="52"/>
  <c r="E81" i="52" a="1"/>
  <c r="E81" i="52"/>
  <c r="A119" i="52" a="1"/>
  <c r="A119" i="52"/>
  <c r="J119" i="52" a="1"/>
  <c r="J119" i="52"/>
  <c r="A51" i="52" a="1"/>
  <c r="A51" i="52"/>
  <c r="G51" i="52" a="1"/>
  <c r="G51" i="52"/>
  <c r="A61" i="52" a="1"/>
  <c r="A61" i="52"/>
  <c r="D61" i="52" a="1"/>
  <c r="D61" i="52"/>
  <c r="A110" i="52" a="1"/>
  <c r="A110" i="52"/>
  <c r="D110" i="52" a="1"/>
  <c r="D110" i="52"/>
  <c r="A101" i="52" a="1"/>
  <c r="A101" i="52"/>
  <c r="D101" i="52" a="1"/>
  <c r="D101" i="52"/>
  <c r="A120" i="52" a="1"/>
  <c r="A120" i="52"/>
  <c r="J120" i="52" a="1"/>
  <c r="J120" i="52"/>
  <c r="A37" i="52" a="1"/>
  <c r="A37" i="52"/>
  <c r="G37" i="52" a="1"/>
  <c r="G37" i="52"/>
  <c r="A138" i="52" a="1"/>
  <c r="A138" i="52"/>
  <c r="F138" i="52" a="1"/>
  <c r="F138" i="52"/>
  <c r="A167" i="52" a="1"/>
  <c r="A167" i="52"/>
  <c r="D167" i="52" a="1"/>
  <c r="D167" i="52"/>
  <c r="A77" i="52" a="1"/>
  <c r="A77" i="52"/>
  <c r="L77" i="52" a="1"/>
  <c r="L77" i="52" s="1"/>
  <c r="A69" i="52" a="1"/>
  <c r="A69" i="52"/>
  <c r="L69" i="52" a="1"/>
  <c r="L69" i="52" s="1"/>
  <c r="A92" i="52" a="1"/>
  <c r="A92" i="52"/>
  <c r="I92" i="52" a="1"/>
  <c r="I92" i="52"/>
  <c r="A135" i="52" a="1"/>
  <c r="A135" i="52"/>
  <c r="J135" i="52" a="1"/>
  <c r="J135" i="52"/>
  <c r="A39" i="52" a="1"/>
  <c r="A39" i="52"/>
  <c r="E39" i="52" a="1"/>
  <c r="E39" i="52"/>
  <c r="A108" i="52" a="1"/>
  <c r="A108" i="52"/>
  <c r="L108" i="52" a="1"/>
  <c r="L108" i="52"/>
  <c r="A60" i="52" a="1"/>
  <c r="A60" i="52"/>
  <c r="G60" i="52" a="1"/>
  <c r="G60" i="52"/>
  <c r="A103" i="52" a="1"/>
  <c r="A103" i="52"/>
  <c r="I103" i="52" a="1"/>
  <c r="I103" i="52"/>
  <c r="A114" i="52" a="1"/>
  <c r="A114" i="52"/>
  <c r="I114" i="52" a="1"/>
  <c r="I114" i="52"/>
  <c r="A176" i="52" a="1"/>
  <c r="A176" i="52"/>
  <c r="E176" i="52" a="1"/>
  <c r="E176" i="52"/>
  <c r="A34" i="52" a="1"/>
  <c r="A34" i="52"/>
  <c r="F34" i="52" a="1"/>
  <c r="F34" i="52"/>
  <c r="A44" i="52" a="1"/>
  <c r="A44" i="52"/>
  <c r="J44" i="52" a="1"/>
  <c r="J44" i="52"/>
  <c r="A45" i="52" a="1"/>
  <c r="A45" i="52"/>
  <c r="E45" i="52" a="1"/>
  <c r="E45" i="52"/>
  <c r="A67" i="52" a="1"/>
  <c r="A67" i="52"/>
  <c r="I67" i="52" a="1"/>
  <c r="I67" i="52"/>
  <c r="A174" i="52" a="1"/>
  <c r="A174" i="52"/>
  <c r="E174" i="52" a="1"/>
  <c r="E174" i="52"/>
  <c r="A109" i="52" a="1"/>
  <c r="A109" i="52"/>
  <c r="F109" i="52" a="1"/>
  <c r="F109" i="52"/>
  <c r="A160" i="52" a="1"/>
  <c r="A160" i="52"/>
  <c r="D160" i="52" a="1"/>
  <c r="D160" i="52"/>
  <c r="F49" i="53"/>
  <c r="A58" i="52" a="1"/>
  <c r="A58" i="52"/>
  <c r="I58" i="52" a="1"/>
  <c r="I58" i="52"/>
  <c r="A141" i="52" a="1"/>
  <c r="A141" i="52"/>
  <c r="F141" i="52" a="1"/>
  <c r="F141" i="52"/>
  <c r="A72" i="52" a="1"/>
  <c r="A72" i="52"/>
  <c r="L72" i="52" a="1"/>
  <c r="L72" i="52" s="1"/>
  <c r="A147" i="52" a="1"/>
  <c r="A147" i="52"/>
  <c r="E147" i="52" a="1"/>
  <c r="E147" i="52"/>
  <c r="A154" i="52" a="1"/>
  <c r="A154" i="52"/>
  <c r="G154" i="52" a="1"/>
  <c r="G154" i="52"/>
  <c r="A104" i="52" a="1"/>
  <c r="A104" i="52"/>
  <c r="L104" i="52" a="1"/>
  <c r="L104" i="52" s="1"/>
  <c r="A183" i="52" a="1"/>
  <c r="A183" i="52"/>
  <c r="G183" i="52" a="1"/>
  <c r="G183" i="52"/>
  <c r="A153" i="52" a="1"/>
  <c r="A153" i="52"/>
  <c r="E153" i="52" a="1"/>
  <c r="E153" i="52"/>
  <c r="A171" i="52" a="1"/>
  <c r="A171" i="52"/>
  <c r="G171" i="52" a="1"/>
  <c r="G171" i="52"/>
  <c r="A187" i="52" a="1"/>
  <c r="A187" i="52"/>
  <c r="J187" i="52" a="1"/>
  <c r="J187" i="52"/>
  <c r="A128" i="52" a="1"/>
  <c r="A128" i="52"/>
  <c r="F128" i="52" a="1"/>
  <c r="F128" i="52"/>
  <c r="A46" i="52" a="1"/>
  <c r="A46" i="52"/>
  <c r="J46" i="52" a="1"/>
  <c r="J46" i="52"/>
  <c r="A162" i="52" a="1"/>
  <c r="A162" i="52"/>
  <c r="G162" i="52" a="1"/>
  <c r="G162" i="52"/>
  <c r="F6" i="53"/>
  <c r="A71" i="52" a="1"/>
  <c r="A71" i="52"/>
  <c r="G71" i="52" a="1"/>
  <c r="G71" i="52"/>
  <c r="A159" i="52" a="1"/>
  <c r="A159" i="52"/>
  <c r="F159" i="52" a="1"/>
  <c r="F159" i="52"/>
  <c r="F7" i="53"/>
  <c r="A88" i="52" a="1"/>
  <c r="A88" i="52"/>
  <c r="J88" i="52" a="1"/>
  <c r="J88" i="52"/>
  <c r="F160" i="53"/>
  <c r="F96" i="53"/>
  <c r="F153" i="53"/>
  <c r="F72" i="53"/>
  <c r="F125" i="53"/>
  <c r="F63" i="53"/>
  <c r="F116" i="53"/>
  <c r="F73" i="53"/>
  <c r="F110" i="53"/>
  <c r="F84" i="53"/>
  <c r="F74" i="53"/>
  <c r="F13" i="53"/>
  <c r="F142" i="53"/>
  <c r="F95" i="53"/>
  <c r="A113" i="52" a="1"/>
  <c r="A113" i="52"/>
  <c r="E113" i="52" a="1"/>
  <c r="E113" i="52"/>
  <c r="F10" i="53"/>
  <c r="F12" i="53"/>
  <c r="F80" i="53"/>
  <c r="F77" i="53"/>
  <c r="F123" i="53"/>
  <c r="F32" i="53"/>
  <c r="F30" i="53"/>
  <c r="F58" i="53"/>
  <c r="F135" i="53"/>
  <c r="F115" i="53"/>
  <c r="F83" i="53"/>
  <c r="F129" i="53"/>
  <c r="F137" i="53"/>
  <c r="F156" i="53"/>
  <c r="F130" i="53"/>
  <c r="A64" i="52" a="1"/>
  <c r="A64" i="52"/>
  <c r="D64" i="52" a="1"/>
  <c r="D64" i="52"/>
  <c r="F8" i="53"/>
  <c r="F18" i="53"/>
  <c r="F120" i="53"/>
  <c r="F57" i="53"/>
  <c r="F147" i="53"/>
  <c r="F140" i="53"/>
  <c r="F97" i="53"/>
  <c r="F139" i="53"/>
  <c r="F119" i="53"/>
  <c r="F24" i="53"/>
  <c r="F82" i="53"/>
  <c r="F118" i="53"/>
  <c r="F78" i="53"/>
  <c r="F145" i="53"/>
  <c r="F76" i="53"/>
  <c r="A56" i="52" a="1"/>
  <c r="A56" i="52"/>
  <c r="E56" i="52" a="1"/>
  <c r="E56" i="52"/>
  <c r="F17" i="53"/>
  <c r="F15" i="53"/>
  <c r="F54" i="53"/>
  <c r="F43" i="53"/>
  <c r="F103" i="53"/>
  <c r="F70" i="53"/>
  <c r="F98" i="53"/>
  <c r="F102" i="53"/>
  <c r="F79" i="53"/>
  <c r="F22" i="53"/>
  <c r="F150" i="53"/>
  <c r="F47" i="53"/>
  <c r="F66" i="53"/>
  <c r="F148" i="53"/>
  <c r="A76" i="52" a="1"/>
  <c r="A76" i="52"/>
  <c r="D76" i="52" a="1"/>
  <c r="D76" i="52"/>
  <c r="F100" i="53"/>
  <c r="F99" i="53"/>
  <c r="F89" i="53"/>
  <c r="F165" i="53"/>
  <c r="F85" i="53"/>
  <c r="F167" i="53"/>
  <c r="F155" i="53"/>
  <c r="F34" i="53"/>
  <c r="F109" i="53"/>
  <c r="F146" i="53"/>
  <c r="F27" i="53"/>
  <c r="F55" i="53"/>
  <c r="F92" i="53"/>
  <c r="F168" i="53"/>
  <c r="F39" i="53"/>
  <c r="F106" i="53"/>
  <c r="F37" i="53"/>
  <c r="F56" i="53"/>
  <c r="F28" i="53"/>
  <c r="F36" i="53"/>
  <c r="F170" i="53"/>
  <c r="F149" i="53"/>
  <c r="F126" i="53"/>
  <c r="F94" i="53"/>
  <c r="F33" i="53"/>
  <c r="F67" i="53"/>
  <c r="F25" i="53"/>
  <c r="F114" i="53"/>
  <c r="F93" i="53"/>
  <c r="F50" i="53"/>
  <c r="F35" i="53"/>
  <c r="F105" i="53"/>
  <c r="F23" i="53"/>
  <c r="F158" i="53"/>
  <c r="F157" i="53"/>
  <c r="F127" i="53"/>
  <c r="F42" i="53"/>
  <c r="F169" i="53"/>
  <c r="F86" i="53"/>
  <c r="F68" i="53"/>
  <c r="F69" i="53"/>
  <c r="F163" i="53"/>
  <c r="F162" i="53"/>
  <c r="F52" i="53"/>
  <c r="F164" i="53"/>
  <c r="F166" i="53"/>
  <c r="F152" i="53"/>
  <c r="F62" i="53"/>
  <c r="F144" i="53"/>
  <c r="F143" i="53"/>
  <c r="F40" i="53"/>
  <c r="F45" i="53"/>
  <c r="F38" i="53"/>
  <c r="F88" i="53"/>
  <c r="F108" i="53"/>
  <c r="F53" i="53"/>
  <c r="F138" i="53"/>
  <c r="F19" i="53"/>
  <c r="F136" i="53"/>
  <c r="F29" i="53"/>
  <c r="F159" i="53"/>
  <c r="F90" i="53"/>
  <c r="F128" i="53"/>
  <c r="F107" i="53"/>
  <c r="F46" i="53"/>
  <c r="F134" i="53"/>
  <c r="F48" i="53"/>
  <c r="F64" i="53"/>
  <c r="F117" i="53"/>
  <c r="F65" i="53"/>
  <c r="F113" i="53"/>
  <c r="A169" i="52" a="1"/>
  <c r="A169" i="52"/>
  <c r="E169" i="52" a="1"/>
  <c r="E169" i="52"/>
  <c r="F20" i="53"/>
  <c r="F16" i="53"/>
  <c r="F14" i="53"/>
  <c r="F26" i="53"/>
  <c r="F87" i="53"/>
  <c r="F104" i="53"/>
  <c r="F60" i="53"/>
  <c r="F132" i="53"/>
  <c r="F122" i="53"/>
  <c r="F59" i="53"/>
  <c r="F133" i="53"/>
  <c r="F124" i="53"/>
  <c r="F112" i="53"/>
  <c r="F44" i="53"/>
  <c r="F75" i="53"/>
  <c r="F154" i="53"/>
  <c r="A95" i="52" a="1"/>
  <c r="A95" i="52"/>
  <c r="A86" i="52" a="1"/>
  <c r="A86" i="52"/>
  <c r="D86" i="52" a="1"/>
  <c r="D86" i="52"/>
  <c r="A30" i="52" a="1"/>
  <c r="A30" i="52"/>
  <c r="D30" i="52" a="1"/>
  <c r="D30" i="52"/>
  <c r="A65" i="52" a="1"/>
  <c r="A65" i="52"/>
  <c r="A79" i="52" a="1"/>
  <c r="A79" i="52"/>
  <c r="E79" i="52" a="1"/>
  <c r="E79" i="52"/>
  <c r="A117" i="52" a="1"/>
  <c r="A117" i="52"/>
  <c r="D117" i="52" a="1"/>
  <c r="D117" i="52"/>
  <c r="A28" i="52" a="1"/>
  <c r="A28" i="52"/>
  <c r="F28" i="52" a="1"/>
  <c r="F28" i="52"/>
  <c r="A68" i="52" a="1"/>
  <c r="A68" i="52"/>
  <c r="A132" i="52" a="1"/>
  <c r="A132" i="52"/>
  <c r="D132" i="52" a="1"/>
  <c r="D132" i="52"/>
  <c r="A146" i="52" a="1"/>
  <c r="A146" i="52"/>
  <c r="I146" i="52" a="1"/>
  <c r="I146" i="52"/>
  <c r="A74" i="52" a="1"/>
  <c r="A74" i="52"/>
  <c r="E74" i="52" a="1"/>
  <c r="E74" i="52"/>
  <c r="A142" i="52" a="1"/>
  <c r="A142" i="52"/>
  <c r="A66" i="52" a="1"/>
  <c r="A66" i="52"/>
  <c r="G66" i="52" a="1"/>
  <c r="G66" i="52"/>
  <c r="A94" i="52" a="1"/>
  <c r="A94" i="52"/>
  <c r="I94" i="52" a="1"/>
  <c r="I94" i="52"/>
  <c r="A42" i="52" a="1"/>
  <c r="A42" i="52"/>
  <c r="F42" i="52" a="1"/>
  <c r="F42" i="52"/>
  <c r="A151" i="52" a="1"/>
  <c r="A151" i="52"/>
  <c r="D151" i="52" a="1"/>
  <c r="D151" i="52"/>
  <c r="A29" i="52" a="1"/>
  <c r="A29" i="52"/>
  <c r="D29" i="52" a="1"/>
  <c r="D29" i="52"/>
  <c r="A129" i="52" a="1"/>
  <c r="A129" i="52"/>
  <c r="I129" i="52" a="1"/>
  <c r="I129" i="52"/>
  <c r="A136" i="52" a="1"/>
  <c r="A136" i="52"/>
  <c r="A156" i="52" a="1"/>
  <c r="A156" i="52"/>
  <c r="E156" i="52" a="1"/>
  <c r="E156" i="52"/>
  <c r="A134" i="52" a="1"/>
  <c r="A134" i="52"/>
  <c r="J134" i="52" a="1"/>
  <c r="J134" i="52"/>
  <c r="A35" i="52" a="1"/>
  <c r="A35" i="52"/>
  <c r="F35" i="52" a="1"/>
  <c r="F35" i="52"/>
  <c r="A172" i="52" a="1"/>
  <c r="A172" i="52"/>
  <c r="J172" i="52" a="1"/>
  <c r="J172" i="52"/>
  <c r="A93" i="52" a="1"/>
  <c r="A93" i="52"/>
  <c r="A112" i="52" a="1"/>
  <c r="A112" i="52"/>
  <c r="E112" i="52" a="1"/>
  <c r="E112" i="52"/>
  <c r="A131" i="52" a="1"/>
  <c r="A131" i="52"/>
  <c r="E131" i="52" a="1"/>
  <c r="E131" i="52"/>
  <c r="A116" i="52" a="1"/>
  <c r="A116" i="52"/>
  <c r="A130" i="52" a="1"/>
  <c r="A130" i="52"/>
  <c r="A181" i="52" a="1"/>
  <c r="A181" i="52"/>
  <c r="G181" i="52" a="1"/>
  <c r="G181" i="52"/>
  <c r="A89" i="52" a="1"/>
  <c r="A89" i="52"/>
  <c r="J89" i="52" a="1"/>
  <c r="J89" i="52"/>
  <c r="A163" i="52" a="1"/>
  <c r="A163" i="52"/>
  <c r="E163" i="52" a="1"/>
  <c r="E163" i="52"/>
  <c r="A54" i="52" a="1"/>
  <c r="A54" i="52"/>
  <c r="F54" i="52" a="1"/>
  <c r="F54" i="52"/>
  <c r="A175" i="52" a="1"/>
  <c r="A175" i="52"/>
  <c r="J175" i="52" a="1"/>
  <c r="J175" i="52"/>
  <c r="A161" i="52" a="1"/>
  <c r="A161" i="52"/>
  <c r="I161" i="52" a="1"/>
  <c r="I161" i="52"/>
  <c r="A165" i="52" a="1"/>
  <c r="A165" i="52"/>
  <c r="J165" i="52" a="1"/>
  <c r="J165" i="52"/>
  <c r="A48" i="52" a="1"/>
  <c r="A48" i="52"/>
  <c r="F48" i="52" a="1"/>
  <c r="F48" i="52"/>
  <c r="A41" i="52" a="1"/>
  <c r="A41" i="52"/>
  <c r="J41" i="52" a="1"/>
  <c r="J41" i="52"/>
  <c r="A179" i="52" a="1"/>
  <c r="A179" i="52"/>
  <c r="D179" i="52" a="1"/>
  <c r="D179" i="52"/>
  <c r="A107" i="52" a="1"/>
  <c r="A107" i="52"/>
  <c r="A70" i="52" a="1"/>
  <c r="A70" i="52"/>
  <c r="J70" i="52" a="1"/>
  <c r="J70" i="52"/>
  <c r="A148" i="52" a="1"/>
  <c r="A148" i="52"/>
  <c r="A55" i="52" a="1"/>
  <c r="A55" i="52"/>
  <c r="J55" i="52" a="1"/>
  <c r="J55" i="52"/>
  <c r="A78" i="52" a="1"/>
  <c r="A78" i="52"/>
  <c r="I78" i="52" a="1"/>
  <c r="I78" i="52"/>
  <c r="A31" i="52" a="1"/>
  <c r="A31" i="52"/>
  <c r="F31" i="52" a="1"/>
  <c r="F31" i="52"/>
  <c r="A38" i="52" a="1"/>
  <c r="A38" i="52"/>
  <c r="I38" i="52" a="1"/>
  <c r="I38" i="52"/>
  <c r="A80" i="52" a="1"/>
  <c r="A80" i="52"/>
  <c r="L80" i="52" a="1"/>
  <c r="L80" i="52"/>
  <c r="A166" i="52" a="1"/>
  <c r="A166" i="52"/>
  <c r="A155" i="52" a="1"/>
  <c r="A155" i="52"/>
  <c r="A59" i="52" a="1"/>
  <c r="A59" i="52"/>
  <c r="G59" i="52" a="1"/>
  <c r="G59" i="52"/>
  <c r="A149" i="52" a="1"/>
  <c r="A149" i="52"/>
  <c r="D149" i="52" a="1"/>
  <c r="D149" i="52"/>
  <c r="A180" i="52" a="1"/>
  <c r="A180" i="52"/>
  <c r="I180" i="52" a="1"/>
  <c r="I180" i="52"/>
  <c r="A115" i="52" a="1"/>
  <c r="A115" i="52"/>
  <c r="D115" i="52" a="1"/>
  <c r="D115" i="52"/>
  <c r="A170" i="52" a="1"/>
  <c r="A170" i="52"/>
  <c r="A85" i="52" a="1"/>
  <c r="A85" i="52"/>
  <c r="F85" i="52" a="1"/>
  <c r="F85" i="52"/>
  <c r="A50" i="52" a="1"/>
  <c r="A50" i="52"/>
  <c r="A127" i="52" a="1"/>
  <c r="A127" i="52"/>
  <c r="G127" i="52" a="1"/>
  <c r="G127" i="52"/>
  <c r="A36" i="52" a="1"/>
  <c r="A36" i="52"/>
  <c r="G36" i="52" a="1"/>
  <c r="G36" i="52"/>
  <c r="A144" i="52" a="1"/>
  <c r="A144" i="52"/>
  <c r="D144" i="52" a="1"/>
  <c r="D144" i="52"/>
  <c r="A96" i="52" a="1"/>
  <c r="A96" i="52"/>
  <c r="I96" i="52" a="1"/>
  <c r="I96" i="52"/>
  <c r="A123" i="52" a="1"/>
  <c r="A123" i="52"/>
  <c r="D123" i="52" a="1"/>
  <c r="D123" i="52"/>
  <c r="A84" i="52" a="1"/>
  <c r="A84" i="52"/>
  <c r="A137" i="52" a="1"/>
  <c r="A137" i="52"/>
  <c r="L137" i="52" a="1"/>
  <c r="L137" i="52"/>
  <c r="A40" i="52" a="1"/>
  <c r="A40" i="52"/>
  <c r="D40" i="52" a="1"/>
  <c r="D40" i="52"/>
  <c r="A139" i="52" a="1"/>
  <c r="A139" i="52"/>
  <c r="L139" i="52" a="1"/>
  <c r="L139" i="52"/>
  <c r="A182" i="52" a="1"/>
  <c r="A182" i="52"/>
  <c r="L182" i="52" a="1"/>
  <c r="L182" i="52"/>
  <c r="A185" i="52" a="1"/>
  <c r="A185" i="52"/>
  <c r="E185" i="52" a="1"/>
  <c r="E185" i="52"/>
  <c r="A111" i="52" a="1"/>
  <c r="A111" i="52"/>
  <c r="A124" i="52" a="1"/>
  <c r="A124" i="52"/>
  <c r="E124" i="52" a="1"/>
  <c r="E124" i="52"/>
  <c r="F2" i="53"/>
  <c r="A125" i="52" a="1"/>
  <c r="A125" i="52"/>
  <c r="L125" i="52" a="1"/>
  <c r="L125" i="52"/>
  <c r="A106" i="52" a="1"/>
  <c r="A106" i="52"/>
  <c r="F4" i="53"/>
  <c r="A122" i="52" a="1"/>
  <c r="A122" i="52"/>
  <c r="A140" i="52" a="1"/>
  <c r="A140" i="52"/>
  <c r="A184" i="52" a="1"/>
  <c r="A184" i="52"/>
  <c r="A47" i="52" a="1"/>
  <c r="A47" i="52"/>
  <c r="A43" i="52" a="1"/>
  <c r="A43" i="52"/>
  <c r="A98" i="52" a="1"/>
  <c r="A98" i="52"/>
  <c r="A73" i="52" a="1"/>
  <c r="A73" i="52"/>
  <c r="A32" i="52" a="1"/>
  <c r="A32" i="52"/>
  <c r="A102" i="52" a="1"/>
  <c r="A102" i="52"/>
  <c r="A52" i="52" a="1"/>
  <c r="A52" i="52"/>
  <c r="A57" i="52" a="1"/>
  <c r="A57" i="52"/>
  <c r="A158" i="52" a="1"/>
  <c r="A158" i="52"/>
  <c r="A143" i="52" a="1"/>
  <c r="A143" i="52"/>
  <c r="A83" i="52" a="1"/>
  <c r="A83" i="52"/>
  <c r="A145" i="52" a="1"/>
  <c r="A145" i="52"/>
  <c r="A178" i="52" a="1"/>
  <c r="A178" i="52"/>
  <c r="G20" i="37"/>
  <c r="F20" i="37"/>
  <c r="D91" i="52" a="1"/>
  <c r="D91" i="52"/>
  <c r="L91" i="52" a="1"/>
  <c r="L91" i="52"/>
  <c r="G91" i="52" a="1"/>
  <c r="G91" i="52"/>
  <c r="J91" i="52" a="1"/>
  <c r="J91" i="52"/>
  <c r="I91" i="52" a="1"/>
  <c r="I91" i="52"/>
  <c r="E91" i="52" a="1"/>
  <c r="E91" i="52"/>
  <c r="H177" i="52" a="1"/>
  <c r="H177" i="52"/>
  <c r="E168" i="52" a="1"/>
  <c r="E168" i="52"/>
  <c r="G168" i="52" a="1"/>
  <c r="G168" i="52"/>
  <c r="H173" i="52" a="1"/>
  <c r="H173" i="52"/>
  <c r="E173" i="52" a="1"/>
  <c r="E173" i="52"/>
  <c r="G173" i="52" a="1"/>
  <c r="G173" i="52"/>
  <c r="D173" i="52" a="1"/>
  <c r="D173" i="52"/>
  <c r="I173" i="52" a="1"/>
  <c r="I173" i="52"/>
  <c r="J173" i="52" a="1"/>
  <c r="J173" i="52"/>
  <c r="F61" i="52" a="1"/>
  <c r="F61" i="52"/>
  <c r="I61" i="52" a="1"/>
  <c r="I61" i="52"/>
  <c r="G61" i="52" a="1"/>
  <c r="G61" i="52"/>
  <c r="J61" i="52" a="1"/>
  <c r="J61" i="52"/>
  <c r="G46" i="52" a="1"/>
  <c r="G46" i="52"/>
  <c r="E61" i="52" a="1"/>
  <c r="E61" i="52"/>
  <c r="L168" i="52" a="1"/>
  <c r="L168" i="52" s="1"/>
  <c r="L159" i="52" a="1"/>
  <c r="L159" i="52" s="1"/>
  <c r="F168" i="52" a="1"/>
  <c r="F168" i="52"/>
  <c r="J39" i="52" a="1"/>
  <c r="J39" i="52"/>
  <c r="I168" i="52" a="1"/>
  <c r="I168" i="52"/>
  <c r="G157" i="52" a="1"/>
  <c r="G157" i="52"/>
  <c r="E44" i="52" a="1"/>
  <c r="E44" i="52"/>
  <c r="D108" i="52" a="1"/>
  <c r="D108" i="52"/>
  <c r="E177" i="52" a="1"/>
  <c r="E177" i="52"/>
  <c r="I53" i="52" a="1"/>
  <c r="I53" i="52"/>
  <c r="G44" i="52" a="1"/>
  <c r="G44" i="52"/>
  <c r="G53" i="52" a="1"/>
  <c r="G53" i="52"/>
  <c r="D177" i="52" a="1"/>
  <c r="D177" i="52"/>
  <c r="I44" i="52" a="1"/>
  <c r="I44" i="52"/>
  <c r="F177" i="52" a="1"/>
  <c r="F177" i="52"/>
  <c r="I126" i="52" a="1"/>
  <c r="I126" i="52"/>
  <c r="J157" i="52" a="1"/>
  <c r="J157" i="52"/>
  <c r="I157" i="52" a="1"/>
  <c r="I157" i="52"/>
  <c r="J177" i="52" a="1"/>
  <c r="J177" i="52"/>
  <c r="D157" i="52" a="1"/>
  <c r="D157" i="52"/>
  <c r="E157" i="52" a="1"/>
  <c r="E157" i="52"/>
  <c r="G177" i="52" a="1"/>
  <c r="G177" i="52"/>
  <c r="F44" i="52" a="1"/>
  <c r="F44" i="52"/>
  <c r="L157" i="52" a="1"/>
  <c r="L157" i="52" s="1"/>
  <c r="J186" i="52" a="1"/>
  <c r="J186" i="52"/>
  <c r="I186" i="52" a="1"/>
  <c r="I186" i="52"/>
  <c r="I177" i="52" a="1"/>
  <c r="I177" i="52"/>
  <c r="E53" i="52" a="1"/>
  <c r="E53" i="52"/>
  <c r="I150" i="52" a="1"/>
  <c r="I150" i="52"/>
  <c r="I34" i="52" a="1"/>
  <c r="I34" i="52"/>
  <c r="G82" i="52" a="1"/>
  <c r="G82" i="52"/>
  <c r="F150" i="52" a="1"/>
  <c r="F150" i="52"/>
  <c r="D168" i="52" a="1"/>
  <c r="D168" i="52"/>
  <c r="E62" i="52" a="1"/>
  <c r="E62" i="52"/>
  <c r="E82" i="52" a="1"/>
  <c r="E82" i="52"/>
  <c r="L173" i="52" a="1"/>
  <c r="L173" i="52"/>
  <c r="L61" i="52" a="1"/>
  <c r="L61" i="52"/>
  <c r="D82" i="52" a="1"/>
  <c r="D82" i="52"/>
  <c r="D63" i="52" a="1"/>
  <c r="D63" i="52"/>
  <c r="D39" i="52" a="1"/>
  <c r="D39" i="52"/>
  <c r="H168" i="52" a="1"/>
  <c r="H168" i="52"/>
  <c r="D49" i="52" a="1"/>
  <c r="D49" i="52"/>
  <c r="F39" i="52" a="1"/>
  <c r="F39" i="52"/>
  <c r="G39" i="52" a="1"/>
  <c r="G39" i="52"/>
  <c r="D75" i="52" a="1"/>
  <c r="D75" i="52"/>
  <c r="J75" i="52" a="1"/>
  <c r="J75" i="52"/>
  <c r="D44" i="52" a="1"/>
  <c r="D44" i="52"/>
  <c r="D135" i="52" a="1"/>
  <c r="D135" i="52"/>
  <c r="F108" i="52" a="1"/>
  <c r="F108" i="52"/>
  <c r="F46" i="52" a="1"/>
  <c r="F46" i="52"/>
  <c r="I46" i="52" a="1"/>
  <c r="I46" i="52"/>
  <c r="J108" i="52" a="1"/>
  <c r="J108" i="52"/>
  <c r="J27" i="52" a="1"/>
  <c r="J27" i="52"/>
  <c r="D105" i="52" a="1"/>
  <c r="D105" i="52"/>
  <c r="J62" i="52" a="1"/>
  <c r="J62" i="52"/>
  <c r="I108" i="52" a="1"/>
  <c r="I108" i="52"/>
  <c r="L62" i="52" a="1"/>
  <c r="L62" i="52" s="1"/>
  <c r="G105" i="52" a="1"/>
  <c r="G105" i="52"/>
  <c r="D62" i="52" a="1"/>
  <c r="D62" i="52"/>
  <c r="F62" i="52" a="1"/>
  <c r="F62" i="52"/>
  <c r="G108" i="52" a="1"/>
  <c r="G108" i="52"/>
  <c r="G62" i="52" a="1"/>
  <c r="G62" i="52"/>
  <c r="E108" i="52" a="1"/>
  <c r="E108" i="52"/>
  <c r="F105" i="52" a="1"/>
  <c r="F105" i="52"/>
  <c r="E109" i="52" a="1"/>
  <c r="E109" i="52"/>
  <c r="H162" i="52" a="1"/>
  <c r="H162" i="52"/>
  <c r="I27" i="52" a="1"/>
  <c r="I27" i="52"/>
  <c r="H171" i="52" a="1"/>
  <c r="H171" i="52"/>
  <c r="L126" i="52" a="1"/>
  <c r="L126" i="52"/>
  <c r="I119" i="52" a="1"/>
  <c r="I119" i="52"/>
  <c r="J104" i="52" a="1"/>
  <c r="J104" i="52"/>
  <c r="I167" i="52" a="1"/>
  <c r="I167" i="52"/>
  <c r="L160" i="52" a="1"/>
  <c r="L160" i="52"/>
  <c r="E186" i="52" a="1"/>
  <c r="E186" i="52"/>
  <c r="F126" i="52" a="1"/>
  <c r="F126" i="52"/>
  <c r="G119" i="52" a="1"/>
  <c r="G119" i="52"/>
  <c r="L119" i="52" a="1"/>
  <c r="L119" i="52" s="1"/>
  <c r="F186" i="52" a="1"/>
  <c r="F186" i="52"/>
  <c r="F104" i="52" a="1"/>
  <c r="F104" i="52"/>
  <c r="E167" i="52" a="1"/>
  <c r="E167" i="52"/>
  <c r="F167" i="52" a="1"/>
  <c r="F167" i="52"/>
  <c r="E126" i="52" a="1"/>
  <c r="E126" i="52"/>
  <c r="G104" i="52" a="1"/>
  <c r="G104" i="52"/>
  <c r="D104" i="52" a="1"/>
  <c r="D104" i="52"/>
  <c r="G167" i="52" a="1"/>
  <c r="G167" i="52"/>
  <c r="L167" i="52" a="1"/>
  <c r="L167" i="52" s="1"/>
  <c r="G126" i="52" a="1"/>
  <c r="G126" i="52"/>
  <c r="D126" i="52" a="1"/>
  <c r="D126" i="52"/>
  <c r="D186" i="52" a="1"/>
  <c r="D186" i="52"/>
  <c r="J167" i="52" a="1"/>
  <c r="J167" i="52"/>
  <c r="E51" i="52" a="1"/>
  <c r="E51" i="52"/>
  <c r="F152" i="52" a="1"/>
  <c r="F152" i="52"/>
  <c r="L152" i="52" a="1"/>
  <c r="L152" i="52" s="1"/>
  <c r="D154" i="52" a="1"/>
  <c r="D154" i="52"/>
  <c r="G160" i="52" a="1"/>
  <c r="G160" i="52"/>
  <c r="G176" i="52" a="1"/>
  <c r="G176" i="52"/>
  <c r="J176" i="52" a="1"/>
  <c r="J176" i="52"/>
  <c r="D109" i="52" a="1"/>
  <c r="D109" i="52"/>
  <c r="D187" i="52" a="1"/>
  <c r="D187" i="52"/>
  <c r="G159" i="52" a="1"/>
  <c r="G159" i="52"/>
  <c r="E135" i="52" a="1"/>
  <c r="E135" i="52"/>
  <c r="F37" i="52" a="1"/>
  <c r="F37" i="52"/>
  <c r="E187" i="52" a="1"/>
  <c r="E187" i="52"/>
  <c r="F135" i="52" a="1"/>
  <c r="F135" i="52"/>
  <c r="J37" i="52" a="1"/>
  <c r="J37" i="52"/>
  <c r="F176" i="52" a="1"/>
  <c r="F176" i="52"/>
  <c r="H187" i="52" a="1"/>
  <c r="H187" i="52"/>
  <c r="I135" i="52" a="1"/>
  <c r="I135" i="52"/>
  <c r="J159" i="52" a="1"/>
  <c r="J159" i="52"/>
  <c r="F187" i="52" a="1"/>
  <c r="F187" i="52"/>
  <c r="D147" i="52" a="1"/>
  <c r="D147" i="52"/>
  <c r="G147" i="52" a="1"/>
  <c r="G147" i="52"/>
  <c r="E37" i="52" a="1"/>
  <c r="E37" i="52"/>
  <c r="L147" i="52" a="1"/>
  <c r="L147" i="52"/>
  <c r="I147" i="52" a="1"/>
  <c r="I147" i="52"/>
  <c r="J109" i="52" a="1"/>
  <c r="J109" i="52"/>
  <c r="L135" i="52" a="1"/>
  <c r="L135" i="52"/>
  <c r="I159" i="52" a="1"/>
  <c r="I159" i="52"/>
  <c r="L154" i="52" a="1"/>
  <c r="L154" i="52" s="1"/>
  <c r="G150" i="52" a="1"/>
  <c r="G150" i="52"/>
  <c r="G138" i="52" a="1"/>
  <c r="G138" i="52"/>
  <c r="J154" i="52" a="1"/>
  <c r="J154" i="52"/>
  <c r="G75" i="52" a="1"/>
  <c r="G75" i="52"/>
  <c r="F75" i="52" a="1"/>
  <c r="F75" i="52"/>
  <c r="F160" i="52" a="1"/>
  <c r="F160" i="52"/>
  <c r="J160" i="52" a="1"/>
  <c r="J160" i="52"/>
  <c r="J51" i="52" a="1"/>
  <c r="J51" i="52"/>
  <c r="I128" i="52" a="1"/>
  <c r="I128" i="52"/>
  <c r="D128" i="52" a="1"/>
  <c r="D128" i="52"/>
  <c r="J152" i="52" a="1"/>
  <c r="J152" i="52"/>
  <c r="J63" i="52" a="1"/>
  <c r="J63" i="52"/>
  <c r="E34" i="52" a="1"/>
  <c r="E34" i="52"/>
  <c r="F51" i="52" a="1"/>
  <c r="F51" i="52"/>
  <c r="D150" i="52" a="1"/>
  <c r="D150" i="52"/>
  <c r="L63" i="52" a="1"/>
  <c r="L63" i="52"/>
  <c r="E138" i="52" a="1"/>
  <c r="E138" i="52"/>
  <c r="F63" i="52" a="1"/>
  <c r="F63" i="52"/>
  <c r="F154" i="52" a="1"/>
  <c r="F154" i="52"/>
  <c r="D34" i="52" a="1"/>
  <c r="D34" i="52"/>
  <c r="G34" i="52" a="1"/>
  <c r="G34" i="52"/>
  <c r="I39" i="52" a="1"/>
  <c r="I39" i="52"/>
  <c r="I160" i="52" a="1"/>
  <c r="I160" i="52"/>
  <c r="G128" i="52" a="1"/>
  <c r="G128" i="52"/>
  <c r="I154" i="52" a="1"/>
  <c r="I154" i="52"/>
  <c r="E128" i="52" a="1"/>
  <c r="E128" i="52"/>
  <c r="D51" i="52" a="1"/>
  <c r="D51" i="52"/>
  <c r="D27" i="52" a="1"/>
  <c r="D27" i="52"/>
  <c r="D138" i="52" a="1"/>
  <c r="D138" i="52"/>
  <c r="I63" i="52" a="1"/>
  <c r="I63" i="52"/>
  <c r="E63" i="52" a="1"/>
  <c r="E63" i="52"/>
  <c r="H34" i="52" a="1"/>
  <c r="H34" i="52"/>
  <c r="I51" i="52" a="1"/>
  <c r="I51" i="52"/>
  <c r="E154" i="52" a="1"/>
  <c r="E154" i="52"/>
  <c r="L75" i="52" a="1"/>
  <c r="L75" i="52" s="1"/>
  <c r="J138" i="52" a="1"/>
  <c r="J138" i="52"/>
  <c r="E27" i="52" a="1"/>
  <c r="E27" i="52"/>
  <c r="J128" i="52" a="1"/>
  <c r="J128" i="52"/>
  <c r="J150" i="52" a="1"/>
  <c r="J150" i="52"/>
  <c r="D152" i="52" a="1"/>
  <c r="D152" i="52"/>
  <c r="E150" i="52" a="1"/>
  <c r="E150" i="52"/>
  <c r="J34" i="52" a="1"/>
  <c r="J34" i="52"/>
  <c r="L138" i="52" a="1"/>
  <c r="L138" i="52"/>
  <c r="I138" i="52" a="1"/>
  <c r="I138" i="52"/>
  <c r="I75" i="52" a="1"/>
  <c r="I75" i="52"/>
  <c r="F27" i="52" a="1"/>
  <c r="F27" i="52"/>
  <c r="I152" i="52" a="1"/>
  <c r="I152" i="52"/>
  <c r="L128" i="52" a="1"/>
  <c r="L128" i="52" s="1"/>
  <c r="E152" i="52" a="1"/>
  <c r="E152" i="52"/>
  <c r="E160" i="52" a="1"/>
  <c r="E160" i="52"/>
  <c r="H61" i="52" a="1"/>
  <c r="H61" i="52"/>
  <c r="L60" i="52" a="1"/>
  <c r="L60" i="52"/>
  <c r="J49" i="52" a="1"/>
  <c r="J49" i="52"/>
  <c r="F99" i="52" a="1"/>
  <c r="F99" i="52"/>
  <c r="I87" i="52" a="1"/>
  <c r="I87" i="52"/>
  <c r="G133" i="52" a="1"/>
  <c r="G133" i="52"/>
  <c r="I82" i="52" a="1"/>
  <c r="I82" i="52"/>
  <c r="E49" i="52" a="1"/>
  <c r="E49" i="52"/>
  <c r="I49" i="52" a="1"/>
  <c r="I49" i="52"/>
  <c r="L82" i="52" a="1"/>
  <c r="L82" i="52"/>
  <c r="F77" i="52" a="1"/>
  <c r="F77" i="52"/>
  <c r="E133" i="52" a="1"/>
  <c r="E133" i="52"/>
  <c r="E162" i="52" a="1"/>
  <c r="E162" i="52"/>
  <c r="D162" i="52" a="1"/>
  <c r="D162" i="52"/>
  <c r="F82" i="52" a="1"/>
  <c r="F82" i="52"/>
  <c r="G49" i="52" a="1"/>
  <c r="G49" i="52"/>
  <c r="J45" i="52" a="1"/>
  <c r="J45" i="52"/>
  <c r="H154" i="52" a="1"/>
  <c r="H154" i="52"/>
  <c r="H60" i="52" a="1"/>
  <c r="H60" i="52"/>
  <c r="D164" i="52" a="1"/>
  <c r="D164" i="52"/>
  <c r="G100" i="52" a="1"/>
  <c r="G100" i="52"/>
  <c r="F121" i="52" a="1"/>
  <c r="F121" i="52"/>
  <c r="L100" i="52" a="1"/>
  <c r="L100" i="52" s="1"/>
  <c r="J164" i="52" a="1"/>
  <c r="J164" i="52"/>
  <c r="H152" i="52" a="1"/>
  <c r="H152" i="52"/>
  <c r="H75" i="52" a="1"/>
  <c r="H75" i="52"/>
  <c r="H39" i="52" a="1"/>
  <c r="H39" i="52"/>
  <c r="H49" i="52" a="1"/>
  <c r="H49" i="52"/>
  <c r="H157" i="52" a="1"/>
  <c r="H157" i="52"/>
  <c r="H27" i="52" a="1"/>
  <c r="H27" i="52"/>
  <c r="L103" i="52" a="1"/>
  <c r="L103" i="52" s="1"/>
  <c r="G90" i="52" a="1"/>
  <c r="G90" i="52"/>
  <c r="I100" i="52" a="1"/>
  <c r="I100" i="52"/>
  <c r="E121" i="52" a="1"/>
  <c r="E121" i="52"/>
  <c r="D121" i="52" a="1"/>
  <c r="D121" i="52"/>
  <c r="F153" i="52" a="1"/>
  <c r="F153" i="52"/>
  <c r="H63" i="52" a="1"/>
  <c r="H63" i="52"/>
  <c r="H51" i="52" a="1"/>
  <c r="H51" i="52"/>
  <c r="H91" i="52" a="1"/>
  <c r="H91" i="52"/>
  <c r="D90" i="52" a="1"/>
  <c r="D90" i="52"/>
  <c r="D103" i="52" a="1"/>
  <c r="D103" i="52"/>
  <c r="H128" i="52" a="1"/>
  <c r="H128" i="52"/>
  <c r="H160" i="52" a="1"/>
  <c r="H160" i="52"/>
  <c r="H121" i="52" a="1"/>
  <c r="H121" i="52"/>
  <c r="H82" i="52" a="1"/>
  <c r="H82" i="52"/>
  <c r="H150" i="52" a="1"/>
  <c r="H150" i="52"/>
  <c r="H62" i="52" a="1"/>
  <c r="H62" i="52"/>
  <c r="H138" i="52" a="1"/>
  <c r="H138" i="52"/>
  <c r="G121" i="52" a="1"/>
  <c r="G121" i="52"/>
  <c r="F103" i="52" a="1"/>
  <c r="F103" i="52"/>
  <c r="L141" i="52" a="1"/>
  <c r="L141" i="52" s="1"/>
  <c r="J100" i="52" a="1"/>
  <c r="J100" i="52"/>
  <c r="H100" i="52" a="1"/>
  <c r="H100" i="52"/>
  <c r="D100" i="52" a="1"/>
  <c r="D100" i="52"/>
  <c r="L76" i="52" a="1"/>
  <c r="L76" i="52"/>
  <c r="E100" i="52" a="1"/>
  <c r="E100" i="52"/>
  <c r="L121" i="52" a="1"/>
  <c r="L121" i="52" s="1"/>
  <c r="J121" i="52" a="1"/>
  <c r="J121" i="52"/>
  <c r="G76" i="52" a="1"/>
  <c r="G76" i="52"/>
  <c r="H53" i="52" a="1"/>
  <c r="H53" i="52"/>
  <c r="F53" i="52" a="1"/>
  <c r="F53" i="52"/>
  <c r="J147" i="52" a="1"/>
  <c r="J147" i="52"/>
  <c r="E46" i="52" a="1"/>
  <c r="E46" i="52"/>
  <c r="I109" i="52" a="1"/>
  <c r="I109" i="52"/>
  <c r="L109" i="52" a="1"/>
  <c r="L109" i="52"/>
  <c r="D46" i="52" a="1"/>
  <c r="D46" i="52"/>
  <c r="H135" i="52" a="1"/>
  <c r="H135" i="52"/>
  <c r="H126" i="52" a="1"/>
  <c r="H126" i="52"/>
  <c r="H44" i="52" a="1"/>
  <c r="H44" i="52"/>
  <c r="H108" i="52" a="1"/>
  <c r="H108" i="52"/>
  <c r="E119" i="52" a="1"/>
  <c r="E119" i="52"/>
  <c r="I105" i="52" a="1"/>
  <c r="I105" i="52"/>
  <c r="I176" i="52" a="1"/>
  <c r="I176" i="52"/>
  <c r="L187" i="52" a="1"/>
  <c r="L187" i="52" s="1"/>
  <c r="I104" i="52" a="1"/>
  <c r="I104" i="52"/>
  <c r="D37" i="52" a="1"/>
  <c r="D37" i="52"/>
  <c r="I187" i="52" a="1"/>
  <c r="I187" i="52"/>
  <c r="E159" i="52" a="1"/>
  <c r="E159" i="52"/>
  <c r="F119" i="52" a="1"/>
  <c r="F119" i="52"/>
  <c r="H119" i="52" a="1"/>
  <c r="H119" i="52"/>
  <c r="H105" i="52" a="1"/>
  <c r="H105" i="52"/>
  <c r="H176" i="52" a="1"/>
  <c r="H176" i="52"/>
  <c r="L105" i="52" a="1"/>
  <c r="L105" i="52" s="1"/>
  <c r="D53" i="52" a="1"/>
  <c r="D53" i="52"/>
  <c r="H186" i="52" a="1"/>
  <c r="H186" i="52"/>
  <c r="F147" i="52" a="1"/>
  <c r="F147" i="52"/>
  <c r="D176" i="52" a="1"/>
  <c r="D176" i="52"/>
  <c r="E105" i="52" a="1"/>
  <c r="E105" i="52"/>
  <c r="I37" i="52" a="1"/>
  <c r="I37" i="52"/>
  <c r="L186" i="52" a="1"/>
  <c r="L186" i="52" s="1"/>
  <c r="G109" i="52" a="1"/>
  <c r="G109" i="52"/>
  <c r="E104" i="52" a="1"/>
  <c r="E104" i="52"/>
  <c r="E88" i="52" a="1"/>
  <c r="E88" i="52"/>
  <c r="G187" i="52" a="1"/>
  <c r="G187" i="52"/>
  <c r="D119" i="52" a="1"/>
  <c r="D119" i="52"/>
  <c r="G135" i="52" a="1"/>
  <c r="G135" i="52"/>
  <c r="D159" i="52" a="1"/>
  <c r="D159" i="52"/>
  <c r="L176" i="52" a="1"/>
  <c r="L176" i="52"/>
  <c r="H104" i="52" a="1"/>
  <c r="H104" i="52"/>
  <c r="H167" i="52" a="1"/>
  <c r="H167" i="52"/>
  <c r="H109" i="52" a="1"/>
  <c r="H109" i="52"/>
  <c r="H159" i="52" a="1"/>
  <c r="H159" i="52"/>
  <c r="H147" i="52" a="1"/>
  <c r="H147" i="52"/>
  <c r="H37" i="52" a="1"/>
  <c r="H37" i="52"/>
  <c r="H46" i="52" a="1"/>
  <c r="H46" i="52"/>
  <c r="H72" i="52" a="1"/>
  <c r="H72" i="52"/>
  <c r="L114" i="52" a="1"/>
  <c r="L114" i="52" s="1"/>
  <c r="G118" i="52" a="1"/>
  <c r="G118" i="52"/>
  <c r="J118" i="52" a="1"/>
  <c r="J118" i="52"/>
  <c r="F120" i="52" a="1"/>
  <c r="F120" i="52"/>
  <c r="G174" i="52" a="1"/>
  <c r="G174" i="52"/>
  <c r="D174" i="52" a="1"/>
  <c r="D174" i="52"/>
  <c r="G72" i="52" a="1"/>
  <c r="G72" i="52"/>
  <c r="J114" i="52" a="1"/>
  <c r="J114" i="52"/>
  <c r="G120" i="52" a="1"/>
  <c r="G120" i="52"/>
  <c r="J171" i="52" a="1"/>
  <c r="J171" i="52"/>
  <c r="D97" i="52" a="1"/>
  <c r="D97" i="52"/>
  <c r="E114" i="52" a="1"/>
  <c r="E114" i="52"/>
  <c r="L81" i="52" a="1"/>
  <c r="L81" i="52" s="1"/>
  <c r="F114" i="52" a="1"/>
  <c r="F114" i="52"/>
  <c r="D72" i="52" a="1"/>
  <c r="D72" i="52"/>
  <c r="F72" i="52" a="1"/>
  <c r="F72" i="52"/>
  <c r="J92" i="52" a="1"/>
  <c r="J92" i="52"/>
  <c r="D92" i="52" a="1"/>
  <c r="D92" i="52"/>
  <c r="D114" i="52" a="1"/>
  <c r="D114" i="52"/>
  <c r="E120" i="52" a="1"/>
  <c r="E120" i="52"/>
  <c r="I120" i="52" a="1"/>
  <c r="I120" i="52"/>
  <c r="D120" i="52" a="1"/>
  <c r="D120" i="52"/>
  <c r="I118" i="52" a="1"/>
  <c r="I118" i="52"/>
  <c r="E97" i="52" a="1"/>
  <c r="E97" i="52"/>
  <c r="D33" i="52" a="1"/>
  <c r="D33" i="52"/>
  <c r="H120" i="52" a="1"/>
  <c r="H120" i="52"/>
  <c r="H118" i="52" a="1"/>
  <c r="H118" i="52"/>
  <c r="G92" i="52" a="1"/>
  <c r="G92" i="52"/>
  <c r="G81" i="52" a="1"/>
  <c r="G81" i="52"/>
  <c r="D171" i="52" a="1"/>
  <c r="D171" i="52"/>
  <c r="E171" i="52" a="1"/>
  <c r="E171" i="52"/>
  <c r="I33" i="52" a="1"/>
  <c r="I33" i="52"/>
  <c r="D81" i="52" a="1"/>
  <c r="D81" i="52"/>
  <c r="H81" i="52" a="1"/>
  <c r="H81" i="52"/>
  <c r="H97" i="52" a="1"/>
  <c r="H97" i="52"/>
  <c r="H33" i="52" a="1"/>
  <c r="H33" i="52"/>
  <c r="E72" i="52" a="1"/>
  <c r="E72" i="52"/>
  <c r="I81" i="52" a="1"/>
  <c r="I81" i="52"/>
  <c r="E92" i="52" a="1"/>
  <c r="E92" i="52"/>
  <c r="J174" i="52" a="1"/>
  <c r="J174" i="52"/>
  <c r="F33" i="52" a="1"/>
  <c r="F33" i="52"/>
  <c r="L171" i="52" a="1"/>
  <c r="L171" i="52" s="1"/>
  <c r="I171" i="52" a="1"/>
  <c r="I171" i="52"/>
  <c r="F97" i="52" a="1"/>
  <c r="F97" i="52"/>
  <c r="F81" i="52" a="1"/>
  <c r="F81" i="52"/>
  <c r="F92" i="52" a="1"/>
  <c r="F92" i="52"/>
  <c r="L118" i="52" a="1"/>
  <c r="L118" i="52"/>
  <c r="E118" i="52" a="1"/>
  <c r="E118" i="52"/>
  <c r="F118" i="52" a="1"/>
  <c r="F118" i="52"/>
  <c r="L174" i="52" a="1"/>
  <c r="L174" i="52"/>
  <c r="J72" i="52" a="1"/>
  <c r="J72" i="52"/>
  <c r="F174" i="52" a="1"/>
  <c r="F174" i="52"/>
  <c r="L120" i="52" a="1"/>
  <c r="L120" i="52" s="1"/>
  <c r="L97" i="52" a="1"/>
  <c r="L97" i="52" s="1"/>
  <c r="F171" i="52" a="1"/>
  <c r="F171" i="52"/>
  <c r="G33" i="52" a="1"/>
  <c r="G33" i="52"/>
  <c r="H174" i="52" a="1"/>
  <c r="H174" i="52"/>
  <c r="H114" i="52" a="1"/>
  <c r="H114" i="52"/>
  <c r="J81" i="52" a="1"/>
  <c r="J81" i="52"/>
  <c r="G114" i="52" a="1"/>
  <c r="G114" i="52"/>
  <c r="L92" i="52" a="1"/>
  <c r="L92" i="52"/>
  <c r="I72" i="52" a="1"/>
  <c r="I72" i="52"/>
  <c r="I174" i="52" a="1"/>
  <c r="I174" i="52"/>
  <c r="J97" i="52" a="1"/>
  <c r="J97" i="52"/>
  <c r="I97" i="52" a="1"/>
  <c r="I97" i="52"/>
  <c r="J33" i="52" a="1"/>
  <c r="J33" i="52"/>
  <c r="H92" i="52" a="1"/>
  <c r="H92" i="52"/>
  <c r="D99" i="52" a="1"/>
  <c r="D99" i="52"/>
  <c r="F45" i="52" a="1"/>
  <c r="F45" i="52"/>
  <c r="J87" i="52" a="1"/>
  <c r="J87" i="52"/>
  <c r="G58" i="52" a="1"/>
  <c r="G58" i="52"/>
  <c r="L87" i="52" a="1"/>
  <c r="L87" i="52"/>
  <c r="L110" i="52" a="1"/>
  <c r="L110" i="52"/>
  <c r="D77" i="52" a="1"/>
  <c r="D77" i="52"/>
  <c r="H183" i="52" a="1"/>
  <c r="H183" i="52"/>
  <c r="L133" i="52" a="1"/>
  <c r="L133" i="52" s="1"/>
  <c r="D60" i="52" a="1"/>
  <c r="D60" i="52"/>
  <c r="H110" i="52" a="1"/>
  <c r="H110" i="52"/>
  <c r="I110" i="52" a="1"/>
  <c r="I110" i="52"/>
  <c r="F183" i="52" a="1"/>
  <c r="F183" i="52"/>
  <c r="J162" i="52" a="1"/>
  <c r="J162" i="52"/>
  <c r="E60" i="52" a="1"/>
  <c r="E60" i="52"/>
  <c r="L162" i="52" a="1"/>
  <c r="L162" i="52" s="1"/>
  <c r="I162" i="52" a="1"/>
  <c r="I162" i="52"/>
  <c r="H170" i="52" a="1"/>
  <c r="H170" i="52"/>
  <c r="H87" i="52" a="1"/>
  <c r="H87" i="52"/>
  <c r="H99" i="52" a="1"/>
  <c r="H99" i="52"/>
  <c r="G99" i="52" a="1"/>
  <c r="G99" i="52"/>
  <c r="F110" i="52" a="1"/>
  <c r="F110" i="52"/>
  <c r="J183" i="52" a="1"/>
  <c r="J183" i="52"/>
  <c r="G87" i="52" a="1"/>
  <c r="G87" i="52"/>
  <c r="E64" i="52" a="1"/>
  <c r="E64" i="52"/>
  <c r="I99" i="52" a="1"/>
  <c r="I99" i="52"/>
  <c r="F162" i="52" a="1"/>
  <c r="F162" i="52"/>
  <c r="J60" i="52" a="1"/>
  <c r="J60" i="52"/>
  <c r="I60" i="52" a="1"/>
  <c r="I60" i="52"/>
  <c r="H77" i="52" a="1"/>
  <c r="H77" i="52"/>
  <c r="D87" i="52" a="1"/>
  <c r="D87" i="52"/>
  <c r="J110" i="52" a="1"/>
  <c r="J110" i="52"/>
  <c r="F87" i="52" a="1"/>
  <c r="F87" i="52"/>
  <c r="L99" i="52" a="1"/>
  <c r="L99" i="52" s="1"/>
  <c r="D183" i="52" a="1"/>
  <c r="D183" i="52"/>
  <c r="I77" i="52" a="1"/>
  <c r="I77" i="52"/>
  <c r="L183" i="52" a="1"/>
  <c r="L183" i="52"/>
  <c r="D45" i="52" a="1"/>
  <c r="D45" i="52"/>
  <c r="E58" i="52" a="1"/>
  <c r="E58" i="52"/>
  <c r="E99" i="52" a="1"/>
  <c r="E99" i="52"/>
  <c r="G45" i="52" a="1"/>
  <c r="G45" i="52"/>
  <c r="F58" i="52" a="1"/>
  <c r="F58" i="52"/>
  <c r="L58" i="52" a="1"/>
  <c r="L58" i="52" s="1"/>
  <c r="G77" i="52" a="1"/>
  <c r="G77" i="52"/>
  <c r="G110" i="52" a="1"/>
  <c r="G110" i="52"/>
  <c r="E77" i="52" a="1"/>
  <c r="E77" i="52"/>
  <c r="I183" i="52" a="1"/>
  <c r="I183" i="52"/>
  <c r="F133" i="52" a="1"/>
  <c r="F133" i="52"/>
  <c r="J77" i="52" a="1"/>
  <c r="J77" i="52"/>
  <c r="F60" i="52" a="1"/>
  <c r="F60" i="52"/>
  <c r="I45" i="52" a="1"/>
  <c r="I45" i="52"/>
  <c r="H58" i="52" a="1"/>
  <c r="H58" i="52"/>
  <c r="H133" i="52" a="1"/>
  <c r="H133" i="52"/>
  <c r="E183" i="52" a="1"/>
  <c r="E183" i="52"/>
  <c r="D58" i="52" a="1"/>
  <c r="D58" i="52"/>
  <c r="J58" i="52" a="1"/>
  <c r="J58" i="52"/>
  <c r="E110" i="52" a="1"/>
  <c r="E110" i="52"/>
  <c r="L64" i="52" a="1"/>
  <c r="L64" i="52"/>
  <c r="D133" i="52" a="1"/>
  <c r="D133" i="52"/>
  <c r="I133" i="52" a="1"/>
  <c r="I133" i="52"/>
  <c r="H45" i="52" a="1"/>
  <c r="H45" i="52"/>
  <c r="E141" i="52" a="1"/>
  <c r="E141" i="52"/>
  <c r="D67" i="52" a="1"/>
  <c r="D67" i="52"/>
  <c r="E103" i="52" a="1"/>
  <c r="E103" i="52"/>
  <c r="G141" i="52" a="1"/>
  <c r="G141" i="52"/>
  <c r="J69" i="52" a="1"/>
  <c r="J69" i="52"/>
  <c r="D69" i="52" a="1"/>
  <c r="D69" i="52"/>
  <c r="I69" i="52" a="1"/>
  <c r="I69" i="52"/>
  <c r="J101" i="52" a="1"/>
  <c r="J101" i="52"/>
  <c r="J76" i="52" a="1"/>
  <c r="J76" i="52"/>
  <c r="E67" i="52" a="1"/>
  <c r="E67" i="52"/>
  <c r="I164" i="52" a="1"/>
  <c r="I164" i="52"/>
  <c r="J141" i="52" a="1"/>
  <c r="J141" i="52"/>
  <c r="L164" i="52" a="1"/>
  <c r="L164" i="52" s="1"/>
  <c r="E76" i="52" a="1"/>
  <c r="E76" i="52"/>
  <c r="L101" i="52" a="1"/>
  <c r="L101" i="52" s="1"/>
  <c r="D153" i="52" a="1"/>
  <c r="D153" i="52"/>
  <c r="I153" i="52" a="1"/>
  <c r="I153" i="52"/>
  <c r="H69" i="52" a="1"/>
  <c r="H69" i="52"/>
  <c r="G164" i="52" a="1"/>
  <c r="G164" i="52"/>
  <c r="L90" i="52" a="1"/>
  <c r="L90" i="52"/>
  <c r="G103" i="52" a="1"/>
  <c r="G103" i="52"/>
  <c r="J67" i="52" a="1"/>
  <c r="J67" i="52"/>
  <c r="E90" i="52" a="1"/>
  <c r="E90" i="52"/>
  <c r="F76" i="52" a="1"/>
  <c r="F76" i="52"/>
  <c r="I101" i="52" a="1"/>
  <c r="I101" i="52"/>
  <c r="F101" i="52" a="1"/>
  <c r="F101" i="52"/>
  <c r="E101" i="52" a="1"/>
  <c r="E101" i="52"/>
  <c r="G153" i="52" a="1"/>
  <c r="G153" i="52"/>
  <c r="J153" i="52" a="1"/>
  <c r="J153" i="52"/>
  <c r="H67" i="52" a="1"/>
  <c r="H67" i="52"/>
  <c r="E164" i="52" a="1"/>
  <c r="E164" i="52"/>
  <c r="L67" i="52" a="1"/>
  <c r="L67" i="52" s="1"/>
  <c r="F69" i="52" a="1"/>
  <c r="F69" i="52"/>
  <c r="I90" i="52" a="1"/>
  <c r="I90" i="52"/>
  <c r="G67" i="52" a="1"/>
  <c r="G67" i="52"/>
  <c r="H76" i="52" a="1"/>
  <c r="H76" i="52"/>
  <c r="F67" i="52" a="1"/>
  <c r="F67" i="52"/>
  <c r="H164" i="52" a="1"/>
  <c r="H164" i="52"/>
  <c r="H141" i="52" a="1"/>
  <c r="H141" i="52"/>
  <c r="H103" i="52" a="1"/>
  <c r="H103" i="52"/>
  <c r="L153" i="52" a="1"/>
  <c r="L153" i="52" s="1"/>
  <c r="H153" i="52" a="1"/>
  <c r="H153" i="52"/>
  <c r="F90" i="52" a="1"/>
  <c r="F90" i="52"/>
  <c r="J103" i="52" a="1"/>
  <c r="J103" i="52"/>
  <c r="D141" i="52" a="1"/>
  <c r="D141" i="52"/>
  <c r="I141" i="52" a="1"/>
  <c r="I141" i="52"/>
  <c r="G69" i="52" a="1"/>
  <c r="G69" i="52"/>
  <c r="I76" i="52" a="1"/>
  <c r="I76" i="52"/>
  <c r="G101" i="52" a="1"/>
  <c r="G101" i="52"/>
  <c r="E69" i="52" a="1"/>
  <c r="E69" i="52"/>
  <c r="H101" i="52" a="1"/>
  <c r="H101" i="52"/>
  <c r="H90" i="52" a="1"/>
  <c r="H90" i="52"/>
  <c r="L71" i="52" a="1"/>
  <c r="L71" i="52"/>
  <c r="I71" i="52" a="1"/>
  <c r="I71" i="52"/>
  <c r="E71" i="52" a="1"/>
  <c r="E71" i="52"/>
  <c r="J71" i="52" a="1"/>
  <c r="J71" i="52"/>
  <c r="D71" i="52" a="1"/>
  <c r="D71" i="52"/>
  <c r="F71" i="52" a="1"/>
  <c r="F71" i="52"/>
  <c r="H71" i="52" a="1"/>
  <c r="H71" i="52"/>
  <c r="G113" i="52" a="1"/>
  <c r="G113" i="52"/>
  <c r="H88" i="52" a="1"/>
  <c r="H88" i="52"/>
  <c r="G88" i="52" a="1"/>
  <c r="G88" i="52"/>
  <c r="F88" i="52" a="1"/>
  <c r="F88" i="52"/>
  <c r="D88" i="52" a="1"/>
  <c r="D88" i="52"/>
  <c r="L88" i="52" a="1"/>
  <c r="L88" i="52"/>
  <c r="H84" i="52" a="1"/>
  <c r="H84" i="52"/>
  <c r="I88" i="52" a="1"/>
  <c r="I88" i="52"/>
  <c r="G64" i="52" a="1"/>
  <c r="G64" i="52"/>
  <c r="I64" i="52" a="1"/>
  <c r="I64" i="52"/>
  <c r="J64" i="52" a="1"/>
  <c r="J64" i="52"/>
  <c r="F64" i="52" a="1"/>
  <c r="F64" i="52"/>
  <c r="H64" i="52" a="1"/>
  <c r="H64" i="52"/>
  <c r="J56" i="52" a="1"/>
  <c r="J56" i="52"/>
  <c r="I56" i="52" a="1"/>
  <c r="I56" i="52"/>
  <c r="D56" i="52" a="1"/>
  <c r="D56" i="52"/>
  <c r="G56" i="52" a="1"/>
  <c r="G56" i="52"/>
  <c r="F56" i="52" a="1"/>
  <c r="F56" i="52"/>
  <c r="H93" i="52" a="1"/>
  <c r="H93" i="52"/>
  <c r="H106" i="52" a="1"/>
  <c r="H106" i="52"/>
  <c r="D113" i="52" a="1"/>
  <c r="D113" i="52"/>
  <c r="F113" i="52" a="1"/>
  <c r="F113" i="52"/>
  <c r="H155" i="52" a="1"/>
  <c r="H155" i="52"/>
  <c r="H113" i="52" a="1"/>
  <c r="H113" i="52"/>
  <c r="L113" i="52" a="1"/>
  <c r="L113" i="52"/>
  <c r="I113" i="52" a="1"/>
  <c r="I113" i="52"/>
  <c r="J113" i="52" a="1"/>
  <c r="J113" i="52"/>
  <c r="H116" i="52" a="1"/>
  <c r="H116" i="52"/>
  <c r="H136" i="52" a="1"/>
  <c r="H136" i="52"/>
  <c r="H148" i="52" a="1"/>
  <c r="H148" i="52"/>
  <c r="H169" i="52" a="1"/>
  <c r="H169" i="52"/>
  <c r="F169" i="52" a="1"/>
  <c r="F169" i="52"/>
  <c r="H56" i="52" a="1"/>
  <c r="H56" i="52"/>
  <c r="L169" i="52" a="1"/>
  <c r="L169" i="52" s="1"/>
  <c r="I169" i="52" a="1"/>
  <c r="I169" i="52"/>
  <c r="G169" i="52" a="1"/>
  <c r="G169" i="52"/>
  <c r="D169" i="52" a="1"/>
  <c r="D169" i="52"/>
  <c r="J169" i="52" a="1"/>
  <c r="J169" i="52"/>
  <c r="H95" i="52" a="1"/>
  <c r="H95" i="52"/>
  <c r="J40" i="52" a="1"/>
  <c r="J40" i="52"/>
  <c r="E48" i="52" a="1"/>
  <c r="E48" i="52"/>
  <c r="H54" i="52" a="1"/>
  <c r="H54" i="52"/>
  <c r="E111" i="52" a="1"/>
  <c r="E111" i="52"/>
  <c r="L111" i="52" a="1"/>
  <c r="L111" i="52" s="1"/>
  <c r="H111" i="52" a="1"/>
  <c r="H111" i="52"/>
  <c r="L180" i="52" a="1"/>
  <c r="L180" i="52" s="1"/>
  <c r="J180" i="52" a="1"/>
  <c r="J180" i="52"/>
  <c r="F180" i="52" a="1"/>
  <c r="F180" i="52"/>
  <c r="F78" i="52" a="1"/>
  <c r="F78" i="52"/>
  <c r="J78" i="52" a="1"/>
  <c r="J78" i="52"/>
  <c r="D78" i="52" a="1"/>
  <c r="D78" i="52"/>
  <c r="D180" i="52" a="1"/>
  <c r="D180" i="52"/>
  <c r="I54" i="52" a="1"/>
  <c r="I54" i="52"/>
  <c r="E54" i="52" a="1"/>
  <c r="E54" i="52"/>
  <c r="J50" i="52" a="1"/>
  <c r="J50" i="52"/>
  <c r="I50" i="52" a="1"/>
  <c r="I50" i="52"/>
  <c r="G166" i="52" a="1"/>
  <c r="G166" i="52"/>
  <c r="F166" i="52" a="1"/>
  <c r="F166" i="52"/>
  <c r="E166" i="52" a="1"/>
  <c r="E166" i="52"/>
  <c r="L107" i="52" a="1"/>
  <c r="L107" i="52" s="1"/>
  <c r="G107" i="52" a="1"/>
  <c r="G107" i="52"/>
  <c r="I48" i="52" a="1"/>
  <c r="I48" i="52"/>
  <c r="J48" i="52" a="1"/>
  <c r="J48" i="52"/>
  <c r="F130" i="52" a="1"/>
  <c r="F130" i="52"/>
  <c r="I130" i="52" a="1"/>
  <c r="I130" i="52"/>
  <c r="E130" i="52" a="1"/>
  <c r="E130" i="52"/>
  <c r="I93" i="52" a="1"/>
  <c r="I93" i="52"/>
  <c r="L93" i="52" a="1"/>
  <c r="L93" i="52" s="1"/>
  <c r="L156" i="52" a="1"/>
  <c r="L156" i="52"/>
  <c r="G156" i="52" a="1"/>
  <c r="G156" i="52"/>
  <c r="F156" i="52" a="1"/>
  <c r="F156" i="52"/>
  <c r="G151" i="52" a="1"/>
  <c r="G151" i="52"/>
  <c r="F151" i="52" a="1"/>
  <c r="F151" i="52"/>
  <c r="H151" i="52" a="1"/>
  <c r="H151" i="52"/>
  <c r="E151" i="52" a="1"/>
  <c r="E151" i="52"/>
  <c r="L142" i="52" a="1"/>
  <c r="L142" i="52" s="1"/>
  <c r="F142" i="52" a="1"/>
  <c r="F142" i="52"/>
  <c r="J142" i="52" a="1"/>
  <c r="J142" i="52"/>
  <c r="J68" i="52" a="1"/>
  <c r="J68" i="52"/>
  <c r="D68" i="52" a="1"/>
  <c r="D68" i="52"/>
  <c r="F68" i="52" a="1"/>
  <c r="F68" i="52"/>
  <c r="H65" i="52" a="1"/>
  <c r="H65" i="52"/>
  <c r="F65" i="52" a="1"/>
  <c r="F65" i="52"/>
  <c r="E65" i="52" a="1"/>
  <c r="E65" i="52"/>
  <c r="G96" i="52" a="1"/>
  <c r="G96" i="52"/>
  <c r="E107" i="52" a="1"/>
  <c r="E107" i="52"/>
  <c r="D166" i="52" a="1"/>
  <c r="D166" i="52"/>
  <c r="H96" i="52" a="1"/>
  <c r="H96" i="52"/>
  <c r="I142" i="52" a="1"/>
  <c r="I142" i="52"/>
  <c r="F93" i="52" a="1"/>
  <c r="F93" i="52"/>
  <c r="G142" i="52" a="1"/>
  <c r="G142" i="52"/>
  <c r="L96" i="52" a="1"/>
  <c r="L96" i="52"/>
  <c r="H107" i="52" a="1"/>
  <c r="H107" i="52"/>
  <c r="F50" i="52" a="1"/>
  <c r="F50" i="52"/>
  <c r="J65" i="52" a="1"/>
  <c r="J65" i="52"/>
  <c r="H180" i="52" a="1"/>
  <c r="H180" i="52"/>
  <c r="H130" i="52" a="1"/>
  <c r="H130" i="52"/>
  <c r="G65" i="52" a="1"/>
  <c r="G65" i="52"/>
  <c r="H175" i="52" a="1"/>
  <c r="H175" i="52"/>
  <c r="F124" i="52" a="1"/>
  <c r="F124" i="52"/>
  <c r="D65" i="52" a="1"/>
  <c r="D65" i="52"/>
  <c r="I111" i="52" a="1"/>
  <c r="I111" i="52"/>
  <c r="J166" i="52" a="1"/>
  <c r="J166" i="52"/>
  <c r="H166" i="52" a="1"/>
  <c r="H166" i="52"/>
  <c r="L78" i="52" a="1"/>
  <c r="L78" i="52" s="1"/>
  <c r="I107" i="52" a="1"/>
  <c r="I107" i="52"/>
  <c r="D107" i="52" a="1"/>
  <c r="D107" i="52"/>
  <c r="G50" i="52" a="1"/>
  <c r="G50" i="52"/>
  <c r="G180" i="52" a="1"/>
  <c r="G180" i="52"/>
  <c r="L166" i="52" a="1"/>
  <c r="L166" i="52" s="1"/>
  <c r="I156" i="52" a="1"/>
  <c r="I156" i="52"/>
  <c r="D142" i="52" a="1"/>
  <c r="D142" i="52"/>
  <c r="E93" i="52" a="1"/>
  <c r="E93" i="52"/>
  <c r="F40" i="52" a="1"/>
  <c r="F40" i="52"/>
  <c r="E180" i="52" a="1"/>
  <c r="E180" i="52"/>
  <c r="L68" i="52" a="1"/>
  <c r="L68" i="52"/>
  <c r="H48" i="52" a="1"/>
  <c r="H48" i="52"/>
  <c r="L130" i="52" a="1"/>
  <c r="L130" i="52"/>
  <c r="H68" i="52" a="1"/>
  <c r="H68" i="52"/>
  <c r="D93" i="52" a="1"/>
  <c r="D93" i="52"/>
  <c r="J54" i="52" a="1"/>
  <c r="J54" i="52"/>
  <c r="I68" i="52" a="1"/>
  <c r="I68" i="52"/>
  <c r="D130" i="52" a="1"/>
  <c r="D130" i="52"/>
  <c r="J156" i="52" a="1"/>
  <c r="J156" i="52"/>
  <c r="L151" i="52" a="1"/>
  <c r="L151" i="52" s="1"/>
  <c r="E142" i="52" a="1"/>
  <c r="E142" i="52"/>
  <c r="I65" i="52" a="1"/>
  <c r="I65" i="52"/>
  <c r="L65" i="52" a="1"/>
  <c r="L65" i="52" s="1"/>
  <c r="G48" i="52" a="1"/>
  <c r="G48" i="52"/>
  <c r="D96" i="52" a="1"/>
  <c r="D96" i="52"/>
  <c r="H78" i="52" a="1"/>
  <c r="H78" i="52"/>
  <c r="G78" i="52" a="1"/>
  <c r="G78" i="52"/>
  <c r="E78" i="52" a="1"/>
  <c r="E78" i="52"/>
  <c r="F107" i="52" a="1"/>
  <c r="F107" i="52"/>
  <c r="E50" i="52" a="1"/>
  <c r="E50" i="52"/>
  <c r="H50" i="52" a="1"/>
  <c r="H50" i="52"/>
  <c r="I166" i="52" a="1"/>
  <c r="I166" i="52"/>
  <c r="G68" i="52" a="1"/>
  <c r="G68" i="52"/>
  <c r="D111" i="52" a="1"/>
  <c r="D111" i="52"/>
  <c r="J96" i="52" a="1"/>
  <c r="J96" i="52"/>
  <c r="D156" i="52" a="1"/>
  <c r="D156" i="52"/>
  <c r="G93" i="52" a="1"/>
  <c r="G93" i="52"/>
  <c r="D48" i="52" a="1"/>
  <c r="D48" i="52"/>
  <c r="I151" i="52" a="1"/>
  <c r="I151" i="52"/>
  <c r="J130" i="52" a="1"/>
  <c r="J130" i="52"/>
  <c r="G54" i="52" a="1"/>
  <c r="G54" i="52"/>
  <c r="E68" i="52" a="1"/>
  <c r="E68" i="52"/>
  <c r="G130" i="52" a="1"/>
  <c r="G130" i="52"/>
  <c r="H156" i="52" a="1"/>
  <c r="H156" i="52"/>
  <c r="J151" i="52" a="1"/>
  <c r="J151" i="52"/>
  <c r="H142" i="52" a="1"/>
  <c r="H142" i="52"/>
  <c r="J93" i="52" a="1"/>
  <c r="J93" i="52"/>
  <c r="D54" i="52" a="1"/>
  <c r="D54" i="52"/>
  <c r="H40" i="52" a="1"/>
  <c r="H40" i="52"/>
  <c r="I134" i="52" a="1"/>
  <c r="I134" i="52"/>
  <c r="L66" i="52" a="1"/>
  <c r="L66" i="52" s="1"/>
  <c r="I95" i="52" a="1"/>
  <c r="I95" i="52"/>
  <c r="L95" i="52" a="1"/>
  <c r="L95" i="52"/>
  <c r="E95" i="52" a="1"/>
  <c r="E95" i="52"/>
  <c r="G132" i="52" a="1"/>
  <c r="G132" i="52"/>
  <c r="G79" i="52" a="1"/>
  <c r="G79" i="52"/>
  <c r="H29" i="52" a="1"/>
  <c r="H29" i="52"/>
  <c r="J95" i="52" a="1"/>
  <c r="J95" i="52"/>
  <c r="I70" i="52" a="1"/>
  <c r="I70" i="52"/>
  <c r="L79" i="52" a="1"/>
  <c r="L79" i="52" s="1"/>
  <c r="H66" i="52" a="1"/>
  <c r="H66" i="52"/>
  <c r="I132" i="52" a="1"/>
  <c r="I132" i="52"/>
  <c r="I181" i="52" a="1"/>
  <c r="I181" i="52"/>
  <c r="G95" i="52" a="1"/>
  <c r="G95" i="52"/>
  <c r="D95" i="52" a="1"/>
  <c r="D95" i="52"/>
  <c r="L175" i="52" a="1"/>
  <c r="L175" i="52"/>
  <c r="G112" i="52" a="1"/>
  <c r="G112" i="52"/>
  <c r="E132" i="52" a="1"/>
  <c r="E132" i="52"/>
  <c r="F132" i="52" a="1"/>
  <c r="F132" i="52"/>
  <c r="D79" i="52" a="1"/>
  <c r="D79" i="52"/>
  <c r="F95" i="52" a="1"/>
  <c r="F95" i="52"/>
  <c r="I79" i="52" a="1"/>
  <c r="I79" i="52"/>
  <c r="F96" i="52" a="1"/>
  <c r="F96" i="52"/>
  <c r="E96" i="52" a="1"/>
  <c r="E96" i="52"/>
  <c r="D50" i="52" a="1"/>
  <c r="D50" i="52"/>
  <c r="I40" i="52" a="1"/>
  <c r="I40" i="52"/>
  <c r="G31" i="52" a="1"/>
  <c r="G31" i="52"/>
  <c r="E175" i="52" a="1"/>
  <c r="E175" i="52"/>
  <c r="L155" i="52" a="1"/>
  <c r="L155" i="52" s="1"/>
  <c r="G115" i="52" a="1"/>
  <c r="G115" i="52"/>
  <c r="I31" i="52" a="1"/>
  <c r="I31" i="52"/>
  <c r="F111" i="52" a="1"/>
  <c r="F111" i="52"/>
  <c r="G40" i="52" a="1"/>
  <c r="G40" i="52"/>
  <c r="F29" i="52" a="1"/>
  <c r="F29" i="52"/>
  <c r="E29" i="52" a="1"/>
  <c r="E29" i="52"/>
  <c r="J155" i="52" a="1"/>
  <c r="J155" i="52"/>
  <c r="J115" i="52" a="1"/>
  <c r="J115" i="52"/>
  <c r="J31" i="52" a="1"/>
  <c r="J31" i="52"/>
  <c r="H123" i="52" a="1"/>
  <c r="H123" i="52"/>
  <c r="I112" i="52" a="1"/>
  <c r="I112" i="52"/>
  <c r="H134" i="52" a="1"/>
  <c r="H134" i="52"/>
  <c r="D66" i="52" a="1"/>
  <c r="D66" i="52"/>
  <c r="L181" i="52" a="1"/>
  <c r="L181" i="52" s="1"/>
  <c r="G139" i="52" a="1"/>
  <c r="G139" i="52"/>
  <c r="J79" i="52" a="1"/>
  <c r="J79" i="52"/>
  <c r="G175" i="52" a="1"/>
  <c r="G175" i="52"/>
  <c r="I155" i="52" a="1"/>
  <c r="I155" i="52"/>
  <c r="L115" i="52" a="1"/>
  <c r="L115" i="52" s="1"/>
  <c r="G70" i="52" a="1"/>
  <c r="G70" i="52"/>
  <c r="H70" i="52" a="1"/>
  <c r="H70" i="52"/>
  <c r="F66" i="52" a="1"/>
  <c r="F66" i="52"/>
  <c r="G134" i="52" a="1"/>
  <c r="G134" i="52"/>
  <c r="J112" i="52" a="1"/>
  <c r="J112" i="52"/>
  <c r="G155" i="52" a="1"/>
  <c r="G155" i="52"/>
  <c r="H181" i="52" a="1"/>
  <c r="H181" i="52"/>
  <c r="L132" i="52" a="1"/>
  <c r="L132" i="52" s="1"/>
  <c r="F112" i="52" a="1"/>
  <c r="F112" i="52"/>
  <c r="L134" i="52" a="1"/>
  <c r="L134" i="52"/>
  <c r="L131" i="52" a="1"/>
  <c r="L131" i="52" s="1"/>
  <c r="J117" i="52" a="1"/>
  <c r="J117" i="52"/>
  <c r="L94" i="52" a="1"/>
  <c r="L94" i="52"/>
  <c r="H139" i="52" a="1"/>
  <c r="H139" i="52"/>
  <c r="I139" i="52" a="1"/>
  <c r="I139" i="52"/>
  <c r="D70" i="52" a="1"/>
  <c r="D70" i="52"/>
  <c r="H31" i="52" a="1"/>
  <c r="H31" i="52"/>
  <c r="F70" i="52" a="1"/>
  <c r="F70" i="52"/>
  <c r="F155" i="52" a="1"/>
  <c r="F155" i="52"/>
  <c r="F115" i="52" a="1"/>
  <c r="F115" i="52"/>
  <c r="E115" i="52" a="1"/>
  <c r="E115" i="52"/>
  <c r="I115" i="52" a="1"/>
  <c r="I115" i="52"/>
  <c r="D31" i="52" a="1"/>
  <c r="D31" i="52"/>
  <c r="E70" i="52" a="1"/>
  <c r="E70" i="52"/>
  <c r="G29" i="52" a="1"/>
  <c r="G29" i="52"/>
  <c r="I175" i="52" a="1"/>
  <c r="I175" i="52"/>
  <c r="D175" i="52" a="1"/>
  <c r="D175" i="52"/>
  <c r="E134" i="52" a="1"/>
  <c r="E134" i="52"/>
  <c r="I66" i="52" a="1"/>
  <c r="I66" i="52"/>
  <c r="J132" i="52" a="1"/>
  <c r="J132" i="52"/>
  <c r="J86" i="52" a="1"/>
  <c r="J86" i="52"/>
  <c r="D155" i="52" a="1"/>
  <c r="D155" i="52"/>
  <c r="D112" i="52" a="1"/>
  <c r="D112" i="52"/>
  <c r="E181" i="52" a="1"/>
  <c r="E181" i="52"/>
  <c r="F79" i="52" a="1"/>
  <c r="F79" i="52"/>
  <c r="E66" i="52" a="1"/>
  <c r="E66" i="52"/>
  <c r="E86" i="52" a="1"/>
  <c r="E86" i="52"/>
  <c r="I148" i="52" a="1"/>
  <c r="I148" i="52"/>
  <c r="E155" i="52" a="1"/>
  <c r="E155" i="52"/>
  <c r="H115" i="52" a="1"/>
  <c r="H115" i="52"/>
  <c r="E31" i="52" a="1"/>
  <c r="E31" i="52"/>
  <c r="L70" i="52" a="1"/>
  <c r="L70" i="52"/>
  <c r="J29" i="52" a="1"/>
  <c r="J29" i="52"/>
  <c r="D134" i="52" a="1"/>
  <c r="D134" i="52"/>
  <c r="J181" i="52" a="1"/>
  <c r="J181" i="52"/>
  <c r="F86" i="52" a="1"/>
  <c r="F86" i="52"/>
  <c r="D181" i="52" a="1"/>
  <c r="D181" i="52"/>
  <c r="F175" i="52" a="1"/>
  <c r="F175" i="52"/>
  <c r="F134" i="52" a="1"/>
  <c r="F134" i="52"/>
  <c r="I29" i="52" a="1"/>
  <c r="I29" i="52"/>
  <c r="J66" i="52" a="1"/>
  <c r="J66" i="52"/>
  <c r="H132" i="52" a="1"/>
  <c r="H132" i="52"/>
  <c r="H112" i="52" a="1"/>
  <c r="H112" i="52"/>
  <c r="J124" i="52" a="1"/>
  <c r="J124" i="52"/>
  <c r="F181" i="52" a="1"/>
  <c r="F181" i="52"/>
  <c r="H79" i="52" a="1"/>
  <c r="H79" i="52"/>
  <c r="L112" i="52" a="1"/>
  <c r="L112" i="52"/>
  <c r="F148" i="52" a="1"/>
  <c r="F148" i="52"/>
  <c r="J106" i="52" a="1"/>
  <c r="J106" i="52"/>
  <c r="L106" i="52" a="1"/>
  <c r="L106" i="52" s="1"/>
  <c r="F106" i="52" a="1"/>
  <c r="F106" i="52"/>
  <c r="E182" i="52" a="1"/>
  <c r="E182" i="52"/>
  <c r="D36" i="52" a="1"/>
  <c r="D36" i="52"/>
  <c r="E106" i="52" a="1"/>
  <c r="E106" i="52"/>
  <c r="J111" i="52" a="1"/>
  <c r="J111" i="52"/>
  <c r="E40" i="52" a="1"/>
  <c r="E40" i="52"/>
  <c r="H127" i="52" a="1"/>
  <c r="H127" i="52"/>
  <c r="E139" i="52" a="1"/>
  <c r="E139" i="52"/>
  <c r="D127" i="52" a="1"/>
  <c r="D127" i="52"/>
  <c r="J127" i="52" a="1"/>
  <c r="J127" i="52"/>
  <c r="G124" i="52" a="1"/>
  <c r="G124" i="52"/>
  <c r="D124" i="52" a="1"/>
  <c r="D124" i="52"/>
  <c r="J123" i="52" a="1"/>
  <c r="J123" i="52"/>
  <c r="H124" i="52" a="1"/>
  <c r="H124" i="52"/>
  <c r="F123" i="52" a="1"/>
  <c r="F123" i="52"/>
  <c r="F139" i="52" a="1"/>
  <c r="F139" i="52"/>
  <c r="J139" i="52" a="1"/>
  <c r="J139" i="52"/>
  <c r="F127" i="52" a="1"/>
  <c r="F127" i="52"/>
  <c r="I127" i="52" a="1"/>
  <c r="I127" i="52"/>
  <c r="L124" i="52" a="1"/>
  <c r="L124" i="52" s="1"/>
  <c r="D139" i="52" a="1"/>
  <c r="D139" i="52"/>
  <c r="L127" i="52" a="1"/>
  <c r="L127" i="52" s="1"/>
  <c r="E127" i="52" a="1"/>
  <c r="E127" i="52"/>
  <c r="I123" i="52" a="1"/>
  <c r="I123" i="52"/>
  <c r="I124" i="52" a="1"/>
  <c r="I124" i="52"/>
  <c r="L123" i="52" a="1"/>
  <c r="L123" i="52"/>
  <c r="J161" i="52" a="1"/>
  <c r="J161" i="52"/>
  <c r="I170" i="52" a="1"/>
  <c r="I170" i="52"/>
  <c r="G86" i="52" a="1"/>
  <c r="G86" i="52"/>
  <c r="D106" i="52" a="1"/>
  <c r="D106" i="52"/>
  <c r="F146" i="52" a="1"/>
  <c r="F146" i="52"/>
  <c r="G111" i="52" a="1"/>
  <c r="G111" i="52"/>
  <c r="H59" i="52" a="1"/>
  <c r="H59" i="52"/>
  <c r="D182" i="52" a="1"/>
  <c r="D182" i="52"/>
  <c r="F117" i="52" a="1"/>
  <c r="F117" i="52"/>
  <c r="J148" i="52" a="1"/>
  <c r="J148" i="52"/>
  <c r="L170" i="52" a="1"/>
  <c r="L170" i="52"/>
  <c r="J182" i="52" a="1"/>
  <c r="J182" i="52"/>
  <c r="H131" i="52" a="1"/>
  <c r="H131" i="52"/>
  <c r="G117" i="52" a="1"/>
  <c r="G117" i="52"/>
  <c r="L59" i="52" a="1"/>
  <c r="L59" i="52" s="1"/>
  <c r="I36" i="52" a="1"/>
  <c r="I36" i="52"/>
  <c r="G129" i="52" a="1"/>
  <c r="G129" i="52"/>
  <c r="E84" i="52" a="1"/>
  <c r="E84" i="52"/>
  <c r="L84" i="52" a="1"/>
  <c r="L84" i="52" s="1"/>
  <c r="J59" i="52" a="1"/>
  <c r="J59" i="52"/>
  <c r="J38" i="52" a="1"/>
  <c r="J38" i="52"/>
  <c r="L148" i="52" a="1"/>
  <c r="L148" i="52"/>
  <c r="D170" i="52" a="1"/>
  <c r="D170" i="52"/>
  <c r="G182" i="52" a="1"/>
  <c r="G182" i="52"/>
  <c r="J35" i="52" a="1"/>
  <c r="J35" i="52"/>
  <c r="I89" i="52" a="1"/>
  <c r="I89" i="52"/>
  <c r="L146" i="52" a="1"/>
  <c r="L146" i="52"/>
  <c r="E161" i="52" a="1"/>
  <c r="E161" i="52"/>
  <c r="I131" i="52" a="1"/>
  <c r="I131" i="52"/>
  <c r="G94" i="52" a="1"/>
  <c r="G94" i="52"/>
  <c r="L89" i="52" a="1"/>
  <c r="L89" i="52" s="1"/>
  <c r="I84" i="52" a="1"/>
  <c r="I84" i="52"/>
  <c r="D59" i="52" a="1"/>
  <c r="D59" i="52"/>
  <c r="E38" i="52" a="1"/>
  <c r="E38" i="52"/>
  <c r="F170" i="52" a="1"/>
  <c r="F170" i="52"/>
  <c r="E170" i="52" a="1"/>
  <c r="E170" i="52"/>
  <c r="D38" i="52" a="1"/>
  <c r="D38" i="52"/>
  <c r="D41" i="52" a="1"/>
  <c r="D41" i="52"/>
  <c r="F131" i="52" a="1"/>
  <c r="F131" i="52"/>
  <c r="H146" i="52" a="1"/>
  <c r="H146" i="52"/>
  <c r="E94" i="52" a="1"/>
  <c r="E94" i="52"/>
  <c r="D35" i="52" a="1"/>
  <c r="D35" i="52"/>
  <c r="F89" i="52" a="1"/>
  <c r="F89" i="52"/>
  <c r="E35" i="52" a="1"/>
  <c r="E35" i="52"/>
  <c r="G89" i="52" a="1"/>
  <c r="G89" i="52"/>
  <c r="D129" i="52" a="1"/>
  <c r="D129" i="52"/>
  <c r="H129" i="52" a="1"/>
  <c r="H129" i="52"/>
  <c r="E129" i="52" a="1"/>
  <c r="E129" i="52"/>
  <c r="G146" i="52" a="1"/>
  <c r="G146" i="52"/>
  <c r="H182" i="52" a="1"/>
  <c r="H182" i="52"/>
  <c r="G84" i="52" a="1"/>
  <c r="G84" i="52"/>
  <c r="F59" i="52" a="1"/>
  <c r="F59" i="52"/>
  <c r="G38" i="52" a="1"/>
  <c r="G38" i="52"/>
  <c r="H38" i="52" a="1"/>
  <c r="H38" i="52"/>
  <c r="D148" i="52" a="1"/>
  <c r="D148" i="52"/>
  <c r="I41" i="52" a="1"/>
  <c r="I41" i="52"/>
  <c r="J36" i="52" a="1"/>
  <c r="J36" i="52"/>
  <c r="J170" i="52" a="1"/>
  <c r="J170" i="52"/>
  <c r="I59" i="52" a="1"/>
  <c r="I59" i="52"/>
  <c r="E41" i="52" a="1"/>
  <c r="E41" i="52"/>
  <c r="L129" i="52" a="1"/>
  <c r="L129" i="52" s="1"/>
  <c r="I117" i="52" a="1"/>
  <c r="I117" i="52"/>
  <c r="H89" i="52" a="1"/>
  <c r="H89" i="52"/>
  <c r="F161" i="52" a="1"/>
  <c r="F161" i="52"/>
  <c r="F182" i="52" a="1"/>
  <c r="F182" i="52"/>
  <c r="D84" i="52" a="1"/>
  <c r="D84" i="52"/>
  <c r="E89" i="52" a="1"/>
  <c r="E89" i="52"/>
  <c r="L117" i="52" a="1"/>
  <c r="L117" i="52" s="1"/>
  <c r="H86" i="52" a="1"/>
  <c r="H86" i="52"/>
  <c r="F94" i="52" a="1"/>
  <c r="F94" i="52"/>
  <c r="H161" i="52" a="1"/>
  <c r="H161" i="52"/>
  <c r="I35" i="52" a="1"/>
  <c r="I35" i="52"/>
  <c r="D131" i="52" a="1"/>
  <c r="D131" i="52"/>
  <c r="F129" i="52" a="1"/>
  <c r="F129" i="52"/>
  <c r="J94" i="52" a="1"/>
  <c r="J94" i="52"/>
  <c r="E146" i="52" a="1"/>
  <c r="E146" i="52"/>
  <c r="D161" i="52" a="1"/>
  <c r="D161" i="52"/>
  <c r="J84" i="52" a="1"/>
  <c r="J84" i="52"/>
  <c r="G41" i="52" a="1"/>
  <c r="G41" i="52"/>
  <c r="E59" i="52" a="1"/>
  <c r="E59" i="52"/>
  <c r="F38" i="52" a="1"/>
  <c r="F38" i="52"/>
  <c r="G148" i="52" a="1"/>
  <c r="G148" i="52"/>
  <c r="E148" i="52" a="1"/>
  <c r="E148" i="52"/>
  <c r="E36" i="52" a="1"/>
  <c r="E36" i="52"/>
  <c r="G170" i="52" a="1"/>
  <c r="G170" i="52"/>
  <c r="H41" i="52" a="1"/>
  <c r="H41" i="52"/>
  <c r="F41" i="52" a="1"/>
  <c r="F41" i="52"/>
  <c r="I86" i="52" a="1"/>
  <c r="I86" i="52"/>
  <c r="I182" i="52" a="1"/>
  <c r="I182" i="52"/>
  <c r="F84" i="52" a="1"/>
  <c r="F84" i="52"/>
  <c r="J131" i="52" a="1"/>
  <c r="J131" i="52"/>
  <c r="D94" i="52" a="1"/>
  <c r="D94" i="52"/>
  <c r="E117" i="52" a="1"/>
  <c r="E117" i="52"/>
  <c r="G161" i="52" a="1"/>
  <c r="G161" i="52"/>
  <c r="D89" i="52" a="1"/>
  <c r="D89" i="52"/>
  <c r="H117" i="52" a="1"/>
  <c r="H117" i="52"/>
  <c r="L86" i="52" a="1"/>
  <c r="L86" i="52" s="1"/>
  <c r="D146" i="52" a="1"/>
  <c r="D146" i="52"/>
  <c r="L161" i="52" a="1"/>
  <c r="L161" i="52"/>
  <c r="H35" i="52" a="1"/>
  <c r="H35" i="52"/>
  <c r="G131" i="52" a="1"/>
  <c r="G131" i="52"/>
  <c r="J129" i="52" a="1"/>
  <c r="J129" i="52"/>
  <c r="H94" i="52" a="1"/>
  <c r="H94" i="52"/>
  <c r="J146" i="52" a="1"/>
  <c r="J146" i="52"/>
  <c r="G35" i="52" a="1"/>
  <c r="G35" i="52"/>
  <c r="F149" i="52" a="1"/>
  <c r="F149" i="52"/>
  <c r="G144" i="52" a="1"/>
  <c r="G144" i="52"/>
  <c r="J179" i="52" a="1"/>
  <c r="J179" i="52"/>
  <c r="J163" i="52" a="1"/>
  <c r="J163" i="52"/>
  <c r="D85" i="52" a="1"/>
  <c r="D85" i="52"/>
  <c r="J30" i="52" a="1"/>
  <c r="J30" i="52"/>
  <c r="H80" i="52" a="1"/>
  <c r="H80" i="52"/>
  <c r="F116" i="52" a="1"/>
  <c r="F116" i="52"/>
  <c r="D185" i="52" a="1"/>
  <c r="D185" i="52"/>
  <c r="G125" i="52" a="1"/>
  <c r="G125" i="52"/>
  <c r="G172" i="52" a="1"/>
  <c r="G172" i="52"/>
  <c r="J85" i="52" a="1"/>
  <c r="J85" i="52"/>
  <c r="D80" i="52" a="1"/>
  <c r="D80" i="52"/>
  <c r="J74" i="52" a="1"/>
  <c r="J74" i="52"/>
  <c r="F136" i="52" a="1"/>
  <c r="F136" i="52"/>
  <c r="E42" i="52" a="1"/>
  <c r="E42" i="52"/>
  <c r="F172" i="52" a="1"/>
  <c r="F172" i="52"/>
  <c r="H125" i="52" a="1"/>
  <c r="H125" i="52"/>
  <c r="E137" i="52" a="1"/>
  <c r="E137" i="52"/>
  <c r="H28" i="52" a="1"/>
  <c r="H28" i="52"/>
  <c r="H144" i="52" a="1"/>
  <c r="H144" i="52"/>
  <c r="E55" i="52" a="1"/>
  <c r="E55" i="52"/>
  <c r="G149" i="52" a="1"/>
  <c r="G149" i="52"/>
  <c r="G28" i="52" a="1"/>
  <c r="G28" i="52"/>
  <c r="G30" i="52" a="1"/>
  <c r="G30" i="52"/>
  <c r="D42" i="52" a="1"/>
  <c r="D42" i="52"/>
  <c r="G74" i="52" a="1"/>
  <c r="G74" i="52"/>
  <c r="F185" i="52" a="1"/>
  <c r="F185" i="52"/>
  <c r="E165" i="52" a="1"/>
  <c r="E165" i="52"/>
  <c r="G55" i="52" a="1"/>
  <c r="G55" i="52"/>
  <c r="E144" i="52" a="1"/>
  <c r="E144" i="52"/>
  <c r="J144" i="52" a="1"/>
  <c r="J144" i="52"/>
  <c r="E85" i="52" a="1"/>
  <c r="E85" i="52"/>
  <c r="F80" i="52" a="1"/>
  <c r="F80" i="52"/>
  <c r="I80" i="52" a="1"/>
  <c r="I80" i="52"/>
  <c r="D55" i="52" a="1"/>
  <c r="D55" i="52"/>
  <c r="H179" i="52" a="1"/>
  <c r="H179" i="52"/>
  <c r="G179" i="52" a="1"/>
  <c r="G179" i="52"/>
  <c r="L149" i="52" a="1"/>
  <c r="L149" i="52" s="1"/>
  <c r="I172" i="52" a="1"/>
  <c r="I172" i="52"/>
  <c r="J185" i="52" a="1"/>
  <c r="J185" i="52"/>
  <c r="F163" i="52" a="1"/>
  <c r="F163" i="52"/>
  <c r="I137" i="52" a="1"/>
  <c r="I137" i="52"/>
  <c r="H74" i="52" a="1"/>
  <c r="H74" i="52"/>
  <c r="D165" i="52" a="1"/>
  <c r="D165" i="52"/>
  <c r="G116" i="52" a="1"/>
  <c r="G116" i="52"/>
  <c r="J136" i="52" a="1"/>
  <c r="J136" i="52"/>
  <c r="I42" i="52" a="1"/>
  <c r="I42" i="52"/>
  <c r="D74" i="52" a="1"/>
  <c r="D74" i="52"/>
  <c r="D28" i="52" a="1"/>
  <c r="D28" i="52"/>
  <c r="H185" i="52" a="1"/>
  <c r="H185" i="52"/>
  <c r="I185" i="52" a="1"/>
  <c r="I185" i="52"/>
  <c r="J137" i="52" a="1"/>
  <c r="J137" i="52"/>
  <c r="F30" i="52" a="1"/>
  <c r="F30" i="52"/>
  <c r="H165" i="52" a="1"/>
  <c r="H165" i="52"/>
  <c r="I163" i="52" a="1"/>
  <c r="I163" i="52"/>
  <c r="E172" i="52" a="1"/>
  <c r="E172" i="52"/>
  <c r="I28" i="52" a="1"/>
  <c r="I28" i="52"/>
  <c r="D116" i="52" a="1"/>
  <c r="D116" i="52"/>
  <c r="G136" i="52" a="1"/>
  <c r="G136" i="52"/>
  <c r="D137" i="52" a="1"/>
  <c r="D137" i="52"/>
  <c r="L144" i="52" a="1"/>
  <c r="L144" i="52"/>
  <c r="G185" i="52" a="1"/>
  <c r="G185" i="52"/>
  <c r="H36" i="52" a="1"/>
  <c r="H36" i="52"/>
  <c r="F36" i="52" a="1"/>
  <c r="F36" i="52"/>
  <c r="E125" i="52" a="1"/>
  <c r="E125" i="52"/>
  <c r="J125" i="52" a="1"/>
  <c r="J125" i="52"/>
  <c r="I144" i="52" a="1"/>
  <c r="I144" i="52"/>
  <c r="H85" i="52" a="1"/>
  <c r="H85" i="52"/>
  <c r="J80" i="52" a="1"/>
  <c r="J80" i="52"/>
  <c r="E80" i="52" a="1"/>
  <c r="E80" i="52"/>
  <c r="I55" i="52" a="1"/>
  <c r="I55" i="52"/>
  <c r="F179" i="52" a="1"/>
  <c r="F179" i="52"/>
  <c r="E179" i="52" a="1"/>
  <c r="E179" i="52"/>
  <c r="E149" i="52" a="1"/>
  <c r="E149" i="52"/>
  <c r="I116" i="52" a="1"/>
  <c r="I116" i="52"/>
  <c r="I165" i="52" a="1"/>
  <c r="I165" i="52"/>
  <c r="L163" i="52" a="1"/>
  <c r="L163" i="52" s="1"/>
  <c r="J116" i="52" a="1"/>
  <c r="J116" i="52"/>
  <c r="L136" i="52" a="1"/>
  <c r="L136" i="52" s="1"/>
  <c r="H42" i="52" a="1"/>
  <c r="H42" i="52"/>
  <c r="F74" i="52" a="1"/>
  <c r="F74" i="52"/>
  <c r="I179" i="52" a="1"/>
  <c r="I179" i="52"/>
  <c r="H30" i="52" a="1"/>
  <c r="H30" i="52"/>
  <c r="F137" i="52" a="1"/>
  <c r="F137" i="52"/>
  <c r="I125" i="52" a="1"/>
  <c r="I125" i="52"/>
  <c r="L185" i="52" a="1"/>
  <c r="L185" i="52"/>
  <c r="H137" i="52" a="1"/>
  <c r="H137" i="52"/>
  <c r="F55" i="52" a="1"/>
  <c r="F55" i="52"/>
  <c r="L165" i="52" a="1"/>
  <c r="L165" i="52" s="1"/>
  <c r="G163" i="52" a="1"/>
  <c r="G163" i="52"/>
  <c r="H172" i="52" a="1"/>
  <c r="H172" i="52"/>
  <c r="E28" i="52" a="1"/>
  <c r="E28" i="52"/>
  <c r="J42" i="52" a="1"/>
  <c r="J42" i="52"/>
  <c r="G85" i="52" a="1"/>
  <c r="G85" i="52"/>
  <c r="E123" i="52" a="1"/>
  <c r="E123" i="52"/>
  <c r="G123" i="52" a="1"/>
  <c r="G123" i="52"/>
  <c r="I149" i="52" a="1"/>
  <c r="I149" i="52"/>
  <c r="F144" i="52" a="1"/>
  <c r="F144" i="52"/>
  <c r="I85" i="52" a="1"/>
  <c r="I85" i="52"/>
  <c r="G80" i="52" a="1"/>
  <c r="G80" i="52"/>
  <c r="H55" i="52" a="1"/>
  <c r="H55" i="52"/>
  <c r="L179" i="52" a="1"/>
  <c r="L179" i="52" s="1"/>
  <c r="H149" i="52" a="1"/>
  <c r="H149" i="52"/>
  <c r="J149" i="52" a="1"/>
  <c r="J149" i="52"/>
  <c r="D136" i="52" a="1"/>
  <c r="D136" i="52"/>
  <c r="E30" i="52" a="1"/>
  <c r="E30" i="52"/>
  <c r="G42" i="52" a="1"/>
  <c r="G42" i="52"/>
  <c r="F125" i="52" a="1"/>
  <c r="F125" i="52"/>
  <c r="E136" i="52" a="1"/>
  <c r="E136" i="52"/>
  <c r="D172" i="52" a="1"/>
  <c r="D172" i="52"/>
  <c r="L116" i="52" a="1"/>
  <c r="L116" i="52" s="1"/>
  <c r="E116" i="52" a="1"/>
  <c r="E116" i="52"/>
  <c r="I136" i="52" a="1"/>
  <c r="I136" i="52"/>
  <c r="L74" i="52" a="1"/>
  <c r="L74" i="52"/>
  <c r="I74" i="52" a="1"/>
  <c r="I74" i="52"/>
  <c r="L85" i="52" a="1"/>
  <c r="L85" i="52"/>
  <c r="H163" i="52" a="1"/>
  <c r="H163" i="52"/>
  <c r="G165" i="52" a="1"/>
  <c r="G165" i="52"/>
  <c r="D125" i="52" a="1"/>
  <c r="D125" i="52"/>
  <c r="G137" i="52" a="1"/>
  <c r="G137" i="52"/>
  <c r="I30" i="52" a="1"/>
  <c r="I30" i="52"/>
  <c r="F165" i="52" a="1"/>
  <c r="F165" i="52"/>
  <c r="D163" i="52" a="1"/>
  <c r="D163" i="52"/>
  <c r="L172" i="52" a="1"/>
  <c r="L172" i="52" s="1"/>
  <c r="J28" i="52" a="1"/>
  <c r="J28" i="52"/>
  <c r="G106" i="52" a="1"/>
  <c r="G106" i="52"/>
  <c r="I106" i="52" a="1"/>
  <c r="I106" i="52"/>
  <c r="D145" i="52" a="1"/>
  <c r="D145" i="52"/>
  <c r="L145" i="52" a="1"/>
  <c r="L145" i="52" s="1"/>
  <c r="F145" i="52" a="1"/>
  <c r="F145" i="52"/>
  <c r="I145" i="52" a="1"/>
  <c r="I145" i="52"/>
  <c r="H145" i="52" a="1"/>
  <c r="H145" i="52"/>
  <c r="G145" i="52" a="1"/>
  <c r="G145" i="52"/>
  <c r="J145" i="52" a="1"/>
  <c r="J145" i="52"/>
  <c r="E145" i="52" a="1"/>
  <c r="E145" i="52"/>
  <c r="L57" i="52" a="1"/>
  <c r="L57" i="52"/>
  <c r="J57" i="52" a="1"/>
  <c r="J57" i="52"/>
  <c r="I57" i="52" a="1"/>
  <c r="I57" i="52"/>
  <c r="G57" i="52" a="1"/>
  <c r="G57" i="52"/>
  <c r="E57" i="52" a="1"/>
  <c r="E57" i="52"/>
  <c r="F57" i="52" a="1"/>
  <c r="F57" i="52"/>
  <c r="H57" i="52" a="1"/>
  <c r="H57" i="52"/>
  <c r="D57" i="52" a="1"/>
  <c r="D57" i="52"/>
  <c r="F73" i="52" a="1"/>
  <c r="F73" i="52"/>
  <c r="I73" i="52" a="1"/>
  <c r="I73" i="52"/>
  <c r="E73" i="52" a="1"/>
  <c r="E73" i="52"/>
  <c r="G73" i="52" a="1"/>
  <c r="G73" i="52"/>
  <c r="J73" i="52" a="1"/>
  <c r="J73" i="52"/>
  <c r="D73" i="52" a="1"/>
  <c r="D73" i="52"/>
  <c r="H73" i="52" a="1"/>
  <c r="H73" i="52"/>
  <c r="L73" i="52" a="1"/>
  <c r="L73" i="52" s="1"/>
  <c r="I184" i="52" a="1"/>
  <c r="I184" i="52"/>
  <c r="J184" i="52" a="1"/>
  <c r="J184" i="52"/>
  <c r="E184" i="52" a="1"/>
  <c r="E184" i="52"/>
  <c r="F184" i="52" a="1"/>
  <c r="F184" i="52"/>
  <c r="H184" i="52" a="1"/>
  <c r="H184" i="52"/>
  <c r="D184" i="52" a="1"/>
  <c r="D184" i="52"/>
  <c r="L184" i="52" a="1"/>
  <c r="L184" i="52"/>
  <c r="G184" i="52" a="1"/>
  <c r="G184" i="52"/>
  <c r="H122" i="52" a="1"/>
  <c r="H122" i="52"/>
  <c r="G122" i="52" a="1"/>
  <c r="G122" i="52"/>
  <c r="L122" i="52" a="1"/>
  <c r="L122" i="52" s="1"/>
  <c r="D122" i="52" a="1"/>
  <c r="D122" i="52"/>
  <c r="I122" i="52" a="1"/>
  <c r="I122" i="52"/>
  <c r="E122" i="52" a="1"/>
  <c r="E122" i="52"/>
  <c r="J122" i="52" a="1"/>
  <c r="J122" i="52"/>
  <c r="F122" i="52" a="1"/>
  <c r="F122" i="52"/>
  <c r="H83" i="52" a="1"/>
  <c r="H83" i="52"/>
  <c r="D83" i="52" a="1"/>
  <c r="D83" i="52"/>
  <c r="E83" i="52" a="1"/>
  <c r="E83" i="52"/>
  <c r="J83" i="52" a="1"/>
  <c r="J83" i="52"/>
  <c r="I83" i="52" a="1"/>
  <c r="I83" i="52"/>
  <c r="F83" i="52" a="1"/>
  <c r="F83" i="52"/>
  <c r="G83" i="52" a="1"/>
  <c r="G83" i="52"/>
  <c r="L83" i="52" a="1"/>
  <c r="L83" i="52" s="1"/>
  <c r="H52" i="52" a="1"/>
  <c r="H52" i="52"/>
  <c r="I52" i="52" a="1"/>
  <c r="I52" i="52"/>
  <c r="E52" i="52" a="1"/>
  <c r="E52" i="52"/>
  <c r="J52" i="52" a="1"/>
  <c r="J52" i="52"/>
  <c r="D52" i="52" a="1"/>
  <c r="D52" i="52"/>
  <c r="G52" i="52" a="1"/>
  <c r="G52" i="52"/>
  <c r="F52" i="52" a="1"/>
  <c r="F52" i="52"/>
  <c r="E98" i="52" a="1"/>
  <c r="E98" i="52"/>
  <c r="I98" i="52" a="1"/>
  <c r="I98" i="52"/>
  <c r="H98" i="52" a="1"/>
  <c r="H98" i="52"/>
  <c r="D98" i="52" a="1"/>
  <c r="D98" i="52"/>
  <c r="J98" i="52" a="1"/>
  <c r="J98" i="52"/>
  <c r="F98" i="52" a="1"/>
  <c r="F98" i="52"/>
  <c r="G98" i="52" a="1"/>
  <c r="G98" i="52"/>
  <c r="L98" i="52" a="1"/>
  <c r="L98" i="52" s="1"/>
  <c r="H143" i="52" a="1"/>
  <c r="H143" i="52"/>
  <c r="G143" i="52" a="1"/>
  <c r="G143" i="52"/>
  <c r="E143" i="52" a="1"/>
  <c r="E143" i="52"/>
  <c r="I143" i="52" a="1"/>
  <c r="I143" i="52"/>
  <c r="J143" i="52" a="1"/>
  <c r="J143" i="52"/>
  <c r="D143" i="52" a="1"/>
  <c r="D143" i="52"/>
  <c r="L143" i="52" a="1"/>
  <c r="L143" i="52" s="1"/>
  <c r="F143" i="52" a="1"/>
  <c r="F143" i="52"/>
  <c r="G102" i="52" a="1"/>
  <c r="G102" i="52"/>
  <c r="F102" i="52" a="1"/>
  <c r="F102" i="52"/>
  <c r="J102" i="52" a="1"/>
  <c r="J102" i="52"/>
  <c r="H102" i="52" a="1"/>
  <c r="H102" i="52"/>
  <c r="D102" i="52" a="1"/>
  <c r="D102" i="52"/>
  <c r="E102" i="52" a="1"/>
  <c r="E102" i="52"/>
  <c r="I102" i="52" a="1"/>
  <c r="I102" i="52"/>
  <c r="L102" i="52" a="1"/>
  <c r="L102" i="52"/>
  <c r="G43" i="52" a="1"/>
  <c r="G43" i="52"/>
  <c r="I43" i="52" a="1"/>
  <c r="I43" i="52"/>
  <c r="H43" i="52" a="1"/>
  <c r="H43" i="52"/>
  <c r="J43" i="52" a="1"/>
  <c r="J43" i="52"/>
  <c r="F43" i="52" a="1"/>
  <c r="F43" i="52"/>
  <c r="E43" i="52" a="1"/>
  <c r="E43" i="52"/>
  <c r="D43" i="52" a="1"/>
  <c r="D43" i="52"/>
  <c r="I140" i="52" a="1"/>
  <c r="I140" i="52"/>
  <c r="D140" i="52" a="1"/>
  <c r="D140" i="52"/>
  <c r="G140" i="52" a="1"/>
  <c r="G140" i="52"/>
  <c r="L140" i="52" a="1"/>
  <c r="L140" i="52"/>
  <c r="F140" i="52" a="1"/>
  <c r="F140" i="52"/>
  <c r="H140" i="52" a="1"/>
  <c r="H140" i="52"/>
  <c r="E140" i="52" a="1"/>
  <c r="E140" i="52"/>
  <c r="J140" i="52" a="1"/>
  <c r="J140" i="52"/>
  <c r="J178" i="52" a="1"/>
  <c r="J178" i="52"/>
  <c r="E178" i="52" a="1"/>
  <c r="E178" i="52"/>
  <c r="F178" i="52" a="1"/>
  <c r="F178" i="52"/>
  <c r="I178" i="52" a="1"/>
  <c r="I178" i="52"/>
  <c r="G178" i="52" a="1"/>
  <c r="G178" i="52"/>
  <c r="D178" i="52" a="1"/>
  <c r="D178" i="52"/>
  <c r="H178" i="52" a="1"/>
  <c r="H178" i="52"/>
  <c r="L178" i="52" a="1"/>
  <c r="L178" i="52" s="1"/>
  <c r="I158" i="52" a="1"/>
  <c r="I158" i="52"/>
  <c r="E158" i="52" a="1"/>
  <c r="E158" i="52"/>
  <c r="H158" i="52" a="1"/>
  <c r="H158" i="52"/>
  <c r="L158" i="52" a="1"/>
  <c r="L158" i="52" s="1"/>
  <c r="F158" i="52" a="1"/>
  <c r="F158" i="52"/>
  <c r="D158" i="52" a="1"/>
  <c r="D158" i="52"/>
  <c r="J158" i="52" a="1"/>
  <c r="J158" i="52"/>
  <c r="G158" i="52" a="1"/>
  <c r="G158" i="52"/>
  <c r="I32" i="52" a="1"/>
  <c r="I32" i="52"/>
  <c r="D32" i="52" a="1"/>
  <c r="D32" i="52"/>
  <c r="H32" i="52" a="1"/>
  <c r="H32" i="52"/>
  <c r="G32" i="52" a="1"/>
  <c r="G32" i="52"/>
  <c r="J32" i="52" a="1"/>
  <c r="J32" i="52"/>
  <c r="F32" i="52" a="1"/>
  <c r="F32" i="52"/>
  <c r="E32" i="52" a="1"/>
  <c r="E32" i="52"/>
  <c r="G47" i="52" a="1"/>
  <c r="G47" i="52"/>
  <c r="F47" i="52" a="1"/>
  <c r="F47" i="52"/>
  <c r="E47" i="52" a="1"/>
  <c r="E47" i="52"/>
  <c r="J47" i="52" a="1"/>
  <c r="J47" i="52"/>
  <c r="I47" i="52" a="1"/>
  <c r="I47" i="52"/>
  <c r="H47" i="52" a="1"/>
  <c r="H47" i="52"/>
  <c r="D47" i="52" a="1"/>
  <c r="D47" i="52"/>
  <c r="E10" i="52"/>
  <c r="I9" i="52"/>
  <c r="K145" i="52" a="1"/>
  <c r="K145" i="52" s="1"/>
  <c r="K155" i="52" a="1"/>
  <c r="K155" i="52" s="1"/>
  <c r="K180" i="52" a="1"/>
  <c r="K180" i="52" s="1"/>
  <c r="K181" i="52" a="1"/>
  <c r="K181" i="52" s="1"/>
  <c r="K186" i="52" a="1"/>
  <c r="K186" i="52"/>
  <c r="K187" i="52" a="1"/>
  <c r="K187" i="52" s="1"/>
  <c r="K183" i="52" a="1"/>
  <c r="K183" i="52" s="1"/>
  <c r="K185" i="52" a="1"/>
  <c r="K185" i="52"/>
  <c r="K177" i="52" a="1"/>
  <c r="K177" i="52"/>
  <c r="K175" i="52" a="1"/>
  <c r="K175" i="52" s="1"/>
  <c r="K171" i="52" a="1"/>
  <c r="K171" i="52" s="1"/>
  <c r="K173" i="52" a="1"/>
  <c r="K173" i="52" s="1"/>
  <c r="K168" i="52" a="1"/>
  <c r="K168" i="52" s="1"/>
  <c r="K164" i="52" a="1"/>
  <c r="K164" i="52" s="1"/>
  <c r="K157" i="52" a="1"/>
  <c r="K157" i="52" s="1"/>
  <c r="K162" i="52" a="1"/>
  <c r="K162" i="52"/>
  <c r="K144" i="52" a="1"/>
  <c r="K144" i="52"/>
  <c r="K137" i="52" a="1"/>
  <c r="K137" i="52"/>
  <c r="K129" i="52" a="1"/>
  <c r="K129" i="52" s="1"/>
  <c r="K142" i="52" a="1"/>
  <c r="K142" i="52"/>
  <c r="K143" i="52" a="1"/>
  <c r="K143" i="52"/>
  <c r="K140" i="52" a="1"/>
  <c r="K140" i="52" s="1"/>
  <c r="K156" i="52" a="1"/>
  <c r="K156" i="52" s="1"/>
  <c r="K160" i="52" a="1"/>
  <c r="K160" i="52" s="1"/>
  <c r="K154" i="52" a="1"/>
  <c r="K154" i="52" s="1"/>
  <c r="K147" i="52" a="1"/>
  <c r="K147" i="52" s="1"/>
  <c r="K131" i="52" a="1"/>
  <c r="K131" i="52"/>
  <c r="K139" i="52" a="1"/>
  <c r="K139" i="52" s="1"/>
  <c r="K141" i="52" a="1"/>
  <c r="K141" i="52" s="1"/>
  <c r="K136" i="52" a="1"/>
  <c r="K136" i="52" s="1"/>
  <c r="K148" i="52" a="1"/>
  <c r="K148" i="52"/>
  <c r="K150" i="52" a="1"/>
  <c r="K150" i="52"/>
  <c r="K161" i="52" a="1"/>
  <c r="K161" i="52" s="1"/>
  <c r="K146" i="52" a="1"/>
  <c r="K146" i="52" s="1"/>
  <c r="K133" i="52" a="1"/>
  <c r="K133" i="52" s="1"/>
  <c r="K158" i="52" a="1"/>
  <c r="K158" i="52" s="1"/>
  <c r="K169" i="52" a="1"/>
  <c r="K169" i="52" s="1"/>
  <c r="K151" i="52" a="1"/>
  <c r="K151" i="52"/>
  <c r="K138" i="52" a="1"/>
  <c r="K138" i="52"/>
  <c r="K163" i="52" a="1"/>
  <c r="K163" i="52" s="1"/>
  <c r="K167" i="52" a="1"/>
  <c r="K167" i="52"/>
  <c r="K166" i="52" a="1"/>
  <c r="K166" i="52"/>
  <c r="K152" i="52" a="1"/>
  <c r="K152" i="52" s="1"/>
  <c r="K149" i="52" a="1"/>
  <c r="K149" i="52" s="1"/>
  <c r="K165" i="52" a="1"/>
  <c r="K165" i="52" s="1"/>
  <c r="K159" i="52" a="1"/>
  <c r="K159" i="52" s="1"/>
  <c r="K170" i="52" a="1"/>
  <c r="K170" i="52" s="1"/>
  <c r="K135" i="52" a="1"/>
  <c r="K135" i="52" s="1"/>
  <c r="K179" i="52" a="1"/>
  <c r="K179" i="52"/>
  <c r="K174" i="52" a="1"/>
  <c r="K174" i="52" s="1"/>
  <c r="K153" i="52" a="1"/>
  <c r="K153" i="52" s="1"/>
  <c r="K128" i="52" a="1"/>
  <c r="K128" i="52"/>
  <c r="K127" i="52" a="1"/>
  <c r="K127" i="52" s="1"/>
  <c r="K130" i="52" a="1"/>
  <c r="K130" i="52"/>
  <c r="K132" i="52" a="1"/>
  <c r="K132" i="52" s="1"/>
  <c r="K134" i="52" a="1"/>
  <c r="K134" i="52" s="1"/>
  <c r="I15" i="52"/>
  <c r="I21" i="52"/>
  <c r="I18" i="52"/>
  <c r="I12" i="52"/>
  <c r="K182" i="52" a="1"/>
  <c r="K182" i="52" s="1"/>
  <c r="K176" i="52" a="1"/>
  <c r="K176" i="52"/>
  <c r="K172" i="52" a="1"/>
  <c r="K172" i="52" s="1"/>
  <c r="K178" i="52" a="1"/>
  <c r="K178" i="52"/>
  <c r="K184" i="52" a="1"/>
  <c r="K184" i="52"/>
  <c r="U8" i="42"/>
  <c r="H82" i="53"/>
  <c r="I82" i="53"/>
  <c r="J107" i="52" a="1"/>
  <c r="J107" i="52"/>
  <c r="E11" i="52"/>
  <c r="E21" i="52"/>
  <c r="E17" i="52"/>
  <c r="F28" i="37"/>
  <c r="F37" i="37"/>
  <c r="V8" i="42"/>
  <c r="G28" i="37"/>
  <c r="G37" i="37"/>
  <c r="H37" i="37" s="1"/>
  <c r="AC8" i="48" s="1"/>
  <c r="Y10" i="59"/>
  <c r="Y11" i="59"/>
  <c r="AC9" i="48"/>
  <c r="Y16" i="59"/>
  <c r="Y17" i="59"/>
  <c r="Y8" i="59"/>
  <c r="AC12" i="48"/>
  <c r="AC13" i="48"/>
  <c r="N17" i="47"/>
  <c r="U9" i="38"/>
  <c r="Q16" i="43"/>
  <c r="Q9" i="43"/>
  <c r="Q14" i="43"/>
  <c r="D99" i="49" s="1"/>
  <c r="Q17" i="34"/>
  <c r="Q10" i="43"/>
  <c r="P10" i="41"/>
  <c r="U11" i="38"/>
  <c r="V10" i="35"/>
  <c r="Q16" i="46"/>
  <c r="J130" i="53" s="1"/>
  <c r="V8" i="35"/>
  <c r="J32" i="53" s="1"/>
  <c r="M10" i="50"/>
  <c r="Q13" i="46"/>
  <c r="T14" i="40"/>
  <c r="Q16" i="34"/>
  <c r="N9" i="47"/>
  <c r="T16" i="40"/>
  <c r="W16" i="4"/>
  <c r="Z8" i="51"/>
  <c r="N12" i="47"/>
  <c r="W9" i="42"/>
  <c r="Q10" i="34"/>
  <c r="Q14" i="39"/>
  <c r="U13" i="38"/>
  <c r="S10" i="33"/>
  <c r="Q14" i="46"/>
  <c r="T10" i="40"/>
  <c r="M16" i="44"/>
  <c r="R11" i="45"/>
  <c r="Q13" i="43"/>
  <c r="J97" i="53" s="1"/>
  <c r="Z9" i="51"/>
  <c r="S11" i="33"/>
  <c r="W8" i="4"/>
  <c r="Q15" i="46"/>
  <c r="J129" i="53" s="1"/>
  <c r="W17" i="42"/>
  <c r="Q10" i="39"/>
  <c r="P16" i="41"/>
  <c r="Q15" i="34"/>
  <c r="J29" i="53" s="1"/>
  <c r="K29" i="53" s="1"/>
  <c r="Q8" i="34"/>
  <c r="S13" i="33"/>
  <c r="U16" i="38"/>
  <c r="V15" i="58"/>
  <c r="P12" i="41"/>
  <c r="S17" i="33"/>
  <c r="P8" i="41"/>
  <c r="J72" i="53" s="1"/>
  <c r="V8" i="58"/>
  <c r="S8" i="33"/>
  <c r="S16" i="33"/>
  <c r="T13" i="40"/>
  <c r="J67" i="53" s="1"/>
  <c r="Q17" i="46"/>
  <c r="J131" i="53" s="1"/>
  <c r="M14" i="44"/>
  <c r="Q8" i="46"/>
  <c r="Q9" i="34"/>
  <c r="W11" i="4"/>
  <c r="U10" i="38"/>
  <c r="W10" i="4"/>
  <c r="R8" i="45"/>
  <c r="M17" i="44"/>
  <c r="D172" i="49" s="1"/>
  <c r="V10" i="58"/>
  <c r="Q9" i="46"/>
  <c r="R13" i="45"/>
  <c r="V14" i="58"/>
  <c r="Z11" i="51"/>
  <c r="Z15" i="51"/>
  <c r="D160" i="49" s="1"/>
  <c r="T17" i="40"/>
  <c r="V13" i="58"/>
  <c r="R14" i="45"/>
  <c r="V12" i="58"/>
  <c r="M11" i="44"/>
  <c r="U14" i="38"/>
  <c r="D49" i="49" s="1"/>
  <c r="T12" i="40"/>
  <c r="U8" i="38"/>
  <c r="N8" i="47"/>
  <c r="M16" i="50"/>
  <c r="Z14" i="51"/>
  <c r="V17" i="58"/>
  <c r="N15" i="47"/>
  <c r="J139" i="53" s="1"/>
  <c r="Q11" i="34"/>
  <c r="W17" i="4"/>
  <c r="D92" i="49"/>
  <c r="J91" i="53"/>
  <c r="D169" i="49"/>
  <c r="J108" i="53"/>
  <c r="D122" i="49"/>
  <c r="D120" i="49"/>
  <c r="D140" i="49"/>
  <c r="AP140" i="49" s="1"/>
  <c r="D68" i="49"/>
  <c r="D121" i="49"/>
  <c r="D30" i="49"/>
  <c r="J34" i="53"/>
  <c r="D35" i="49"/>
  <c r="D109" i="49"/>
  <c r="J118" i="53"/>
  <c r="J169" i="53"/>
  <c r="J98" i="53"/>
  <c r="J2" i="53"/>
  <c r="D3" i="49"/>
  <c r="AF3" i="49"/>
  <c r="J168" i="53"/>
  <c r="D159" i="49"/>
  <c r="AJ159" i="49" s="1"/>
  <c r="J43" i="53"/>
  <c r="D44" i="49"/>
  <c r="J111" i="53"/>
  <c r="D98" i="49"/>
  <c r="J5" i="53"/>
  <c r="D6" i="49"/>
  <c r="J80" i="53"/>
  <c r="D81" i="49"/>
  <c r="J66" i="53"/>
  <c r="D67" i="49"/>
  <c r="O67" i="49" s="1"/>
  <c r="J15" i="53"/>
  <c r="D16" i="49"/>
  <c r="J110" i="53"/>
  <c r="D171" i="49"/>
  <c r="J48" i="53"/>
  <c r="J44" i="53"/>
  <c r="D45" i="49"/>
  <c r="D33" i="49"/>
  <c r="AM98" i="49"/>
  <c r="I98" i="49"/>
  <c r="AM44" i="49"/>
  <c r="AN44" i="49"/>
  <c r="AM35" i="49"/>
  <c r="AN68" i="49"/>
  <c r="I68" i="49"/>
  <c r="AQ33" i="49"/>
  <c r="AR33" i="49"/>
  <c r="AR16" i="49"/>
  <c r="AR35" i="49"/>
  <c r="O172" i="49"/>
  <c r="AQ121" i="49"/>
  <c r="AR121" i="49"/>
  <c r="O169" i="49"/>
  <c r="AP81" i="49"/>
  <c r="AP159" i="49"/>
  <c r="AP3" i="49"/>
  <c r="AP99" i="49"/>
  <c r="AP30" i="49"/>
  <c r="AP98" i="49"/>
  <c r="AP33" i="49"/>
  <c r="AG109" i="49"/>
  <c r="AH109" i="49"/>
  <c r="S35" i="49"/>
  <c r="I3" i="49"/>
  <c r="K126" i="52" a="1"/>
  <c r="K126" i="52"/>
  <c r="K82" i="52" a="1"/>
  <c r="K82" i="52"/>
  <c r="K89" i="52" a="1"/>
  <c r="K89" i="52" s="1"/>
  <c r="K69" i="52" a="1"/>
  <c r="K69" i="52"/>
  <c r="K94" i="52" a="1"/>
  <c r="K94" i="52" s="1"/>
  <c r="K80" i="52" a="1"/>
  <c r="K80" i="52" s="1"/>
  <c r="K67" i="52" a="1"/>
  <c r="K67" i="52" s="1"/>
  <c r="K88" i="52" a="1"/>
  <c r="K88" i="52" s="1"/>
  <c r="K81" i="52" a="1"/>
  <c r="K81" i="52" s="1"/>
  <c r="K62" i="52" a="1"/>
  <c r="K62" i="52" s="1"/>
  <c r="K60" i="52" a="1"/>
  <c r="K60" i="52" s="1"/>
  <c r="K85" i="52" a="1"/>
  <c r="K85" i="52"/>
  <c r="K65" i="52" a="1"/>
  <c r="K65" i="52"/>
  <c r="K74" i="52" a="1"/>
  <c r="K74" i="52" s="1"/>
  <c r="K73" i="52" a="1"/>
  <c r="K73" i="52"/>
  <c r="K102" i="52" a="1"/>
  <c r="K102" i="52" s="1"/>
  <c r="K68" i="52" a="1"/>
  <c r="K68" i="52" s="1"/>
  <c r="K70" i="52" a="1"/>
  <c r="K70" i="52" s="1"/>
  <c r="K86" i="52" a="1"/>
  <c r="K86" i="52"/>
  <c r="K95" i="52" a="1"/>
  <c r="K95" i="52"/>
  <c r="K72" i="52" a="1"/>
  <c r="K72" i="52" s="1"/>
  <c r="K100" i="52" a="1"/>
  <c r="K100" i="52" s="1"/>
  <c r="K104" i="52" a="1"/>
  <c r="K104" i="52" s="1"/>
  <c r="K97" i="52" a="1"/>
  <c r="K97" i="52"/>
  <c r="K66" i="52" a="1"/>
  <c r="K66" i="52"/>
  <c r="K106" i="52" a="1"/>
  <c r="K106" i="52"/>
  <c r="K58" i="52" a="1"/>
  <c r="K58" i="52" s="1"/>
  <c r="K96" i="52" a="1"/>
  <c r="K96" i="52"/>
  <c r="K59" i="52" a="1"/>
  <c r="K59" i="52"/>
  <c r="K78" i="52" a="1"/>
  <c r="K78" i="52" s="1"/>
  <c r="K76" i="52" a="1"/>
  <c r="K76" i="52" s="1"/>
  <c r="K103" i="52" a="1"/>
  <c r="K103" i="52" s="1"/>
  <c r="K61" i="52" a="1"/>
  <c r="K61" i="52" s="1"/>
  <c r="K91" i="52" a="1"/>
  <c r="K91" i="52" s="1"/>
  <c r="K101" i="52" a="1"/>
  <c r="K101" i="52"/>
  <c r="K99" i="52" a="1"/>
  <c r="K99" i="52" s="1"/>
  <c r="K79" i="52" a="1"/>
  <c r="K79" i="52" s="1"/>
  <c r="K57" i="52" a="1"/>
  <c r="K57" i="52"/>
  <c r="K75" i="52" a="1"/>
  <c r="K75" i="52"/>
  <c r="K105" i="52" a="1"/>
  <c r="K105" i="52" s="1"/>
  <c r="K64" i="52" a="1"/>
  <c r="K64" i="52" s="1"/>
  <c r="K90" i="52" a="1"/>
  <c r="K90" i="52"/>
  <c r="K98" i="52" a="1"/>
  <c r="K98" i="52" s="1"/>
  <c r="K63" i="52" a="1"/>
  <c r="K63" i="52" s="1"/>
  <c r="K71" i="52" a="1"/>
  <c r="K71" i="52"/>
  <c r="K93" i="52" a="1"/>
  <c r="K93" i="52"/>
  <c r="K87" i="52" a="1"/>
  <c r="K87" i="52" s="1"/>
  <c r="K77" i="52" a="1"/>
  <c r="K77" i="52"/>
  <c r="K84" i="52" a="1"/>
  <c r="K84" i="52" s="1"/>
  <c r="K92" i="52" a="1"/>
  <c r="K92" i="52"/>
  <c r="K83" i="52" a="1"/>
  <c r="K83" i="52" s="1"/>
  <c r="K125" i="52" a="1"/>
  <c r="K125" i="52" s="1"/>
  <c r="K123" i="52" a="1"/>
  <c r="K123" i="52"/>
  <c r="K124" i="52" a="1"/>
  <c r="K124" i="52"/>
  <c r="K121" i="52" a="1"/>
  <c r="K121" i="52" s="1"/>
  <c r="K122" i="52" a="1"/>
  <c r="K122" i="52"/>
  <c r="K119" i="52" a="1"/>
  <c r="K119" i="52"/>
  <c r="K120" i="52" a="1"/>
  <c r="K120" i="52"/>
  <c r="K117" i="52" a="1"/>
  <c r="K117" i="52"/>
  <c r="K118" i="52" a="1"/>
  <c r="K118" i="52"/>
  <c r="K110" i="52" a="1"/>
  <c r="K110" i="52"/>
  <c r="K112" i="52" a="1"/>
  <c r="K112" i="52"/>
  <c r="K111" i="52" a="1"/>
  <c r="K111" i="52" s="1"/>
  <c r="K115" i="52" a="1"/>
  <c r="K115" i="52"/>
  <c r="K116" i="52" a="1"/>
  <c r="K116" i="52" s="1"/>
  <c r="K107" i="52" a="1"/>
  <c r="K107" i="52"/>
  <c r="K109" i="52" a="1"/>
  <c r="K109" i="52" s="1"/>
  <c r="K114" i="52" a="1"/>
  <c r="K114" i="52"/>
  <c r="K113" i="52" a="1"/>
  <c r="K113" i="52"/>
  <c r="K108" i="52" a="1"/>
  <c r="K108" i="52" s="1"/>
  <c r="AG122" i="49"/>
  <c r="Y122" i="49"/>
  <c r="O122" i="49"/>
  <c r="V122" i="49"/>
  <c r="K42" i="52" a="1"/>
  <c r="K42" i="52"/>
  <c r="K44" i="52" a="1"/>
  <c r="K44" i="52"/>
  <c r="AK172" i="49"/>
  <c r="R172" i="49"/>
  <c r="AB172" i="49"/>
  <c r="X172" i="49"/>
  <c r="K172" i="49"/>
  <c r="P172" i="49"/>
  <c r="M172" i="49"/>
  <c r="L172" i="49"/>
  <c r="AJ172" i="49"/>
  <c r="AD172" i="49"/>
  <c r="AE172" i="49"/>
  <c r="AC172" i="49"/>
  <c r="Q172" i="49"/>
  <c r="T172" i="49"/>
  <c r="V172" i="49"/>
  <c r="W172" i="49"/>
  <c r="I172" i="49"/>
  <c r="AM172" i="49"/>
  <c r="AF172" i="49"/>
  <c r="AC159" i="49"/>
  <c r="G159" i="49"/>
  <c r="N159" i="49"/>
  <c r="AF159" i="49"/>
  <c r="AA159" i="49"/>
  <c r="AI159" i="49"/>
  <c r="Z159" i="49"/>
  <c r="F159" i="49"/>
  <c r="AO159" i="49"/>
  <c r="E159" i="49"/>
  <c r="M159" i="49"/>
  <c r="AE159" i="49"/>
  <c r="I159" i="49"/>
  <c r="AM159" i="49"/>
  <c r="S159" i="49"/>
  <c r="Y159" i="49"/>
  <c r="T159" i="49"/>
  <c r="X159" i="49"/>
  <c r="K159" i="49"/>
  <c r="AD159" i="49"/>
  <c r="L159" i="49"/>
  <c r="R159" i="49"/>
  <c r="AK159" i="49"/>
  <c r="AB159" i="49"/>
  <c r="Q159" i="49"/>
  <c r="AG159" i="49"/>
  <c r="H159" i="49"/>
  <c r="AH159" i="49"/>
  <c r="K43" i="52" a="1"/>
  <c r="K43" i="52" s="1"/>
  <c r="L160" i="49"/>
  <c r="AI160" i="49"/>
  <c r="X160" i="49"/>
  <c r="E160" i="49"/>
  <c r="AG160" i="49"/>
  <c r="W160" i="49"/>
  <c r="S160" i="49"/>
  <c r="U160" i="49"/>
  <c r="V160" i="49"/>
  <c r="R160" i="49"/>
  <c r="H160" i="49"/>
  <c r="AB160" i="49"/>
  <c r="Q160" i="49"/>
  <c r="AF160" i="49"/>
  <c r="G160" i="49"/>
  <c r="AH160" i="49"/>
  <c r="AA160" i="49"/>
  <c r="AE160" i="49"/>
  <c r="I160" i="49"/>
  <c r="AM160" i="49"/>
  <c r="Z160" i="49"/>
  <c r="AJ160" i="49"/>
  <c r="AD160" i="49"/>
  <c r="K160" i="49"/>
  <c r="K35" i="52" a="1"/>
  <c r="K35" i="52"/>
  <c r="AG169" i="49"/>
  <c r="P169" i="49"/>
  <c r="W169" i="49"/>
  <c r="K169" i="49"/>
  <c r="Z169" i="49"/>
  <c r="AC169" i="49"/>
  <c r="X169" i="49"/>
  <c r="G169" i="49"/>
  <c r="Y169" i="49"/>
  <c r="AD169" i="49"/>
  <c r="E169" i="49"/>
  <c r="AK169" i="49"/>
  <c r="AH169" i="49"/>
  <c r="AB169" i="49"/>
  <c r="T169" i="49"/>
  <c r="AF169" i="49"/>
  <c r="S169" i="49"/>
  <c r="L169" i="49"/>
  <c r="H169" i="49"/>
  <c r="AI169" i="49"/>
  <c r="R169" i="49"/>
  <c r="AJ169" i="49"/>
  <c r="N169" i="49"/>
  <c r="Q169" i="49"/>
  <c r="AH92" i="49"/>
  <c r="Y92" i="49"/>
  <c r="W92" i="49"/>
  <c r="E92" i="49"/>
  <c r="K29" i="52" a="1"/>
  <c r="K29" i="52"/>
  <c r="K41" i="52" a="1"/>
  <c r="K41" i="52"/>
  <c r="K45" i="52" a="1"/>
  <c r="K45" i="52"/>
  <c r="K53" i="52" a="1"/>
  <c r="K53" i="52" s="1"/>
  <c r="K38" i="52" a="1"/>
  <c r="K38" i="52"/>
  <c r="L3" i="49"/>
  <c r="P3" i="49"/>
  <c r="G3" i="49"/>
  <c r="K3" i="49"/>
  <c r="F3" i="49"/>
  <c r="AA3" i="49"/>
  <c r="AB3" i="49"/>
  <c r="N3" i="49"/>
  <c r="H3" i="49"/>
  <c r="E3" i="49"/>
  <c r="V109" i="49"/>
  <c r="AB109" i="49"/>
  <c r="Y109" i="49"/>
  <c r="W109" i="49"/>
  <c r="P109" i="49"/>
  <c r="Z109" i="49"/>
  <c r="X109" i="49"/>
  <c r="H109" i="49"/>
  <c r="AA109" i="49"/>
  <c r="R109" i="49"/>
  <c r="S109" i="49"/>
  <c r="N109" i="49"/>
  <c r="L109" i="49"/>
  <c r="AF109" i="49"/>
  <c r="Q109" i="49"/>
  <c r="F109" i="49"/>
  <c r="U109" i="49"/>
  <c r="K109" i="49"/>
  <c r="AC109" i="49"/>
  <c r="T109" i="49"/>
  <c r="E109" i="49"/>
  <c r="AD109" i="49"/>
  <c r="O109" i="49"/>
  <c r="AE109" i="49"/>
  <c r="AJ109" i="49"/>
  <c r="M109" i="49"/>
  <c r="AK109" i="49"/>
  <c r="G109" i="49"/>
  <c r="K49" i="52" a="1"/>
  <c r="K49" i="52"/>
  <c r="K47" i="52" a="1"/>
  <c r="K47" i="52"/>
  <c r="G44" i="49"/>
  <c r="V44" i="49"/>
  <c r="E44" i="49"/>
  <c r="L44" i="49"/>
  <c r="Z44" i="49"/>
  <c r="P44" i="49"/>
  <c r="Y44" i="49"/>
  <c r="X44" i="49"/>
  <c r="F44" i="49"/>
  <c r="AO44" i="49" s="1"/>
  <c r="N44" i="49"/>
  <c r="AE44" i="49"/>
  <c r="AH44" i="49"/>
  <c r="O44" i="49"/>
  <c r="M44" i="49"/>
  <c r="AF44" i="49"/>
  <c r="R44" i="49"/>
  <c r="T44" i="49"/>
  <c r="W44" i="49"/>
  <c r="AC44" i="49"/>
  <c r="AK44" i="49"/>
  <c r="AG44" i="49"/>
  <c r="AD44" i="49"/>
  <c r="U44" i="49"/>
  <c r="AJ44" i="49"/>
  <c r="AA44" i="49"/>
  <c r="S44" i="49"/>
  <c r="Q44" i="49"/>
  <c r="K44" i="49"/>
  <c r="AB44" i="49"/>
  <c r="AI35" i="49"/>
  <c r="M35" i="49"/>
  <c r="E35" i="49"/>
  <c r="L35" i="49"/>
  <c r="X35" i="49"/>
  <c r="F35" i="49"/>
  <c r="W121" i="49"/>
  <c r="E121" i="49"/>
  <c r="AK121" i="49"/>
  <c r="G121" i="49"/>
  <c r="AA121" i="49"/>
  <c r="F121" i="49"/>
  <c r="AO121" i="49"/>
  <c r="R121" i="49"/>
  <c r="S121" i="49"/>
  <c r="AG121" i="49"/>
  <c r="AC121" i="49"/>
  <c r="Q121" i="49"/>
  <c r="AE121" i="49"/>
  <c r="Z121" i="49"/>
  <c r="AH121" i="49"/>
  <c r="L121" i="49"/>
  <c r="H121" i="49"/>
  <c r="V121" i="49"/>
  <c r="AJ121" i="49"/>
  <c r="Y121" i="49"/>
  <c r="U121" i="49"/>
  <c r="N121" i="49"/>
  <c r="M121" i="49"/>
  <c r="AB121" i="49"/>
  <c r="I121" i="49"/>
  <c r="K121" i="49"/>
  <c r="K50" i="52" a="1"/>
  <c r="K50" i="52"/>
  <c r="K36" i="52" a="1"/>
  <c r="K36" i="52"/>
  <c r="K48" i="52" a="1"/>
  <c r="K48" i="52"/>
  <c r="K34" i="52" a="1"/>
  <c r="K34" i="52"/>
  <c r="AJ171" i="49"/>
  <c r="G171" i="49"/>
  <c r="N171" i="49"/>
  <c r="AK171" i="49"/>
  <c r="AC171" i="49"/>
  <c r="V171" i="49"/>
  <c r="X171" i="49"/>
  <c r="Q171" i="49"/>
  <c r="L171" i="49"/>
  <c r="AD171" i="49"/>
  <c r="AH171" i="49"/>
  <c r="P171" i="49"/>
  <c r="S171" i="49"/>
  <c r="AG171" i="49"/>
  <c r="Z171" i="49"/>
  <c r="M171" i="49"/>
  <c r="AE171" i="49"/>
  <c r="E171" i="49"/>
  <c r="W171" i="49"/>
  <c r="T171" i="49"/>
  <c r="AB171" i="49"/>
  <c r="K171" i="49"/>
  <c r="AF171" i="49"/>
  <c r="H171" i="49"/>
  <c r="F171" i="49"/>
  <c r="AO171" i="49" s="1"/>
  <c r="U171" i="49"/>
  <c r="R171" i="49"/>
  <c r="Y171" i="49"/>
  <c r="AI171" i="49"/>
  <c r="I171" i="49"/>
  <c r="AM171" i="49"/>
  <c r="AE67" i="49"/>
  <c r="V67" i="49"/>
  <c r="H67" i="49"/>
  <c r="S67" i="49"/>
  <c r="W67" i="49"/>
  <c r="K39" i="52" a="1"/>
  <c r="K39" i="52"/>
  <c r="AI98" i="49"/>
  <c r="Y98" i="49"/>
  <c r="AA98" i="49"/>
  <c r="U98" i="49"/>
  <c r="AJ98" i="49"/>
  <c r="O98" i="49"/>
  <c r="P98" i="49"/>
  <c r="Z98" i="49"/>
  <c r="R98" i="49"/>
  <c r="S98" i="49"/>
  <c r="AH98" i="49"/>
  <c r="AE98" i="49"/>
  <c r="W98" i="49"/>
  <c r="L98" i="49"/>
  <c r="AC98" i="49"/>
  <c r="E98" i="49"/>
  <c r="Q98" i="49"/>
  <c r="T98" i="49"/>
  <c r="N98" i="49"/>
  <c r="H98" i="49"/>
  <c r="M98" i="49"/>
  <c r="AK98" i="49"/>
  <c r="AB98" i="49"/>
  <c r="AD98" i="49"/>
  <c r="AG98" i="49"/>
  <c r="F98" i="49"/>
  <c r="K55" i="52" a="1"/>
  <c r="K55" i="52"/>
  <c r="K33" i="52" a="1"/>
  <c r="K33" i="52"/>
  <c r="Z81" i="49"/>
  <c r="N81" i="49"/>
  <c r="M81" i="49"/>
  <c r="AI81" i="49"/>
  <c r="Y81" i="49"/>
  <c r="AH81" i="49"/>
  <c r="L81" i="49"/>
  <c r="AG81" i="49"/>
  <c r="T81" i="49"/>
  <c r="X81" i="49"/>
  <c r="S81" i="49"/>
  <c r="R81" i="49"/>
  <c r="W81" i="49"/>
  <c r="AA81" i="49"/>
  <c r="AD81" i="49"/>
  <c r="S99" i="49"/>
  <c r="X99" i="49"/>
  <c r="H99" i="49"/>
  <c r="AJ99" i="49"/>
  <c r="AB99" i="49"/>
  <c r="U99" i="49"/>
  <c r="K99" i="49"/>
  <c r="N99" i="49"/>
  <c r="AA99" i="49"/>
  <c r="G99" i="49"/>
  <c r="L99" i="49"/>
  <c r="P99" i="49"/>
  <c r="AK99" i="49"/>
  <c r="M99" i="49"/>
  <c r="AG99" i="49"/>
  <c r="AD99" i="49"/>
  <c r="Y99" i="49"/>
  <c r="R99" i="49"/>
  <c r="O99" i="49"/>
  <c r="T99" i="49"/>
  <c r="E99" i="49"/>
  <c r="AE99" i="49"/>
  <c r="F99" i="49"/>
  <c r="AO99" i="49"/>
  <c r="AC99" i="49"/>
  <c r="Q99" i="49"/>
  <c r="AI99" i="49"/>
  <c r="Z99" i="49"/>
  <c r="W99" i="49"/>
  <c r="AH99" i="49"/>
  <c r="V99" i="49"/>
  <c r="AF140" i="49"/>
  <c r="P140" i="49"/>
  <c r="S140" i="49"/>
  <c r="U140" i="49"/>
  <c r="AE140" i="49"/>
  <c r="AJ140" i="49"/>
  <c r="AD140" i="49"/>
  <c r="Q140" i="49"/>
  <c r="AI140" i="49"/>
  <c r="AK140" i="49"/>
  <c r="V140" i="49"/>
  <c r="Y140" i="49"/>
  <c r="F140" i="49"/>
  <c r="AO140" i="49" s="1"/>
  <c r="N140" i="49"/>
  <c r="W140" i="49"/>
  <c r="Z140" i="49"/>
  <c r="L140" i="49"/>
  <c r="H140" i="49"/>
  <c r="AB140" i="49"/>
  <c r="AH140" i="49"/>
  <c r="T140" i="49"/>
  <c r="M140" i="49"/>
  <c r="R140" i="49"/>
  <c r="AA140" i="49"/>
  <c r="AC140" i="49"/>
  <c r="G140" i="49"/>
  <c r="E140" i="49"/>
  <c r="O140" i="49"/>
  <c r="X140" i="49"/>
  <c r="I140" i="49"/>
  <c r="AM140" i="49"/>
  <c r="AG140" i="49"/>
  <c r="K140" i="49"/>
  <c r="K31" i="52" a="1"/>
  <c r="K31" i="52" s="1"/>
  <c r="K32" i="52" a="1"/>
  <c r="K32" i="52"/>
  <c r="F16" i="49"/>
  <c r="AO16" i="49" s="1"/>
  <c r="Q16" i="49"/>
  <c r="G16" i="49"/>
  <c r="T16" i="49"/>
  <c r="U16" i="49"/>
  <c r="N16" i="49"/>
  <c r="AC120" i="49"/>
  <c r="AJ120" i="49"/>
  <c r="AH120" i="49"/>
  <c r="W120" i="49"/>
  <c r="M120" i="49"/>
  <c r="E120" i="49"/>
  <c r="X120" i="49"/>
  <c r="R120" i="49"/>
  <c r="Q120" i="49"/>
  <c r="V120" i="49"/>
  <c r="K120" i="49"/>
  <c r="L120" i="49"/>
  <c r="AK120" i="49"/>
  <c r="I120" i="49"/>
  <c r="N120" i="49"/>
  <c r="AA120" i="49"/>
  <c r="AB120" i="49"/>
  <c r="K52" i="52" a="1"/>
  <c r="K52" i="52"/>
  <c r="K2" i="53"/>
  <c r="K27" i="52" a="1"/>
  <c r="K27" i="52" s="1"/>
  <c r="K40" i="52" a="1"/>
  <c r="K40" i="52" s="1"/>
  <c r="K15" i="53"/>
  <c r="K51" i="52" a="1"/>
  <c r="K51" i="52"/>
  <c r="N6" i="49"/>
  <c r="F6" i="49"/>
  <c r="AA6" i="49"/>
  <c r="AB6" i="49"/>
  <c r="E6" i="49"/>
  <c r="L6" i="49"/>
  <c r="H6" i="49"/>
  <c r="P6" i="49"/>
  <c r="K46" i="52" a="1"/>
  <c r="K46" i="52"/>
  <c r="K37" i="52" a="1"/>
  <c r="K37" i="52" s="1"/>
  <c r="K56" i="52" a="1"/>
  <c r="K56" i="52"/>
  <c r="L56" i="52" a="1"/>
  <c r="L56" i="52" s="1"/>
  <c r="K54" i="52" a="1"/>
  <c r="K54" i="52" s="1"/>
  <c r="K33" i="49"/>
  <c r="W33" i="49"/>
  <c r="G33" i="49"/>
  <c r="F33" i="49"/>
  <c r="AO33" i="49"/>
  <c r="H33" i="49"/>
  <c r="O33" i="49"/>
  <c r="V33" i="49"/>
  <c r="Q33" i="49"/>
  <c r="AI33" i="49"/>
  <c r="X33" i="49"/>
  <c r="U33" i="49"/>
  <c r="M33" i="49"/>
  <c r="T33" i="49"/>
  <c r="R33" i="49"/>
  <c r="L33" i="49"/>
  <c r="N33" i="49"/>
  <c r="E33" i="49"/>
  <c r="AC30" i="49"/>
  <c r="K5" i="53"/>
  <c r="K30" i="52" a="1"/>
  <c r="K30" i="52" s="1"/>
  <c r="AE45" i="49"/>
  <c r="U45" i="49"/>
  <c r="L45" i="49"/>
  <c r="R45" i="49"/>
  <c r="G45" i="49"/>
  <c r="Z45" i="49"/>
  <c r="AJ45" i="49"/>
  <c r="K45" i="49"/>
  <c r="AF45" i="49"/>
  <c r="S45" i="49"/>
  <c r="E45" i="49"/>
  <c r="N45" i="49"/>
  <c r="AK45" i="49"/>
  <c r="AA45" i="49"/>
  <c r="Q45" i="49"/>
  <c r="M45" i="49"/>
  <c r="X45" i="49"/>
  <c r="F45" i="49"/>
  <c r="AO45" i="49" s="1"/>
  <c r="AB45" i="49"/>
  <c r="AD45" i="49"/>
  <c r="T45" i="49"/>
  <c r="AC45" i="49"/>
  <c r="AH45" i="49"/>
  <c r="P45" i="49"/>
  <c r="AG45" i="49"/>
  <c r="V45" i="49"/>
  <c r="Y45" i="49"/>
  <c r="W45" i="49"/>
  <c r="O45" i="49"/>
  <c r="K28" i="52" a="1"/>
  <c r="K28" i="52" s="1"/>
  <c r="Q68" i="49"/>
  <c r="AH68" i="49"/>
  <c r="AA68" i="49"/>
  <c r="V68" i="49"/>
  <c r="AB68" i="49"/>
  <c r="F68" i="49"/>
  <c r="AO68" i="49"/>
  <c r="G68" i="49"/>
  <c r="AC68" i="49"/>
  <c r="AD68" i="49"/>
  <c r="AE68" i="49"/>
  <c r="S68" i="49"/>
  <c r="E68" i="49"/>
  <c r="AI68" i="49"/>
  <c r="W68" i="49"/>
  <c r="U68" i="49"/>
  <c r="H68" i="49"/>
  <c r="L68" i="49"/>
  <c r="T68" i="49"/>
  <c r="K68" i="49"/>
  <c r="AK68" i="49"/>
  <c r="Z68" i="49"/>
  <c r="M68" i="49"/>
  <c r="AJ68" i="49"/>
  <c r="N68" i="49"/>
  <c r="AG68" i="49"/>
  <c r="R68" i="49"/>
  <c r="O68" i="49"/>
  <c r="L54" i="52" a="1"/>
  <c r="L54" i="52"/>
  <c r="L51" i="52" a="1"/>
  <c r="L51" i="52"/>
  <c r="L53" i="52" a="1"/>
  <c r="L53" i="52"/>
  <c r="L55" i="52" a="1"/>
  <c r="L55" i="52" s="1"/>
  <c r="L52" i="52" a="1"/>
  <c r="L52" i="52"/>
  <c r="L50" i="52" a="1"/>
  <c r="L50" i="52"/>
  <c r="L49" i="52" a="1"/>
  <c r="L49" i="52"/>
  <c r="L48" i="52" a="1"/>
  <c r="L48" i="52"/>
  <c r="L47" i="52" a="1"/>
  <c r="L47" i="52"/>
  <c r="L32" i="52" a="1"/>
  <c r="L32" i="52" s="1"/>
  <c r="L28" i="52" a="1"/>
  <c r="L28" i="52" s="1"/>
  <c r="L37" i="52" a="1"/>
  <c r="L37" i="52"/>
  <c r="L30" i="52" a="1"/>
  <c r="L30" i="52"/>
  <c r="L40" i="52" a="1"/>
  <c r="L40" i="52"/>
  <c r="L33" i="52" a="1"/>
  <c r="L33" i="52" s="1"/>
  <c r="L41" i="52" a="1"/>
  <c r="L41" i="52"/>
  <c r="L29" i="52" a="1"/>
  <c r="L29" i="52"/>
  <c r="L39" i="52" a="1"/>
  <c r="L39" i="52" s="1"/>
  <c r="L46" i="52" a="1"/>
  <c r="L46" i="52"/>
  <c r="L45" i="52" a="1"/>
  <c r="L45" i="52"/>
  <c r="L31" i="52" a="1"/>
  <c r="L31" i="52"/>
  <c r="L42" i="52" a="1"/>
  <c r="L42" i="52"/>
  <c r="L44" i="52" a="1"/>
  <c r="L44" i="52"/>
  <c r="L27" i="52" a="1"/>
  <c r="L27" i="52" s="1"/>
  <c r="L38" i="52" a="1"/>
  <c r="L38" i="52"/>
  <c r="L35" i="52" a="1"/>
  <c r="L35" i="52" s="1"/>
  <c r="L43" i="52" a="1"/>
  <c r="L43" i="52"/>
  <c r="L34" i="52" a="1"/>
  <c r="L34" i="52"/>
  <c r="L36" i="52" a="1"/>
  <c r="L36" i="52" s="1"/>
  <c r="J109" i="49" l="1"/>
  <c r="J98" i="49"/>
  <c r="J171" i="49"/>
  <c r="J99" i="49"/>
  <c r="J35" i="49"/>
  <c r="J159" i="49"/>
  <c r="J160" i="49"/>
  <c r="J44" i="49"/>
  <c r="J16" i="49"/>
  <c r="J33" i="49"/>
  <c r="J45" i="49"/>
  <c r="J121" i="49"/>
  <c r="J68" i="49"/>
  <c r="J140" i="49"/>
  <c r="J92" i="49"/>
  <c r="AQ30" i="49"/>
  <c r="AM30" i="49"/>
  <c r="AR30" i="49"/>
  <c r="AN30" i="49"/>
  <c r="Q30" i="49"/>
  <c r="I30" i="49"/>
  <c r="AK30" i="49"/>
  <c r="W30" i="49"/>
  <c r="S30" i="49"/>
  <c r="AI30" i="49"/>
  <c r="AB30" i="49"/>
  <c r="AF30" i="49"/>
  <c r="AO30" i="49"/>
  <c r="G30" i="49"/>
  <c r="AJ30" i="49"/>
  <c r="U30" i="49"/>
  <c r="AE30" i="49"/>
  <c r="E30" i="49"/>
  <c r="O30" i="49"/>
  <c r="Z30" i="49"/>
  <c r="P30" i="49"/>
  <c r="AH30" i="49"/>
  <c r="J30" i="49"/>
  <c r="R30" i="49"/>
  <c r="H30" i="49"/>
  <c r="F30" i="49"/>
  <c r="AG30" i="49"/>
  <c r="N30" i="49"/>
  <c r="AA30" i="49"/>
  <c r="K30" i="49"/>
  <c r="Y30" i="49"/>
  <c r="AD30" i="49"/>
  <c r="L30" i="49"/>
  <c r="V30" i="49"/>
  <c r="X30" i="49"/>
  <c r="M30" i="49"/>
  <c r="J163" i="53"/>
  <c r="D154" i="49"/>
  <c r="J122" i="53"/>
  <c r="D113" i="49"/>
  <c r="D46" i="49"/>
  <c r="J45" i="53"/>
  <c r="AI49" i="49"/>
  <c r="AG49" i="49"/>
  <c r="AF49" i="49"/>
  <c r="AJ49" i="49"/>
  <c r="Y49" i="49"/>
  <c r="AM49" i="49"/>
  <c r="AK49" i="49"/>
  <c r="O49" i="49"/>
  <c r="N49" i="49"/>
  <c r="R49" i="49"/>
  <c r="U49" i="49"/>
  <c r="F49" i="49"/>
  <c r="L49" i="49"/>
  <c r="AI59" i="49"/>
  <c r="G49" i="49"/>
  <c r="H49" i="49"/>
  <c r="X49" i="49"/>
  <c r="AN49" i="49"/>
  <c r="J49" i="49"/>
  <c r="E49" i="49"/>
  <c r="T49" i="49"/>
  <c r="K49" i="49"/>
  <c r="AR49" i="49"/>
  <c r="AA49" i="49"/>
  <c r="AD49" i="49"/>
  <c r="AH49" i="49"/>
  <c r="AC49" i="49"/>
  <c r="W49" i="49"/>
  <c r="AQ49" i="49"/>
  <c r="V49" i="49"/>
  <c r="Q49" i="49"/>
  <c r="M49" i="49"/>
  <c r="S49" i="49"/>
  <c r="AO49" i="49"/>
  <c r="AP49" i="49"/>
  <c r="Z49" i="49"/>
  <c r="P49" i="49"/>
  <c r="AE49" i="49"/>
  <c r="AB49" i="49"/>
  <c r="J105" i="53"/>
  <c r="D166" i="49"/>
  <c r="D13" i="49"/>
  <c r="H21" i="37"/>
  <c r="J12" i="53"/>
  <c r="K12" i="53" s="1"/>
  <c r="J14" i="53"/>
  <c r="K14" i="53" s="1"/>
  <c r="D15" i="49"/>
  <c r="D94" i="49"/>
  <c r="J93" i="53"/>
  <c r="E12" i="52"/>
  <c r="T30" i="49"/>
  <c r="D48" i="49"/>
  <c r="J47" i="53"/>
  <c r="D101" i="49"/>
  <c r="J100" i="53"/>
  <c r="D72" i="49"/>
  <c r="J71" i="53"/>
  <c r="J76" i="53"/>
  <c r="D77" i="49"/>
  <c r="D84" i="49"/>
  <c r="J83" i="53"/>
  <c r="D128" i="49"/>
  <c r="J147" i="53"/>
  <c r="AM122" i="49"/>
  <c r="AR122" i="49"/>
  <c r="AN122" i="49"/>
  <c r="AQ122" i="49"/>
  <c r="P122" i="49"/>
  <c r="U122" i="49"/>
  <c r="AH122" i="49"/>
  <c r="L122" i="49"/>
  <c r="T122" i="49"/>
  <c r="AP122" i="49"/>
  <c r="AK122" i="49"/>
  <c r="Z122" i="49"/>
  <c r="J122" i="49"/>
  <c r="X122" i="49"/>
  <c r="K122" i="49"/>
  <c r="I122" i="49"/>
  <c r="H122" i="49"/>
  <c r="AA122" i="49"/>
  <c r="AD122" i="49"/>
  <c r="AC122" i="49"/>
  <c r="Q122" i="49"/>
  <c r="AJ122" i="49"/>
  <c r="AE122" i="49"/>
  <c r="E122" i="49"/>
  <c r="AB122" i="49"/>
  <c r="G122" i="49"/>
  <c r="M122" i="49"/>
  <c r="S122" i="49"/>
  <c r="AI122" i="49"/>
  <c r="W122" i="49"/>
  <c r="F122" i="49"/>
  <c r="AO122" i="49" s="1"/>
  <c r="D108" i="49"/>
  <c r="J117" i="53"/>
  <c r="J22" i="53"/>
  <c r="K22" i="53" s="1"/>
  <c r="D23" i="49"/>
  <c r="D71" i="49"/>
  <c r="J70" i="53"/>
  <c r="N67" i="49"/>
  <c r="J123" i="53"/>
  <c r="D114" i="49"/>
  <c r="AC67" i="49"/>
  <c r="I67" i="49"/>
  <c r="Y67" i="49"/>
  <c r="AN67" i="49"/>
  <c r="AP67" i="49"/>
  <c r="AM67" i="49"/>
  <c r="AR67" i="49"/>
  <c r="L67" i="49"/>
  <c r="Z67" i="49"/>
  <c r="K67" i="49"/>
  <c r="P68" i="49"/>
  <c r="AJ67" i="49"/>
  <c r="AA67" i="49"/>
  <c r="AK67" i="49"/>
  <c r="T67" i="49"/>
  <c r="J67" i="49"/>
  <c r="U67" i="49"/>
  <c r="AI67" i="49"/>
  <c r="R67" i="49"/>
  <c r="AH67" i="49"/>
  <c r="AG67" i="49"/>
  <c r="G67" i="49"/>
  <c r="F67" i="49"/>
  <c r="AO67" i="49"/>
  <c r="M67" i="49"/>
  <c r="Q67" i="49"/>
  <c r="E67" i="49"/>
  <c r="AD67" i="49"/>
  <c r="R122" i="49"/>
  <c r="AB67" i="49"/>
  <c r="N122" i="49"/>
  <c r="AM81" i="49"/>
  <c r="I81" i="49"/>
  <c r="AN81" i="49"/>
  <c r="AC81" i="49"/>
  <c r="Q81" i="49"/>
  <c r="J81" i="49"/>
  <c r="K81" i="49"/>
  <c r="U81" i="49"/>
  <c r="AE81" i="49"/>
  <c r="O81" i="49"/>
  <c r="F81" i="49"/>
  <c r="AO81" i="49" s="1"/>
  <c r="AK81" i="49"/>
  <c r="G81" i="49"/>
  <c r="E81" i="49"/>
  <c r="V81" i="49"/>
  <c r="P81" i="49"/>
  <c r="AB81" i="49"/>
  <c r="AJ81" i="49"/>
  <c r="H81" i="49"/>
  <c r="P120" i="49"/>
  <c r="AQ120" i="49"/>
  <c r="AM120" i="49"/>
  <c r="AN120" i="49"/>
  <c r="AR120" i="49"/>
  <c r="AI120" i="49"/>
  <c r="AG120" i="49"/>
  <c r="AD120" i="49"/>
  <c r="T120" i="49"/>
  <c r="F120" i="49"/>
  <c r="AO120" i="49" s="1"/>
  <c r="S120" i="49"/>
  <c r="G120" i="49"/>
  <c r="U120" i="49"/>
  <c r="J120" i="49"/>
  <c r="Y120" i="49"/>
  <c r="Z120" i="49"/>
  <c r="AP120" i="49"/>
  <c r="O120" i="49"/>
  <c r="J21" i="53"/>
  <c r="K21" i="53" s="1"/>
  <c r="D22" i="49"/>
  <c r="J24" i="53"/>
  <c r="K24" i="53" s="1"/>
  <c r="D25" i="49"/>
  <c r="J141" i="53"/>
  <c r="D142" i="49"/>
  <c r="AP16" i="49"/>
  <c r="AQ16" i="49"/>
  <c r="AM16" i="49"/>
  <c r="I16" i="49"/>
  <c r="AL16" i="49"/>
  <c r="S16" i="49"/>
  <c r="M16" i="49"/>
  <c r="P16" i="49"/>
  <c r="AN16" i="49"/>
  <c r="H16" i="49"/>
  <c r="R16" i="49"/>
  <c r="D156" i="49"/>
  <c r="J165" i="53"/>
  <c r="D51" i="49"/>
  <c r="J50" i="53"/>
  <c r="D153" i="49"/>
  <c r="J162" i="53"/>
  <c r="AC92" i="49"/>
  <c r="I92" i="49"/>
  <c r="AE92" i="49"/>
  <c r="AN92" i="49"/>
  <c r="N92" i="49"/>
  <c r="AM92" i="49"/>
  <c r="U92" i="49"/>
  <c r="AF92" i="49"/>
  <c r="AB92" i="49"/>
  <c r="H92" i="49"/>
  <c r="G92" i="49"/>
  <c r="AK92" i="49"/>
  <c r="AA92" i="49"/>
  <c r="AI92" i="49"/>
  <c r="AG92" i="49"/>
  <c r="V92" i="49"/>
  <c r="R92" i="49"/>
  <c r="O92" i="49"/>
  <c r="X92" i="49"/>
  <c r="Z92" i="49"/>
  <c r="L92" i="49"/>
  <c r="AD92" i="49"/>
  <c r="T92" i="49"/>
  <c r="AJ92" i="49"/>
  <c r="S92" i="49"/>
  <c r="Q92" i="49"/>
  <c r="M92" i="49"/>
  <c r="F92" i="49"/>
  <c r="AO92" i="49" s="1"/>
  <c r="E16" i="49"/>
  <c r="K92" i="49"/>
  <c r="AE120" i="49"/>
  <c r="AP92" i="49"/>
  <c r="K16" i="49"/>
  <c r="H120" i="49"/>
  <c r="L16" i="49"/>
  <c r="I6" i="49"/>
  <c r="AP6" i="49"/>
  <c r="AM6" i="49"/>
  <c r="G6" i="49"/>
  <c r="AF6" i="49"/>
  <c r="J6" i="49"/>
  <c r="M6" i="49"/>
  <c r="AN6" i="49"/>
  <c r="K6" i="49"/>
  <c r="AO6" i="49"/>
  <c r="AN35" i="49"/>
  <c r="P35" i="49"/>
  <c r="AQ35" i="49"/>
  <c r="AP35" i="49"/>
  <c r="Z35" i="49"/>
  <c r="W35" i="49"/>
  <c r="AO35" i="49"/>
  <c r="K35" i="49"/>
  <c r="G35" i="49"/>
  <c r="H35" i="49"/>
  <c r="D133" i="49"/>
  <c r="J132" i="53"/>
  <c r="D106" i="49"/>
  <c r="J115" i="53"/>
  <c r="J74" i="53"/>
  <c r="D75" i="49"/>
  <c r="D134" i="49"/>
  <c r="J133" i="53"/>
  <c r="AI55" i="49"/>
  <c r="AI45" i="49"/>
  <c r="AN45" i="49"/>
  <c r="AP45" i="49"/>
  <c r="AM45" i="49"/>
  <c r="AR45" i="49"/>
  <c r="H45" i="49"/>
  <c r="AQ45" i="49"/>
  <c r="AM121" i="49"/>
  <c r="P121" i="49"/>
  <c r="AN121" i="49"/>
  <c r="AP121" i="49"/>
  <c r="X121" i="49"/>
  <c r="T121" i="49"/>
  <c r="AI121" i="49"/>
  <c r="AD121" i="49"/>
  <c r="O121" i="49"/>
  <c r="AN98" i="49"/>
  <c r="G98" i="49"/>
  <c r="V98" i="49"/>
  <c r="K98" i="49"/>
  <c r="X98" i="49"/>
  <c r="AO98" i="49"/>
  <c r="J143" i="53"/>
  <c r="D124" i="49"/>
  <c r="AN3" i="49"/>
  <c r="AM3" i="49"/>
  <c r="M3" i="49"/>
  <c r="J3" i="49"/>
  <c r="AO3" i="49"/>
  <c r="D31" i="49"/>
  <c r="J30" i="53"/>
  <c r="K30" i="53" s="1"/>
  <c r="AR68" i="49"/>
  <c r="Y68" i="49"/>
  <c r="P69" i="49"/>
  <c r="AP68" i="49"/>
  <c r="AM68" i="49"/>
  <c r="AP172" i="49"/>
  <c r="Y172" i="49"/>
  <c r="AH172" i="49"/>
  <c r="G172" i="49"/>
  <c r="N172" i="49"/>
  <c r="AG172" i="49"/>
  <c r="H172" i="49"/>
  <c r="U172" i="49"/>
  <c r="S172" i="49"/>
  <c r="J172" i="49"/>
  <c r="AI172" i="49"/>
  <c r="F172" i="49"/>
  <c r="AO172" i="49" s="1"/>
  <c r="Z172" i="49"/>
  <c r="E172" i="49"/>
  <c r="D55" i="49"/>
  <c r="J54" i="53"/>
  <c r="J68" i="53"/>
  <c r="D69" i="49"/>
  <c r="AN33" i="49"/>
  <c r="S33" i="49"/>
  <c r="AM33" i="49"/>
  <c r="P33" i="49"/>
  <c r="Z33" i="49"/>
  <c r="J25" i="53"/>
  <c r="K25" i="53" s="1"/>
  <c r="D26" i="49"/>
  <c r="J4" i="53"/>
  <c r="K4" i="53" s="1"/>
  <c r="D5" i="49"/>
  <c r="O171" i="49"/>
  <c r="AP171" i="49"/>
  <c r="AQ44" i="49"/>
  <c r="AR44" i="49"/>
  <c r="AP44" i="49"/>
  <c r="AI54" i="49"/>
  <c r="H44" i="49"/>
  <c r="AN109" i="49"/>
  <c r="AI109" i="49"/>
  <c r="AP109" i="49"/>
  <c r="I109" i="49"/>
  <c r="AO109" i="49"/>
  <c r="J17" i="53"/>
  <c r="K17" i="53" s="1"/>
  <c r="D18" i="49"/>
  <c r="D11" i="49"/>
  <c r="J10" i="53"/>
  <c r="K10" i="53" s="1"/>
  <c r="AM109" i="49"/>
  <c r="D12" i="49"/>
  <c r="J11" i="53"/>
  <c r="K11" i="53" s="1"/>
  <c r="J112" i="53"/>
  <c r="D103" i="49"/>
  <c r="H31" i="37"/>
  <c r="D118" i="49"/>
  <c r="J127" i="53"/>
  <c r="J142" i="53"/>
  <c r="D123" i="49"/>
  <c r="AI44" i="49"/>
  <c r="AP169" i="49"/>
  <c r="I169" i="49"/>
  <c r="AM169" i="49" s="1"/>
  <c r="V169" i="49"/>
  <c r="U169" i="49"/>
  <c r="J169" i="49"/>
  <c r="M169" i="49"/>
  <c r="F169" i="49"/>
  <c r="AO169" i="49"/>
  <c r="AE169" i="49"/>
  <c r="AP160" i="49"/>
  <c r="F160" i="49"/>
  <c r="AO160" i="49"/>
  <c r="T160" i="49"/>
  <c r="AC160" i="49"/>
  <c r="D137" i="49"/>
  <c r="J136" i="53"/>
  <c r="D127" i="49"/>
  <c r="J146" i="53"/>
  <c r="AK160" i="49"/>
  <c r="D73" i="49"/>
  <c r="D95" i="49"/>
  <c r="J94" i="53"/>
  <c r="Y160" i="49"/>
  <c r="D65" i="49"/>
  <c r="J64" i="53"/>
  <c r="D32" i="49"/>
  <c r="J31" i="53"/>
  <c r="K31" i="53" s="1"/>
  <c r="N160" i="49"/>
  <c r="J20" i="53"/>
  <c r="K20" i="53" s="1"/>
  <c r="D21" i="49"/>
  <c r="J128" i="53"/>
  <c r="D119" i="49"/>
  <c r="I99" i="49"/>
  <c r="AM99" i="49"/>
  <c r="AN99" i="49"/>
  <c r="M160" i="49"/>
  <c r="J58" i="53"/>
  <c r="D59" i="49"/>
  <c r="U159" i="49"/>
  <c r="W13" i="4"/>
  <c r="V9" i="35"/>
  <c r="Q17" i="43"/>
  <c r="V15" i="35"/>
  <c r="V159" i="49"/>
  <c r="W159" i="49"/>
  <c r="D145" i="49"/>
  <c r="J154" i="53"/>
  <c r="AC14" i="48"/>
  <c r="M12" i="44"/>
  <c r="W14" i="4"/>
  <c r="M8" i="50"/>
  <c r="Q15" i="39"/>
  <c r="M14" i="50"/>
  <c r="M17" i="50"/>
  <c r="U12" i="38"/>
  <c r="W8" i="42"/>
  <c r="AC15" i="48"/>
  <c r="W14" i="42"/>
  <c r="Z12" i="51"/>
  <c r="H36" i="37" s="1"/>
  <c r="W15" i="42"/>
  <c r="M12" i="50"/>
  <c r="M9" i="50"/>
  <c r="S12" i="33"/>
  <c r="Q12" i="46"/>
  <c r="AC16" i="48"/>
  <c r="R12" i="45"/>
  <c r="T9" i="40"/>
  <c r="M15" i="44"/>
  <c r="N10" i="47"/>
  <c r="Z10" i="51"/>
  <c r="M9" i="44"/>
  <c r="W11" i="42"/>
  <c r="Y9" i="59"/>
  <c r="Z17" i="51"/>
  <c r="P17" i="41"/>
  <c r="P11" i="41"/>
  <c r="R16" i="45"/>
  <c r="R9" i="45"/>
  <c r="Q14" i="34"/>
  <c r="S9" i="33"/>
  <c r="Y13" i="59"/>
  <c r="Q9" i="39"/>
  <c r="Q11" i="39"/>
  <c r="Q8" i="43"/>
  <c r="R10" i="45"/>
  <c r="Q13" i="39"/>
  <c r="S14" i="33"/>
  <c r="V11" i="35"/>
  <c r="Y15" i="59"/>
  <c r="S15" i="33"/>
  <c r="V17" i="35"/>
  <c r="P13" i="41"/>
  <c r="W9" i="4"/>
  <c r="T15" i="40"/>
  <c r="V11" i="58"/>
  <c r="M13" i="44"/>
  <c r="Y14" i="59"/>
  <c r="M11" i="50"/>
  <c r="Q12" i="34"/>
  <c r="H22" i="37" s="1"/>
  <c r="P15" i="41"/>
  <c r="R17" i="45"/>
  <c r="Q12" i="39"/>
  <c r="Z16" i="51"/>
  <c r="Q11" i="46"/>
  <c r="W15" i="4"/>
  <c r="M13" i="50"/>
  <c r="R15" i="45"/>
  <c r="P9" i="41"/>
  <c r="Q13" i="34"/>
  <c r="M8" i="44"/>
  <c r="V16" i="58"/>
  <c r="W10" i="42"/>
  <c r="U15" i="38"/>
  <c r="T11" i="40"/>
  <c r="N14" i="47"/>
  <c r="V12" i="35"/>
  <c r="T8" i="40"/>
  <c r="V9" i="58"/>
  <c r="M10" i="44"/>
  <c r="W13" i="42"/>
  <c r="AC17" i="48"/>
  <c r="Q15" i="43"/>
  <c r="Q11" i="43"/>
  <c r="V13" i="35"/>
  <c r="V14" i="35"/>
  <c r="Q10" i="46"/>
  <c r="H32" i="37" s="1"/>
  <c r="V16" i="35"/>
  <c r="Q12" i="43"/>
  <c r="N16" i="47"/>
  <c r="Y12" i="59"/>
  <c r="U17" i="38"/>
  <c r="N13" i="47"/>
  <c r="P14" i="41"/>
  <c r="Q8" i="39"/>
  <c r="AC10" i="48"/>
  <c r="Q16" i="39"/>
  <c r="Z13" i="51"/>
  <c r="M15" i="50"/>
  <c r="W16" i="42"/>
  <c r="AC11" i="48"/>
  <c r="Q17" i="39"/>
  <c r="W12" i="42"/>
  <c r="N11" i="47"/>
  <c r="H33" i="37" s="1"/>
  <c r="W12" i="4"/>
  <c r="J160" i="53"/>
  <c r="D151" i="49"/>
  <c r="J23" i="53"/>
  <c r="K23" i="53" s="1"/>
  <c r="D24" i="49"/>
  <c r="J42" i="53"/>
  <c r="D43" i="49"/>
  <c r="D90" i="49" l="1"/>
  <c r="J89" i="53"/>
  <c r="AM5" i="49"/>
  <c r="AF5" i="49"/>
  <c r="AN5" i="49"/>
  <c r="AP5" i="49"/>
  <c r="M5" i="49"/>
  <c r="J5" i="49"/>
  <c r="L5" i="49"/>
  <c r="AA5" i="49"/>
  <c r="G5" i="49"/>
  <c r="P5" i="49"/>
  <c r="K5" i="49"/>
  <c r="F5" i="49"/>
  <c r="AO5" i="49" s="1"/>
  <c r="E5" i="49"/>
  <c r="H5" i="49"/>
  <c r="I5" i="49"/>
  <c r="N5" i="49"/>
  <c r="AB5" i="49"/>
  <c r="J28" i="53"/>
  <c r="K28" i="53" s="1"/>
  <c r="D29" i="49"/>
  <c r="J151" i="53"/>
  <c r="D132" i="49"/>
  <c r="D82" i="49"/>
  <c r="J81" i="53"/>
  <c r="D126" i="49"/>
  <c r="J145" i="53"/>
  <c r="J90" i="53"/>
  <c r="D91" i="49"/>
  <c r="J62" i="53"/>
  <c r="D63" i="49"/>
  <c r="H26" i="37"/>
  <c r="J152" i="53"/>
  <c r="H35" i="37"/>
  <c r="D143" i="49"/>
  <c r="J53" i="53"/>
  <c r="D54" i="49"/>
  <c r="D157" i="49"/>
  <c r="J166" i="53"/>
  <c r="AL22" i="49"/>
  <c r="AP22" i="49"/>
  <c r="AN22" i="49"/>
  <c r="AM22" i="49"/>
  <c r="I22" i="49"/>
  <c r="AR22" i="49"/>
  <c r="AQ22" i="49"/>
  <c r="J22" i="49"/>
  <c r="U22" i="49"/>
  <c r="F22" i="49"/>
  <c r="P22" i="49"/>
  <c r="H22" i="49"/>
  <c r="AO22" i="49"/>
  <c r="E22" i="49"/>
  <c r="L22" i="49"/>
  <c r="M22" i="49"/>
  <c r="T22" i="49"/>
  <c r="K22" i="49"/>
  <c r="R22" i="49"/>
  <c r="G22" i="49"/>
  <c r="S22" i="49"/>
  <c r="N22" i="49"/>
  <c r="Q22" i="49"/>
  <c r="H28" i="37"/>
  <c r="J82" i="53"/>
  <c r="D83" i="49"/>
  <c r="J125" i="53"/>
  <c r="D116" i="49"/>
  <c r="J38" i="53"/>
  <c r="D39" i="49"/>
  <c r="D89" i="49"/>
  <c r="J88" i="53"/>
  <c r="M153" i="49"/>
  <c r="U153" i="49"/>
  <c r="AP153" i="49"/>
  <c r="AH153" i="49"/>
  <c r="I153" i="49"/>
  <c r="AM153" i="49" s="1"/>
  <c r="Q153" i="49"/>
  <c r="P153" i="49"/>
  <c r="O153" i="49"/>
  <c r="AD153" i="49"/>
  <c r="V153" i="49"/>
  <c r="W153" i="49"/>
  <c r="X153" i="49"/>
  <c r="R153" i="49"/>
  <c r="AB153" i="49"/>
  <c r="AO153" i="49"/>
  <c r="AI153" i="49"/>
  <c r="AA153" i="49"/>
  <c r="N153" i="49"/>
  <c r="AK153" i="49"/>
  <c r="E153" i="49"/>
  <c r="Y153" i="49"/>
  <c r="K153" i="49"/>
  <c r="F153" i="49"/>
  <c r="S153" i="49"/>
  <c r="G153" i="49"/>
  <c r="AE153" i="49"/>
  <c r="AJ153" i="49"/>
  <c r="Z153" i="49"/>
  <c r="AG153" i="49"/>
  <c r="J153" i="49"/>
  <c r="AC153" i="49"/>
  <c r="L153" i="49"/>
  <c r="AF153" i="49"/>
  <c r="T153" i="49"/>
  <c r="H153" i="49"/>
  <c r="AR26" i="49"/>
  <c r="Q26" i="49"/>
  <c r="AM26" i="49"/>
  <c r="AN26" i="49"/>
  <c r="S26" i="49"/>
  <c r="AI26" i="49"/>
  <c r="I26" i="49"/>
  <c r="AK26" i="49"/>
  <c r="T26" i="49"/>
  <c r="O26" i="49"/>
  <c r="X26" i="49"/>
  <c r="AQ26" i="49"/>
  <c r="E26" i="49"/>
  <c r="AA26" i="49"/>
  <c r="AP26" i="49"/>
  <c r="AG26" i="49"/>
  <c r="R26" i="49"/>
  <c r="L26" i="49"/>
  <c r="V26" i="49"/>
  <c r="Y26" i="49"/>
  <c r="AJ26" i="49"/>
  <c r="AF26" i="49"/>
  <c r="N26" i="49"/>
  <c r="AD26" i="49"/>
  <c r="W26" i="49"/>
  <c r="AB26" i="49"/>
  <c r="G26" i="49"/>
  <c r="H26" i="49"/>
  <c r="U26" i="49"/>
  <c r="AH26" i="49"/>
  <c r="AC26" i="49"/>
  <c r="AE26" i="49"/>
  <c r="Z26" i="49"/>
  <c r="F26" i="49"/>
  <c r="AO26" i="49" s="1"/>
  <c r="M26" i="49"/>
  <c r="K26" i="49"/>
  <c r="P26" i="49"/>
  <c r="J26" i="49"/>
  <c r="J46" i="53"/>
  <c r="D47" i="49"/>
  <c r="D88" i="49"/>
  <c r="J87" i="53"/>
  <c r="J104" i="53"/>
  <c r="D165" i="49"/>
  <c r="AP156" i="49"/>
  <c r="AE156" i="49"/>
  <c r="Z156" i="49"/>
  <c r="X156" i="49"/>
  <c r="W156" i="49"/>
  <c r="AF156" i="49"/>
  <c r="R156" i="49"/>
  <c r="AD156" i="49"/>
  <c r="V156" i="49"/>
  <c r="AB156" i="49"/>
  <c r="F156" i="49"/>
  <c r="N156" i="49"/>
  <c r="AO156" i="49"/>
  <c r="I156" i="49"/>
  <c r="AM156" i="49" s="1"/>
  <c r="G156" i="49"/>
  <c r="AH156" i="49"/>
  <c r="H156" i="49"/>
  <c r="AC156" i="49"/>
  <c r="S156" i="49"/>
  <c r="Y156" i="49"/>
  <c r="U156" i="49"/>
  <c r="AA156" i="49"/>
  <c r="T156" i="49"/>
  <c r="AI156" i="49"/>
  <c r="Q156" i="49"/>
  <c r="M156" i="49"/>
  <c r="L156" i="49"/>
  <c r="J156" i="49"/>
  <c r="E156" i="49"/>
  <c r="AK156" i="49"/>
  <c r="AJ156" i="49"/>
  <c r="AG156" i="49"/>
  <c r="K156" i="49"/>
  <c r="J69" i="53"/>
  <c r="D70" i="49"/>
  <c r="J138" i="53"/>
  <c r="D139" i="49"/>
  <c r="AN72" i="49"/>
  <c r="I72" i="49"/>
  <c r="AM72" i="49"/>
  <c r="AP72" i="49"/>
  <c r="AR72" i="49"/>
  <c r="N72" i="49"/>
  <c r="AI72" i="49"/>
  <c r="Y72" i="49"/>
  <c r="AC72" i="49"/>
  <c r="Q72" i="49"/>
  <c r="W72" i="49"/>
  <c r="R72" i="49"/>
  <c r="S72" i="49"/>
  <c r="G72" i="49"/>
  <c r="J72" i="49"/>
  <c r="AB72" i="49"/>
  <c r="L72" i="49"/>
  <c r="K72" i="49"/>
  <c r="Z72" i="49"/>
  <c r="F72" i="49"/>
  <c r="AO72" i="49" s="1"/>
  <c r="U72" i="49"/>
  <c r="AE72" i="49"/>
  <c r="H72" i="49"/>
  <c r="AA72" i="49"/>
  <c r="AD72" i="49"/>
  <c r="T72" i="49"/>
  <c r="O72" i="49"/>
  <c r="AG72" i="49"/>
  <c r="AH72" i="49"/>
  <c r="M72" i="49"/>
  <c r="E72" i="49"/>
  <c r="V72" i="49"/>
  <c r="AJ72" i="49"/>
  <c r="AK72" i="49"/>
  <c r="D61" i="49"/>
  <c r="J60" i="53"/>
  <c r="J65" i="53"/>
  <c r="D66" i="49"/>
  <c r="J77" i="53"/>
  <c r="D78" i="49"/>
  <c r="D155" i="49"/>
  <c r="J164" i="53"/>
  <c r="J148" i="53"/>
  <c r="D129" i="49"/>
  <c r="AM32" i="49"/>
  <c r="AN32" i="49"/>
  <c r="S32" i="49"/>
  <c r="AP32" i="49"/>
  <c r="Q32" i="49"/>
  <c r="AQ32" i="49"/>
  <c r="M32" i="49"/>
  <c r="X32" i="49"/>
  <c r="L32" i="49"/>
  <c r="U32" i="49"/>
  <c r="W32" i="49"/>
  <c r="R32" i="49"/>
  <c r="I32" i="49"/>
  <c r="T32" i="49"/>
  <c r="N32" i="49"/>
  <c r="AH32" i="49"/>
  <c r="O32" i="49"/>
  <c r="AK32" i="49"/>
  <c r="AF32" i="49"/>
  <c r="Y32" i="49"/>
  <c r="AE32" i="49"/>
  <c r="F32" i="49"/>
  <c r="AO32" i="49"/>
  <c r="AA32" i="49"/>
  <c r="V32" i="49"/>
  <c r="AG32" i="49"/>
  <c r="E32" i="49"/>
  <c r="AI32" i="49"/>
  <c r="AJ32" i="49"/>
  <c r="P32" i="49"/>
  <c r="G32" i="49"/>
  <c r="AD32" i="49"/>
  <c r="AR32" i="49"/>
  <c r="J32" i="49"/>
  <c r="AB32" i="49"/>
  <c r="K32" i="49"/>
  <c r="H32" i="49"/>
  <c r="AC32" i="49"/>
  <c r="Z32" i="49"/>
  <c r="AQ23" i="49"/>
  <c r="Q23" i="49"/>
  <c r="S23" i="49"/>
  <c r="AP23" i="49"/>
  <c r="AM23" i="49"/>
  <c r="AR23" i="49"/>
  <c r="X23" i="49"/>
  <c r="T23" i="49"/>
  <c r="O23" i="49"/>
  <c r="Y23" i="49"/>
  <c r="E23" i="49"/>
  <c r="G23" i="49"/>
  <c r="AN23" i="49"/>
  <c r="AD23" i="49"/>
  <c r="J23" i="49"/>
  <c r="U23" i="49"/>
  <c r="H23" i="49"/>
  <c r="I23" i="49"/>
  <c r="N23" i="49"/>
  <c r="AB23" i="49"/>
  <c r="K23" i="49"/>
  <c r="AA23" i="49"/>
  <c r="AK23" i="49"/>
  <c r="AJ23" i="49"/>
  <c r="AG23" i="49"/>
  <c r="AC23" i="49"/>
  <c r="AH23" i="49"/>
  <c r="AI23" i="49"/>
  <c r="F23" i="49"/>
  <c r="L23" i="49"/>
  <c r="M23" i="49"/>
  <c r="AF23" i="49"/>
  <c r="AO23" i="49"/>
  <c r="AE23" i="49"/>
  <c r="V23" i="49"/>
  <c r="Z23" i="49"/>
  <c r="W23" i="49"/>
  <c r="R23" i="49"/>
  <c r="P23" i="49"/>
  <c r="D80" i="49"/>
  <c r="J79" i="53"/>
  <c r="D27" i="49"/>
  <c r="J26" i="53"/>
  <c r="K26" i="53" s="1"/>
  <c r="AP11" i="49"/>
  <c r="G11" i="49"/>
  <c r="AF11" i="49"/>
  <c r="P11" i="49"/>
  <c r="AA11" i="49"/>
  <c r="K11" i="49"/>
  <c r="I11" i="49"/>
  <c r="F11" i="49"/>
  <c r="AO11" i="49" s="1"/>
  <c r="AM11" i="49"/>
  <c r="L11" i="49"/>
  <c r="AN11" i="49"/>
  <c r="AB11" i="49"/>
  <c r="J11" i="49"/>
  <c r="H11" i="49"/>
  <c r="N11" i="49"/>
  <c r="E11" i="49"/>
  <c r="M11" i="49"/>
  <c r="D86" i="49"/>
  <c r="J85" i="53"/>
  <c r="J103" i="53"/>
  <c r="D164" i="49"/>
  <c r="D125" i="49"/>
  <c r="J144" i="53"/>
  <c r="J49" i="53"/>
  <c r="D50" i="49"/>
  <c r="J41" i="53"/>
  <c r="D42" i="49"/>
  <c r="D135" i="49"/>
  <c r="J134" i="53"/>
  <c r="AP31" i="49"/>
  <c r="S31" i="49"/>
  <c r="AM31" i="49"/>
  <c r="AR31" i="49"/>
  <c r="AQ31" i="49"/>
  <c r="I31" i="49"/>
  <c r="V31" i="49"/>
  <c r="AC31" i="49"/>
  <c r="Z31" i="49"/>
  <c r="AA31" i="49"/>
  <c r="N31" i="49"/>
  <c r="M31" i="49"/>
  <c r="AN31" i="49"/>
  <c r="AH31" i="49"/>
  <c r="AK31" i="49"/>
  <c r="AG31" i="49"/>
  <c r="T31" i="49"/>
  <c r="P31" i="49"/>
  <c r="AJ31" i="49"/>
  <c r="W31" i="49"/>
  <c r="AE31" i="49"/>
  <c r="X31" i="49"/>
  <c r="U31" i="49"/>
  <c r="F31" i="49"/>
  <c r="AO31" i="49" s="1"/>
  <c r="AI31" i="49"/>
  <c r="R31" i="49"/>
  <c r="O31" i="49"/>
  <c r="Q31" i="49"/>
  <c r="G31" i="49"/>
  <c r="AD31" i="49"/>
  <c r="L31" i="49"/>
  <c r="H31" i="49"/>
  <c r="E31" i="49"/>
  <c r="AB31" i="49"/>
  <c r="Y31" i="49"/>
  <c r="AF31" i="49"/>
  <c r="K31" i="49"/>
  <c r="J31" i="49"/>
  <c r="AP101" i="49"/>
  <c r="AI101" i="49"/>
  <c r="AC101" i="49"/>
  <c r="AN101" i="49"/>
  <c r="L101" i="49"/>
  <c r="I101" i="49"/>
  <c r="H101" i="49"/>
  <c r="Z101" i="49"/>
  <c r="S101" i="49"/>
  <c r="P101" i="49"/>
  <c r="W101" i="49"/>
  <c r="U101" i="49"/>
  <c r="G101" i="49"/>
  <c r="AA101" i="49"/>
  <c r="O101" i="49"/>
  <c r="AB101" i="49"/>
  <c r="AH101" i="49"/>
  <c r="Y101" i="49"/>
  <c r="X101" i="49"/>
  <c r="T101" i="49"/>
  <c r="J101" i="49"/>
  <c r="N101" i="49"/>
  <c r="AJ101" i="49"/>
  <c r="K101" i="49"/>
  <c r="Q101" i="49"/>
  <c r="AE101" i="49"/>
  <c r="V101" i="49"/>
  <c r="AD101" i="49"/>
  <c r="M101" i="49"/>
  <c r="AG101" i="49"/>
  <c r="AM101" i="49"/>
  <c r="F101" i="49"/>
  <c r="AO101" i="49" s="1"/>
  <c r="AK101" i="49"/>
  <c r="E101" i="49"/>
  <c r="R101" i="49"/>
  <c r="D57" i="49"/>
  <c r="J56" i="53"/>
  <c r="J86" i="53"/>
  <c r="D87" i="49"/>
  <c r="AC154" i="49"/>
  <c r="L154" i="49"/>
  <c r="V154" i="49"/>
  <c r="AB154" i="49"/>
  <c r="M154" i="49"/>
  <c r="AD154" i="49"/>
  <c r="U154" i="49"/>
  <c r="X154" i="49"/>
  <c r="H154" i="49"/>
  <c r="Y154" i="49"/>
  <c r="AI154" i="49"/>
  <c r="E154" i="49"/>
  <c r="AP154" i="49"/>
  <c r="W154" i="49"/>
  <c r="AJ154" i="49"/>
  <c r="AG154" i="49"/>
  <c r="R154" i="49"/>
  <c r="AE154" i="49"/>
  <c r="K154" i="49"/>
  <c r="AF154" i="49"/>
  <c r="J154" i="49"/>
  <c r="Z154" i="49"/>
  <c r="AA154" i="49"/>
  <c r="G154" i="49"/>
  <c r="N154" i="49"/>
  <c r="I154" i="49"/>
  <c r="AM154" i="49" s="1"/>
  <c r="Q154" i="49"/>
  <c r="S154" i="49"/>
  <c r="AK154" i="49"/>
  <c r="AH154" i="49"/>
  <c r="F154" i="49"/>
  <c r="AO154" i="49" s="1"/>
  <c r="T154" i="49"/>
  <c r="I84" i="49"/>
  <c r="AM84" i="49"/>
  <c r="K84" i="49"/>
  <c r="AA84" i="49"/>
  <c r="AK84" i="49"/>
  <c r="G84" i="49"/>
  <c r="AN84" i="49"/>
  <c r="R84" i="49"/>
  <c r="J84" i="49"/>
  <c r="Z84" i="49"/>
  <c r="AC84" i="49"/>
  <c r="L84" i="49"/>
  <c r="Q84" i="49"/>
  <c r="AD84" i="49"/>
  <c r="AJ84" i="49"/>
  <c r="S84" i="49"/>
  <c r="O84" i="49"/>
  <c r="T84" i="49"/>
  <c r="AE84" i="49"/>
  <c r="V84" i="49"/>
  <c r="AI84" i="49"/>
  <c r="Y84" i="49"/>
  <c r="W84" i="49"/>
  <c r="H84" i="49"/>
  <c r="F84" i="49"/>
  <c r="AO84" i="49"/>
  <c r="N84" i="49"/>
  <c r="M84" i="49"/>
  <c r="U84" i="49"/>
  <c r="AP84" i="49"/>
  <c r="AG84" i="49"/>
  <c r="AH84" i="49"/>
  <c r="AB84" i="49"/>
  <c r="E84" i="49"/>
  <c r="J124" i="53"/>
  <c r="D115" i="49"/>
  <c r="AQ13" i="49"/>
  <c r="AR13" i="49"/>
  <c r="AL13" i="49"/>
  <c r="I13" i="49"/>
  <c r="AM13" i="49"/>
  <c r="AP13" i="49"/>
  <c r="AN13" i="49"/>
  <c r="M13" i="49"/>
  <c r="N13" i="49"/>
  <c r="J13" i="49"/>
  <c r="L13" i="49"/>
  <c r="P13" i="49"/>
  <c r="G13" i="49"/>
  <c r="R13" i="49"/>
  <c r="E13" i="49"/>
  <c r="U13" i="49"/>
  <c r="F13" i="49"/>
  <c r="H13" i="49"/>
  <c r="K13" i="49"/>
  <c r="Q13" i="49"/>
  <c r="T13" i="49"/>
  <c r="AO13" i="49"/>
  <c r="S13" i="49"/>
  <c r="J95" i="53"/>
  <c r="D96" i="49"/>
  <c r="J113" i="53"/>
  <c r="D104" i="49"/>
  <c r="I12" i="49"/>
  <c r="AF12" i="49"/>
  <c r="AA12" i="49"/>
  <c r="AB12" i="49"/>
  <c r="P12" i="49"/>
  <c r="E12" i="49"/>
  <c r="AP12" i="49"/>
  <c r="AM12" i="49"/>
  <c r="N12" i="49"/>
  <c r="G12" i="49"/>
  <c r="L12" i="49"/>
  <c r="M12" i="49"/>
  <c r="H12" i="49"/>
  <c r="F12" i="49"/>
  <c r="K12" i="49"/>
  <c r="AO12" i="49"/>
  <c r="J12" i="49"/>
  <c r="AN12" i="49"/>
  <c r="AP128" i="49"/>
  <c r="AJ128" i="49"/>
  <c r="AM128" i="49"/>
  <c r="M128" i="49"/>
  <c r="X128" i="49"/>
  <c r="Y128" i="49"/>
  <c r="AD128" i="49"/>
  <c r="T128" i="49"/>
  <c r="I128" i="49"/>
  <c r="Z128" i="49"/>
  <c r="N128" i="49"/>
  <c r="AF128" i="49"/>
  <c r="H128" i="49"/>
  <c r="L128" i="49"/>
  <c r="AI128" i="49"/>
  <c r="P128" i="49"/>
  <c r="AE128" i="49"/>
  <c r="F128" i="49"/>
  <c r="AO128" i="49"/>
  <c r="AG128" i="49"/>
  <c r="R128" i="49"/>
  <c r="AK128" i="49"/>
  <c r="V128" i="49"/>
  <c r="U128" i="49"/>
  <c r="AN128" i="49"/>
  <c r="E128" i="49"/>
  <c r="W128" i="49"/>
  <c r="AC128" i="49"/>
  <c r="J128" i="49"/>
  <c r="S128" i="49"/>
  <c r="K128" i="49"/>
  <c r="AB128" i="49"/>
  <c r="AH128" i="49"/>
  <c r="O128" i="49"/>
  <c r="G128" i="49"/>
  <c r="Q128" i="49"/>
  <c r="J75" i="53"/>
  <c r="D76" i="49"/>
  <c r="D162" i="49"/>
  <c r="J171" i="53"/>
  <c r="AP133" i="49"/>
  <c r="X133" i="49"/>
  <c r="AC133" i="49"/>
  <c r="I133" i="49"/>
  <c r="AM133" i="49" s="1"/>
  <c r="AA133" i="49"/>
  <c r="S133" i="49"/>
  <c r="V133" i="49"/>
  <c r="AE133" i="49"/>
  <c r="AO133" i="49"/>
  <c r="AH133" i="49"/>
  <c r="AK133" i="49"/>
  <c r="K133" i="49"/>
  <c r="T133" i="49"/>
  <c r="W133" i="49"/>
  <c r="L133" i="49"/>
  <c r="AB133" i="49"/>
  <c r="AJ133" i="49"/>
  <c r="R133" i="49"/>
  <c r="O133" i="49"/>
  <c r="F133" i="49"/>
  <c r="AG133" i="49"/>
  <c r="Y133" i="49"/>
  <c r="J133" i="49"/>
  <c r="E133" i="49"/>
  <c r="AI133" i="49"/>
  <c r="U133" i="49"/>
  <c r="Q133" i="49"/>
  <c r="H133" i="49"/>
  <c r="M133" i="49"/>
  <c r="N133" i="49"/>
  <c r="AD133" i="49"/>
  <c r="P133" i="49"/>
  <c r="G133" i="49"/>
  <c r="Z133" i="49"/>
  <c r="AF133" i="49"/>
  <c r="D85" i="49"/>
  <c r="J84" i="53"/>
  <c r="AM48" i="49"/>
  <c r="AN48" i="49"/>
  <c r="AI58" i="49"/>
  <c r="AQ48" i="49"/>
  <c r="H48" i="49"/>
  <c r="AI48" i="49"/>
  <c r="AR48" i="49"/>
  <c r="AA48" i="49"/>
  <c r="S48" i="49"/>
  <c r="AB48" i="49"/>
  <c r="L48" i="49"/>
  <c r="Z48" i="49"/>
  <c r="AC48" i="49"/>
  <c r="AD48" i="49"/>
  <c r="P48" i="49"/>
  <c r="F48" i="49"/>
  <c r="AO48" i="49"/>
  <c r="AP48" i="49"/>
  <c r="AG48" i="49"/>
  <c r="N48" i="49"/>
  <c r="Y48" i="49"/>
  <c r="J48" i="49"/>
  <c r="W48" i="49"/>
  <c r="E48" i="49"/>
  <c r="AF48" i="49"/>
  <c r="AE48" i="49"/>
  <c r="R48" i="49"/>
  <c r="V48" i="49"/>
  <c r="Q48" i="49"/>
  <c r="AH48" i="49"/>
  <c r="X48" i="49"/>
  <c r="M48" i="49"/>
  <c r="T48" i="49"/>
  <c r="AK48" i="49"/>
  <c r="AJ48" i="49"/>
  <c r="U48" i="49"/>
  <c r="K48" i="49"/>
  <c r="O48" i="49"/>
  <c r="G48" i="49"/>
  <c r="D138" i="49"/>
  <c r="J137" i="53"/>
  <c r="D163" i="49"/>
  <c r="J102" i="53"/>
  <c r="H30" i="37"/>
  <c r="D36" i="49"/>
  <c r="J35" i="53"/>
  <c r="D107" i="49"/>
  <c r="J116" i="53"/>
  <c r="AK59" i="49"/>
  <c r="AB59" i="49"/>
  <c r="AP59" i="49"/>
  <c r="AR59" i="49"/>
  <c r="AA59" i="49"/>
  <c r="G59" i="49"/>
  <c r="J59" i="49"/>
  <c r="U59" i="49"/>
  <c r="AG59" i="49"/>
  <c r="Y59" i="49"/>
  <c r="R59" i="49"/>
  <c r="AQ59" i="49"/>
  <c r="F59" i="49"/>
  <c r="AO59" i="49"/>
  <c r="T59" i="49"/>
  <c r="S59" i="49"/>
  <c r="V59" i="49"/>
  <c r="X59" i="49"/>
  <c r="I59" i="49"/>
  <c r="M59" i="49"/>
  <c r="L59" i="49"/>
  <c r="AM59" i="49"/>
  <c r="AN59" i="49"/>
  <c r="P59" i="49"/>
  <c r="N59" i="49"/>
  <c r="AD59" i="49"/>
  <c r="O59" i="49"/>
  <c r="K59" i="49"/>
  <c r="AC59" i="49"/>
  <c r="Q59" i="49"/>
  <c r="E59" i="49"/>
  <c r="W59" i="49"/>
  <c r="H59" i="49"/>
  <c r="AJ59" i="49"/>
  <c r="AE59" i="49"/>
  <c r="Z59" i="49"/>
  <c r="AH59" i="49"/>
  <c r="AP103" i="49"/>
  <c r="AN103" i="49"/>
  <c r="AH103" i="49"/>
  <c r="AG103" i="49"/>
  <c r="AM103" i="49"/>
  <c r="AI103" i="49"/>
  <c r="I103" i="49"/>
  <c r="O103" i="49"/>
  <c r="R103" i="49"/>
  <c r="L103" i="49"/>
  <c r="H103" i="49"/>
  <c r="N103" i="49"/>
  <c r="P103" i="49"/>
  <c r="AO103" i="49"/>
  <c r="U103" i="49"/>
  <c r="AB103" i="49"/>
  <c r="AK103" i="49"/>
  <c r="X103" i="49"/>
  <c r="K103" i="49"/>
  <c r="T103" i="49"/>
  <c r="Y103" i="49"/>
  <c r="J103" i="49"/>
  <c r="AJ103" i="49"/>
  <c r="AA103" i="49"/>
  <c r="Z103" i="49"/>
  <c r="Q103" i="49"/>
  <c r="V103" i="49"/>
  <c r="F103" i="49"/>
  <c r="AD103" i="49"/>
  <c r="AE103" i="49"/>
  <c r="G103" i="49"/>
  <c r="M103" i="49"/>
  <c r="AF103" i="49"/>
  <c r="AC103" i="49"/>
  <c r="S103" i="49"/>
  <c r="W103" i="49"/>
  <c r="E103" i="49"/>
  <c r="AJ151" i="49"/>
  <c r="H151" i="49"/>
  <c r="R151" i="49"/>
  <c r="N151" i="49"/>
  <c r="AF151" i="49"/>
  <c r="AA151" i="49"/>
  <c r="T151" i="49"/>
  <c r="J151" i="49"/>
  <c r="W151" i="49"/>
  <c r="AG151" i="49"/>
  <c r="AC151" i="49"/>
  <c r="AK151" i="49"/>
  <c r="M151" i="49"/>
  <c r="AI151" i="49"/>
  <c r="F151" i="49"/>
  <c r="G151" i="49"/>
  <c r="V151" i="49"/>
  <c r="Y151" i="49"/>
  <c r="I151" i="49"/>
  <c r="AM151" i="49" s="1"/>
  <c r="E151" i="49"/>
  <c r="O151" i="49"/>
  <c r="AB151" i="49"/>
  <c r="U151" i="49"/>
  <c r="AE151" i="49"/>
  <c r="L151" i="49"/>
  <c r="AD151" i="49"/>
  <c r="AO151" i="49"/>
  <c r="AH151" i="49"/>
  <c r="AP151" i="49"/>
  <c r="K151" i="49"/>
  <c r="S151" i="49"/>
  <c r="P151" i="49"/>
  <c r="Q151" i="49"/>
  <c r="Z151" i="49"/>
  <c r="X151" i="49"/>
  <c r="D112" i="49"/>
  <c r="J121" i="53"/>
  <c r="J120" i="53"/>
  <c r="D111" i="49"/>
  <c r="P114" i="49"/>
  <c r="AQ114" i="49"/>
  <c r="G114" i="49"/>
  <c r="AM114" i="49"/>
  <c r="AR114" i="49"/>
  <c r="H114" i="49"/>
  <c r="AC114" i="49"/>
  <c r="R114" i="49"/>
  <c r="AP114" i="49"/>
  <c r="V114" i="49"/>
  <c r="AI114" i="49"/>
  <c r="AA114" i="49"/>
  <c r="AE114" i="49"/>
  <c r="S114" i="49"/>
  <c r="AK114" i="49"/>
  <c r="AN114" i="49"/>
  <c r="O114" i="49"/>
  <c r="N114" i="49"/>
  <c r="Z114" i="49"/>
  <c r="AG114" i="49"/>
  <c r="AB114" i="49"/>
  <c r="AD114" i="49"/>
  <c r="I114" i="49"/>
  <c r="K114" i="49"/>
  <c r="T114" i="49"/>
  <c r="U114" i="49"/>
  <c r="L114" i="49"/>
  <c r="J114" i="49"/>
  <c r="Y114" i="49"/>
  <c r="AJ114" i="49"/>
  <c r="AH114" i="49"/>
  <c r="F114" i="49"/>
  <c r="AO114" i="49" s="1"/>
  <c r="M114" i="49"/>
  <c r="E114" i="49"/>
  <c r="W114" i="49"/>
  <c r="Q114" i="49"/>
  <c r="X114" i="49"/>
  <c r="AQ21" i="49"/>
  <c r="AL21" i="49"/>
  <c r="AP21" i="49"/>
  <c r="AM21" i="49"/>
  <c r="AN21" i="49"/>
  <c r="AR21" i="49"/>
  <c r="Q21" i="49"/>
  <c r="G21" i="49"/>
  <c r="I21" i="49"/>
  <c r="R21" i="49"/>
  <c r="K21" i="49"/>
  <c r="S21" i="49"/>
  <c r="P21" i="49"/>
  <c r="J21" i="49"/>
  <c r="N21" i="49"/>
  <c r="F21" i="49"/>
  <c r="AO21" i="49" s="1"/>
  <c r="T21" i="49"/>
  <c r="U21" i="49"/>
  <c r="H21" i="49"/>
  <c r="L21" i="49"/>
  <c r="M21" i="49"/>
  <c r="E21" i="49"/>
  <c r="J159" i="53"/>
  <c r="D150" i="49"/>
  <c r="J106" i="53"/>
  <c r="D167" i="49"/>
  <c r="AR69" i="49"/>
  <c r="AP69" i="49"/>
  <c r="Y69" i="49"/>
  <c r="AM69" i="49"/>
  <c r="AN69" i="49"/>
  <c r="I69" i="49"/>
  <c r="Z69" i="49"/>
  <c r="O69" i="49"/>
  <c r="AE69" i="49"/>
  <c r="G69" i="49"/>
  <c r="AG69" i="49"/>
  <c r="M69" i="49"/>
  <c r="E69" i="49"/>
  <c r="L69" i="49"/>
  <c r="AJ69" i="49"/>
  <c r="Q69" i="49"/>
  <c r="N69" i="49"/>
  <c r="J69" i="49"/>
  <c r="S69" i="49"/>
  <c r="AB69" i="49"/>
  <c r="AK69" i="49"/>
  <c r="T69" i="49"/>
  <c r="H69" i="49"/>
  <c r="AI69" i="49"/>
  <c r="U69" i="49"/>
  <c r="W69" i="49"/>
  <c r="AC69" i="49"/>
  <c r="K69" i="49"/>
  <c r="AH69" i="49"/>
  <c r="AA69" i="49"/>
  <c r="R69" i="49"/>
  <c r="F69" i="49"/>
  <c r="AO69" i="49" s="1"/>
  <c r="P70" i="49"/>
  <c r="V69" i="49"/>
  <c r="AD69" i="49"/>
  <c r="J19" i="53"/>
  <c r="K19" i="53" s="1"/>
  <c r="D20" i="49"/>
  <c r="P66" i="49"/>
  <c r="AR65" i="49"/>
  <c r="Y65" i="49"/>
  <c r="T65" i="49"/>
  <c r="AI65" i="49"/>
  <c r="AM65" i="49"/>
  <c r="S65" i="49"/>
  <c r="V65" i="49"/>
  <c r="M65" i="49"/>
  <c r="L65" i="49"/>
  <c r="K65" i="49"/>
  <c r="AN65" i="49"/>
  <c r="AB65" i="49"/>
  <c r="U65" i="49"/>
  <c r="AP65" i="49"/>
  <c r="AE65" i="49"/>
  <c r="H65" i="49"/>
  <c r="AA65" i="49"/>
  <c r="J65" i="49"/>
  <c r="O65" i="49"/>
  <c r="E65" i="49"/>
  <c r="F65" i="49"/>
  <c r="R65" i="49"/>
  <c r="Q65" i="49"/>
  <c r="AK65" i="49"/>
  <c r="I65" i="49"/>
  <c r="AG65" i="49"/>
  <c r="G65" i="49"/>
  <c r="AC65" i="49"/>
  <c r="AO65" i="49"/>
  <c r="AD65" i="49"/>
  <c r="AJ65" i="49"/>
  <c r="W65" i="49"/>
  <c r="Z65" i="49"/>
  <c r="N65" i="49"/>
  <c r="AH65" i="49"/>
  <c r="AP108" i="49"/>
  <c r="AM108" i="49"/>
  <c r="AN108" i="49"/>
  <c r="X108" i="49"/>
  <c r="AB108" i="49"/>
  <c r="AG108" i="49"/>
  <c r="AI108" i="49"/>
  <c r="M108" i="49"/>
  <c r="I108" i="49"/>
  <c r="S108" i="49"/>
  <c r="AA108" i="49"/>
  <c r="W108" i="49"/>
  <c r="AE108" i="49"/>
  <c r="E108" i="49"/>
  <c r="U108" i="49"/>
  <c r="J108" i="49"/>
  <c r="AF108" i="49"/>
  <c r="AO108" i="49"/>
  <c r="Z108" i="49"/>
  <c r="L108" i="49"/>
  <c r="H108" i="49"/>
  <c r="O108" i="49"/>
  <c r="AD108" i="49"/>
  <c r="Q108" i="49"/>
  <c r="K108" i="49"/>
  <c r="P108" i="49"/>
  <c r="AC108" i="49"/>
  <c r="G108" i="49"/>
  <c r="T108" i="49"/>
  <c r="AH108" i="49"/>
  <c r="F108" i="49"/>
  <c r="AJ108" i="49"/>
  <c r="V108" i="49"/>
  <c r="N108" i="49"/>
  <c r="Y108" i="49"/>
  <c r="R108" i="49"/>
  <c r="AK108" i="49"/>
  <c r="J27" i="53"/>
  <c r="K27" i="53" s="1"/>
  <c r="D28" i="49"/>
  <c r="J150" i="53"/>
  <c r="D131" i="49"/>
  <c r="I95" i="49"/>
  <c r="AM95" i="49"/>
  <c r="AN95" i="49"/>
  <c r="AP95" i="49"/>
  <c r="H95" i="49"/>
  <c r="G95" i="49"/>
  <c r="E95" i="49"/>
  <c r="R95" i="49"/>
  <c r="Q95" i="49"/>
  <c r="AH95" i="49"/>
  <c r="AC95" i="49"/>
  <c r="AB95" i="49"/>
  <c r="J95" i="49"/>
  <c r="AD95" i="49"/>
  <c r="AK95" i="49"/>
  <c r="P95" i="49"/>
  <c r="AG95" i="49"/>
  <c r="M95" i="49"/>
  <c r="AA95" i="49"/>
  <c r="Z95" i="49"/>
  <c r="AJ95" i="49"/>
  <c r="K95" i="49"/>
  <c r="S95" i="49"/>
  <c r="T95" i="49"/>
  <c r="AI95" i="49"/>
  <c r="O95" i="49"/>
  <c r="V95" i="49"/>
  <c r="F95" i="49"/>
  <c r="AO95" i="49" s="1"/>
  <c r="AE95" i="49"/>
  <c r="N95" i="49"/>
  <c r="U95" i="49"/>
  <c r="Y95" i="49"/>
  <c r="X95" i="49"/>
  <c r="L95" i="49"/>
  <c r="W95" i="49"/>
  <c r="AM123" i="49"/>
  <c r="I123" i="49"/>
  <c r="AC123" i="49"/>
  <c r="G123" i="49"/>
  <c r="AB123" i="49"/>
  <c r="S123" i="49"/>
  <c r="AD123" i="49"/>
  <c r="V123" i="49"/>
  <c r="AJ123" i="49"/>
  <c r="F123" i="49"/>
  <c r="AG123" i="49"/>
  <c r="AO123" i="49"/>
  <c r="E123" i="49"/>
  <c r="T123" i="49"/>
  <c r="L123" i="49"/>
  <c r="H123" i="49"/>
  <c r="O123" i="49"/>
  <c r="AK123" i="49"/>
  <c r="N123" i="49"/>
  <c r="P123" i="49"/>
  <c r="AN123" i="49"/>
  <c r="U123" i="49"/>
  <c r="AF123" i="49"/>
  <c r="J123" i="49"/>
  <c r="AP123" i="49"/>
  <c r="Y123" i="49"/>
  <c r="K123" i="49"/>
  <c r="Z123" i="49"/>
  <c r="AI123" i="49"/>
  <c r="AH123" i="49"/>
  <c r="R123" i="49"/>
  <c r="AE123" i="49"/>
  <c r="X123" i="49"/>
  <c r="W123" i="49"/>
  <c r="M123" i="49"/>
  <c r="Q123" i="49"/>
  <c r="D17" i="52"/>
  <c r="E13" i="52"/>
  <c r="E14" i="52" s="1"/>
  <c r="D21" i="52" s="1"/>
  <c r="J170" i="53"/>
  <c r="D161" i="49"/>
  <c r="AP137" i="49"/>
  <c r="N137" i="49"/>
  <c r="L137" i="49"/>
  <c r="E137" i="49"/>
  <c r="AG137" i="49"/>
  <c r="M137" i="49"/>
  <c r="V137" i="49"/>
  <c r="AA137" i="49"/>
  <c r="W137" i="49"/>
  <c r="AE137" i="49"/>
  <c r="R137" i="49"/>
  <c r="Z137" i="49"/>
  <c r="AD137" i="49"/>
  <c r="X137" i="49"/>
  <c r="AK137" i="49"/>
  <c r="S137" i="49"/>
  <c r="F137" i="49"/>
  <c r="AO137" i="49" s="1"/>
  <c r="J137" i="49"/>
  <c r="AF137" i="49"/>
  <c r="Q137" i="49"/>
  <c r="AJ137" i="49"/>
  <c r="AB137" i="49"/>
  <c r="AH137" i="49"/>
  <c r="O137" i="49"/>
  <c r="K137" i="49"/>
  <c r="T137" i="49"/>
  <c r="I137" i="49"/>
  <c r="AM137" i="49" s="1"/>
  <c r="AC137" i="49"/>
  <c r="H137" i="49"/>
  <c r="Y137" i="49"/>
  <c r="U137" i="49"/>
  <c r="P137" i="49"/>
  <c r="G137" i="49"/>
  <c r="AI137" i="49"/>
  <c r="J13" i="53"/>
  <c r="K13" i="53" s="1"/>
  <c r="D14" i="49"/>
  <c r="AP134" i="49"/>
  <c r="Z134" i="49"/>
  <c r="G134" i="49"/>
  <c r="R134" i="49"/>
  <c r="T134" i="49"/>
  <c r="I134" i="49"/>
  <c r="AM134" i="49" s="1"/>
  <c r="M134" i="49"/>
  <c r="AA134" i="49"/>
  <c r="U134" i="49"/>
  <c r="AE134" i="49"/>
  <c r="AF134" i="49"/>
  <c r="AH134" i="49"/>
  <c r="V134" i="49"/>
  <c r="Q134" i="49"/>
  <c r="O134" i="49"/>
  <c r="X134" i="49"/>
  <c r="AG134" i="49"/>
  <c r="Y134" i="49"/>
  <c r="J134" i="49"/>
  <c r="AD134" i="49"/>
  <c r="AI134" i="49"/>
  <c r="P134" i="49"/>
  <c r="E134" i="49"/>
  <c r="L134" i="49"/>
  <c r="F134" i="49"/>
  <c r="AK134" i="49"/>
  <c r="AO134" i="49"/>
  <c r="AJ134" i="49"/>
  <c r="AB134" i="49"/>
  <c r="K134" i="49"/>
  <c r="AC134" i="49"/>
  <c r="W134" i="49"/>
  <c r="N134" i="49"/>
  <c r="H134" i="49"/>
  <c r="S134" i="49"/>
  <c r="AP46" i="49"/>
  <c r="AQ46" i="49"/>
  <c r="AI46" i="49"/>
  <c r="AI56" i="49"/>
  <c r="AF46" i="49"/>
  <c r="T46" i="49"/>
  <c r="K46" i="49"/>
  <c r="W46" i="49"/>
  <c r="R46" i="49"/>
  <c r="Q46" i="49"/>
  <c r="AB46" i="49"/>
  <c r="AO46" i="49"/>
  <c r="AG46" i="49"/>
  <c r="AJ46" i="49"/>
  <c r="AD46" i="49"/>
  <c r="N46" i="49"/>
  <c r="AE46" i="49"/>
  <c r="E46" i="49"/>
  <c r="M46" i="49"/>
  <c r="V46" i="49"/>
  <c r="J46" i="49"/>
  <c r="P46" i="49"/>
  <c r="Z46" i="49"/>
  <c r="AR46" i="49"/>
  <c r="G46" i="49"/>
  <c r="AC46" i="49"/>
  <c r="F46" i="49"/>
  <c r="AM46" i="49"/>
  <c r="AN46" i="49"/>
  <c r="S46" i="49"/>
  <c r="X46" i="49"/>
  <c r="O46" i="49"/>
  <c r="U46" i="49"/>
  <c r="AK46" i="49"/>
  <c r="AH46" i="49"/>
  <c r="L46" i="49"/>
  <c r="AA46" i="49"/>
  <c r="H46" i="49"/>
  <c r="Y46" i="49"/>
  <c r="AP75" i="49"/>
  <c r="AM75" i="49"/>
  <c r="AD75" i="49"/>
  <c r="AE75" i="49"/>
  <c r="AH75" i="49"/>
  <c r="J75" i="49"/>
  <c r="AC75" i="49"/>
  <c r="Z75" i="49"/>
  <c r="H75" i="49"/>
  <c r="M75" i="49"/>
  <c r="AA75" i="49"/>
  <c r="Y75" i="49"/>
  <c r="AN75" i="49"/>
  <c r="N75" i="49"/>
  <c r="I75" i="49"/>
  <c r="V75" i="49"/>
  <c r="K75" i="49"/>
  <c r="L75" i="49"/>
  <c r="T75" i="49"/>
  <c r="G75" i="49"/>
  <c r="W75" i="49"/>
  <c r="S75" i="49"/>
  <c r="O75" i="49"/>
  <c r="AI75" i="49"/>
  <c r="E75" i="49"/>
  <c r="AJ75" i="49"/>
  <c r="F75" i="49"/>
  <c r="AO75" i="49"/>
  <c r="P75" i="49"/>
  <c r="R75" i="49"/>
  <c r="Q75" i="49"/>
  <c r="U75" i="49"/>
  <c r="AK75" i="49"/>
  <c r="X75" i="49"/>
  <c r="AB75" i="49"/>
  <c r="AG75" i="49"/>
  <c r="AK166" i="49"/>
  <c r="AD166" i="49"/>
  <c r="Y166" i="49"/>
  <c r="P166" i="49"/>
  <c r="W166" i="49"/>
  <c r="M166" i="49"/>
  <c r="O166" i="49"/>
  <c r="K166" i="49"/>
  <c r="R166" i="49"/>
  <c r="AH166" i="49"/>
  <c r="AF166" i="49"/>
  <c r="AB166" i="49"/>
  <c r="AI166" i="49"/>
  <c r="L166" i="49"/>
  <c r="Z166" i="49"/>
  <c r="H166" i="49"/>
  <c r="N166" i="49"/>
  <c r="AJ166" i="49"/>
  <c r="S166" i="49"/>
  <c r="E166" i="49"/>
  <c r="U166" i="49"/>
  <c r="AP166" i="49"/>
  <c r="T166" i="49"/>
  <c r="F166" i="49"/>
  <c r="AO166" i="49" s="1"/>
  <c r="I166" i="49"/>
  <c r="AM166" i="49" s="1"/>
  <c r="J166" i="49"/>
  <c r="V166" i="49"/>
  <c r="AC166" i="49"/>
  <c r="AG166" i="49"/>
  <c r="AE166" i="49"/>
  <c r="X166" i="49"/>
  <c r="Q166" i="49"/>
  <c r="G166" i="49"/>
  <c r="AR113" i="49"/>
  <c r="P113" i="49"/>
  <c r="AQ113" i="49"/>
  <c r="AM113" i="49"/>
  <c r="AI113" i="49"/>
  <c r="AB113" i="49"/>
  <c r="V113" i="49"/>
  <c r="AC113" i="49"/>
  <c r="Q113" i="49"/>
  <c r="N113" i="49"/>
  <c r="X113" i="49"/>
  <c r="AG113" i="49"/>
  <c r="AN113" i="49"/>
  <c r="E113" i="49"/>
  <c r="Z113" i="49"/>
  <c r="M113" i="49"/>
  <c r="AP113" i="49"/>
  <c r="AJ113" i="49"/>
  <c r="Y113" i="49"/>
  <c r="S113" i="49"/>
  <c r="AK113" i="49"/>
  <c r="AA113" i="49"/>
  <c r="AE113" i="49"/>
  <c r="H113" i="49"/>
  <c r="T113" i="49"/>
  <c r="G113" i="49"/>
  <c r="I113" i="49"/>
  <c r="K113" i="49"/>
  <c r="U113" i="49"/>
  <c r="R113" i="49"/>
  <c r="W113" i="49"/>
  <c r="F113" i="49"/>
  <c r="AH113" i="49"/>
  <c r="J113" i="49"/>
  <c r="L113" i="49"/>
  <c r="AD113" i="49"/>
  <c r="O113" i="49"/>
  <c r="AO113" i="49"/>
  <c r="J155" i="53"/>
  <c r="D146" i="49"/>
  <c r="AN119" i="49"/>
  <c r="AQ119" i="49"/>
  <c r="AR119" i="49"/>
  <c r="AM119" i="49"/>
  <c r="P119" i="49"/>
  <c r="AI119" i="49"/>
  <c r="AP119" i="49"/>
  <c r="X119" i="49"/>
  <c r="F119" i="49"/>
  <c r="AO119" i="49" s="1"/>
  <c r="AB119" i="49"/>
  <c r="I119" i="49"/>
  <c r="M119" i="49"/>
  <c r="AC119" i="49"/>
  <c r="Y119" i="49"/>
  <c r="R119" i="49"/>
  <c r="AK119" i="49"/>
  <c r="AH119" i="49"/>
  <c r="G119" i="49"/>
  <c r="AE119" i="49"/>
  <c r="H119" i="49"/>
  <c r="S119" i="49"/>
  <c r="O119" i="49"/>
  <c r="K119" i="49"/>
  <c r="L119" i="49"/>
  <c r="AG119" i="49"/>
  <c r="J119" i="49"/>
  <c r="AD119" i="49"/>
  <c r="E119" i="49"/>
  <c r="V119" i="49"/>
  <c r="AJ119" i="49"/>
  <c r="N119" i="49"/>
  <c r="W119" i="49"/>
  <c r="Z119" i="49"/>
  <c r="AA119" i="49"/>
  <c r="T119" i="49"/>
  <c r="U119" i="49"/>
  <c r="Q119" i="49"/>
  <c r="I106" i="49"/>
  <c r="AM106" i="49"/>
  <c r="AN106" i="49"/>
  <c r="AI106" i="49"/>
  <c r="AP106" i="49"/>
  <c r="AH106" i="49"/>
  <c r="J106" i="49"/>
  <c r="K106" i="49"/>
  <c r="L106" i="49"/>
  <c r="U106" i="49"/>
  <c r="P106" i="49"/>
  <c r="Z106" i="49"/>
  <c r="AG106" i="49"/>
  <c r="AD106" i="49"/>
  <c r="AE106" i="49"/>
  <c r="V106" i="49"/>
  <c r="AA106" i="49"/>
  <c r="AB106" i="49"/>
  <c r="M106" i="49"/>
  <c r="X106" i="49"/>
  <c r="Q106" i="49"/>
  <c r="AC106" i="49"/>
  <c r="AF106" i="49"/>
  <c r="E106" i="49"/>
  <c r="F106" i="49"/>
  <c r="AO106" i="49" s="1"/>
  <c r="H106" i="49"/>
  <c r="R106" i="49"/>
  <c r="S106" i="49"/>
  <c r="AJ106" i="49"/>
  <c r="N106" i="49"/>
  <c r="Y106" i="49"/>
  <c r="O106" i="49"/>
  <c r="W106" i="49"/>
  <c r="T106" i="49"/>
  <c r="G106" i="49"/>
  <c r="AK106" i="49"/>
  <c r="D62" i="49"/>
  <c r="J61" i="53"/>
  <c r="D60" i="49"/>
  <c r="J59" i="53"/>
  <c r="AN18" i="49"/>
  <c r="I18" i="49"/>
  <c r="AM18" i="49"/>
  <c r="AP18" i="49"/>
  <c r="AL18" i="49"/>
  <c r="U18" i="49"/>
  <c r="G18" i="49"/>
  <c r="M18" i="49"/>
  <c r="K18" i="49"/>
  <c r="L18" i="49"/>
  <c r="Q18" i="49"/>
  <c r="J18" i="49"/>
  <c r="AQ18" i="49"/>
  <c r="N18" i="49"/>
  <c r="AR18" i="49"/>
  <c r="S18" i="49"/>
  <c r="T18" i="49"/>
  <c r="E18" i="49"/>
  <c r="F18" i="49"/>
  <c r="AO18" i="49" s="1"/>
  <c r="P18" i="49"/>
  <c r="R18" i="49"/>
  <c r="H18" i="49"/>
  <c r="J8" i="53"/>
  <c r="K8" i="53" s="1"/>
  <c r="D9" i="49"/>
  <c r="I71" i="49"/>
  <c r="AN71" i="49"/>
  <c r="AR71" i="49"/>
  <c r="Y71" i="49"/>
  <c r="AD71" i="49"/>
  <c r="H71" i="49"/>
  <c r="E71" i="49"/>
  <c r="S71" i="49"/>
  <c r="AA71" i="49"/>
  <c r="Q71" i="49"/>
  <c r="F71" i="49"/>
  <c r="AO71" i="49"/>
  <c r="L71" i="49"/>
  <c r="J71" i="49"/>
  <c r="T71" i="49"/>
  <c r="Z71" i="49"/>
  <c r="O71" i="49"/>
  <c r="U71" i="49"/>
  <c r="W71" i="49"/>
  <c r="K71" i="49"/>
  <c r="R71" i="49"/>
  <c r="AJ71" i="49"/>
  <c r="AC71" i="49"/>
  <c r="AI71" i="49"/>
  <c r="P72" i="49"/>
  <c r="AE71" i="49"/>
  <c r="AM71" i="49"/>
  <c r="AH71" i="49"/>
  <c r="AG71" i="49"/>
  <c r="V71" i="49"/>
  <c r="AB71" i="49"/>
  <c r="N71" i="49"/>
  <c r="M71" i="49"/>
  <c r="AP71" i="49"/>
  <c r="AK71" i="49"/>
  <c r="G71" i="49"/>
  <c r="J167" i="53"/>
  <c r="D158" i="49"/>
  <c r="J3" i="53"/>
  <c r="K3" i="53" s="1"/>
  <c r="D4" i="49"/>
  <c r="H20" i="37"/>
  <c r="D170" i="49"/>
  <c r="J109" i="53"/>
  <c r="AP145" i="49"/>
  <c r="W145" i="49"/>
  <c r="Q145" i="49"/>
  <c r="K145" i="49"/>
  <c r="AC145" i="49"/>
  <c r="T145" i="49"/>
  <c r="AF145" i="49"/>
  <c r="L145" i="49"/>
  <c r="AI145" i="49"/>
  <c r="U145" i="49"/>
  <c r="Y145" i="49"/>
  <c r="O145" i="49"/>
  <c r="J145" i="49"/>
  <c r="F145" i="49"/>
  <c r="AO145" i="49"/>
  <c r="I145" i="49"/>
  <c r="AM145" i="49" s="1"/>
  <c r="Z145" i="49"/>
  <c r="AJ145" i="49"/>
  <c r="G145" i="49"/>
  <c r="AB145" i="49"/>
  <c r="M145" i="49"/>
  <c r="S145" i="49"/>
  <c r="AA145" i="49"/>
  <c r="X145" i="49"/>
  <c r="E145" i="49"/>
  <c r="R145" i="49"/>
  <c r="H145" i="49"/>
  <c r="P145" i="49"/>
  <c r="AK145" i="49"/>
  <c r="AG145" i="49"/>
  <c r="N145" i="49"/>
  <c r="V145" i="49"/>
  <c r="AE145" i="49"/>
  <c r="AD145" i="49"/>
  <c r="AH145" i="49"/>
  <c r="AN55" i="49"/>
  <c r="AR55" i="49"/>
  <c r="AQ55" i="49"/>
  <c r="I55" i="49"/>
  <c r="E55" i="49"/>
  <c r="H55" i="49"/>
  <c r="Z55" i="49"/>
  <c r="U55" i="49"/>
  <c r="G55" i="49"/>
  <c r="AM55" i="49"/>
  <c r="X55" i="49"/>
  <c r="AA55" i="49"/>
  <c r="AE55" i="49"/>
  <c r="AP55" i="49"/>
  <c r="W55" i="49"/>
  <c r="AD55" i="49"/>
  <c r="AJ55" i="49"/>
  <c r="AB55" i="49"/>
  <c r="V55" i="49"/>
  <c r="S55" i="49"/>
  <c r="L55" i="49"/>
  <c r="M55" i="49"/>
  <c r="AK55" i="49"/>
  <c r="J55" i="49"/>
  <c r="T55" i="49"/>
  <c r="N55" i="49"/>
  <c r="R55" i="49"/>
  <c r="AC55" i="49"/>
  <c r="F55" i="49"/>
  <c r="AO55" i="49" s="1"/>
  <c r="Y55" i="49"/>
  <c r="AG55" i="49"/>
  <c r="K55" i="49"/>
  <c r="O55" i="49"/>
  <c r="AH55" i="49"/>
  <c r="P55" i="49"/>
  <c r="Q55" i="49"/>
  <c r="J78" i="53"/>
  <c r="D79" i="49"/>
  <c r="D64" i="49"/>
  <c r="J63" i="53"/>
  <c r="D52" i="49"/>
  <c r="J51" i="53"/>
  <c r="D19" i="49"/>
  <c r="J18" i="53"/>
  <c r="K18" i="53" s="1"/>
  <c r="D40" i="49"/>
  <c r="J39" i="53"/>
  <c r="H27" i="37"/>
  <c r="J73" i="53"/>
  <c r="D74" i="49"/>
  <c r="J57" i="53"/>
  <c r="D58" i="49"/>
  <c r="J126" i="53"/>
  <c r="D117" i="49"/>
  <c r="D102" i="49"/>
  <c r="J101" i="53"/>
  <c r="AM73" i="49"/>
  <c r="I73" i="49"/>
  <c r="AC73" i="49"/>
  <c r="E73" i="49"/>
  <c r="AN73" i="49"/>
  <c r="AD73" i="49"/>
  <c r="M73" i="49"/>
  <c r="W73" i="49"/>
  <c r="K73" i="49"/>
  <c r="Q73" i="49"/>
  <c r="T73" i="49"/>
  <c r="V73" i="49"/>
  <c r="AP73" i="49"/>
  <c r="O73" i="49"/>
  <c r="X73" i="49"/>
  <c r="Z73" i="49"/>
  <c r="AG73" i="49"/>
  <c r="P73" i="49"/>
  <c r="H73" i="49"/>
  <c r="AJ73" i="49"/>
  <c r="AK73" i="49"/>
  <c r="AI73" i="49"/>
  <c r="U73" i="49"/>
  <c r="G73" i="49"/>
  <c r="AE73" i="49"/>
  <c r="Y73" i="49"/>
  <c r="F73" i="49"/>
  <c r="AA73" i="49"/>
  <c r="R73" i="49"/>
  <c r="AB73" i="49"/>
  <c r="AO73" i="49"/>
  <c r="AH73" i="49"/>
  <c r="J73" i="49"/>
  <c r="S73" i="49"/>
  <c r="N73" i="49"/>
  <c r="L73" i="49"/>
  <c r="AQ24" i="49"/>
  <c r="I24" i="49"/>
  <c r="AR24" i="49"/>
  <c r="AM24" i="49"/>
  <c r="Q24" i="49"/>
  <c r="AN24" i="49"/>
  <c r="AP24" i="49"/>
  <c r="L24" i="49"/>
  <c r="O24" i="49"/>
  <c r="AK24" i="49"/>
  <c r="Y24" i="49"/>
  <c r="U24" i="49"/>
  <c r="AF24" i="49"/>
  <c r="P24" i="49"/>
  <c r="F24" i="49"/>
  <c r="AO24" i="49" s="1"/>
  <c r="R24" i="49"/>
  <c r="AG24" i="49"/>
  <c r="AJ24" i="49"/>
  <c r="N24" i="49"/>
  <c r="E24" i="49"/>
  <c r="W24" i="49"/>
  <c r="AH24" i="49"/>
  <c r="AE24" i="49"/>
  <c r="S24" i="49"/>
  <c r="AA24" i="49"/>
  <c r="T24" i="49"/>
  <c r="M24" i="49"/>
  <c r="Z24" i="49"/>
  <c r="X24" i="49"/>
  <c r="AD24" i="49"/>
  <c r="AC24" i="49"/>
  <c r="J24" i="49"/>
  <c r="G24" i="49"/>
  <c r="AI24" i="49"/>
  <c r="H24" i="49"/>
  <c r="V24" i="49"/>
  <c r="AB24" i="49"/>
  <c r="K24" i="49"/>
  <c r="J149" i="53"/>
  <c r="D130" i="49"/>
  <c r="D7" i="49"/>
  <c r="J6" i="53"/>
  <c r="K6" i="53" s="1"/>
  <c r="J135" i="53"/>
  <c r="D136" i="49"/>
  <c r="AP51" i="49"/>
  <c r="AN51" i="49"/>
  <c r="H51" i="49"/>
  <c r="AR51" i="49"/>
  <c r="AI51" i="49"/>
  <c r="AJ51" i="49"/>
  <c r="AG51" i="49"/>
  <c r="AK51" i="49"/>
  <c r="V51" i="49"/>
  <c r="Q51" i="49"/>
  <c r="AH51" i="49"/>
  <c r="P51" i="49"/>
  <c r="K51" i="49"/>
  <c r="X51" i="49"/>
  <c r="E51" i="49"/>
  <c r="J51" i="49"/>
  <c r="AC51" i="49"/>
  <c r="F51" i="49"/>
  <c r="AI61" i="49"/>
  <c r="R51" i="49"/>
  <c r="W51" i="49"/>
  <c r="S51" i="49"/>
  <c r="O51" i="49"/>
  <c r="AO51" i="49"/>
  <c r="M51" i="49"/>
  <c r="AE51" i="49"/>
  <c r="AD51" i="49"/>
  <c r="L51" i="49"/>
  <c r="N51" i="49"/>
  <c r="T51" i="49"/>
  <c r="AF51" i="49"/>
  <c r="Z51" i="49"/>
  <c r="U51" i="49"/>
  <c r="AM51" i="49"/>
  <c r="AB51" i="49"/>
  <c r="G51" i="49"/>
  <c r="AQ51" i="49"/>
  <c r="AA51" i="49"/>
  <c r="Y51" i="49"/>
  <c r="J161" i="53"/>
  <c r="D152" i="49"/>
  <c r="J158" i="53"/>
  <c r="D149" i="49"/>
  <c r="AM77" i="49"/>
  <c r="I77" i="49"/>
  <c r="AN77" i="49"/>
  <c r="AB77" i="49"/>
  <c r="J77" i="49"/>
  <c r="AC77" i="49"/>
  <c r="AE77" i="49"/>
  <c r="H77" i="49"/>
  <c r="AJ77" i="49"/>
  <c r="N77" i="49"/>
  <c r="AH77" i="49"/>
  <c r="K77" i="49"/>
  <c r="V77" i="49"/>
  <c r="Z77" i="49"/>
  <c r="X77" i="49"/>
  <c r="AK77" i="49"/>
  <c r="O77" i="49"/>
  <c r="AG77" i="49"/>
  <c r="AI77" i="49"/>
  <c r="Q77" i="49"/>
  <c r="G77" i="49"/>
  <c r="M77" i="49"/>
  <c r="AD77" i="49"/>
  <c r="R77" i="49"/>
  <c r="Y77" i="49"/>
  <c r="W77" i="49"/>
  <c r="S77" i="49"/>
  <c r="F77" i="49"/>
  <c r="AO77" i="49"/>
  <c r="P77" i="49"/>
  <c r="E77" i="49"/>
  <c r="U77" i="49"/>
  <c r="L77" i="49"/>
  <c r="AP77" i="49"/>
  <c r="T77" i="49"/>
  <c r="AA77" i="49"/>
  <c r="J52" i="53"/>
  <c r="H25" i="37"/>
  <c r="D53" i="49"/>
  <c r="AM43" i="49"/>
  <c r="AP43" i="49"/>
  <c r="AI53" i="49"/>
  <c r="AJ43" i="49"/>
  <c r="AR43" i="49"/>
  <c r="M43" i="49"/>
  <c r="G43" i="49"/>
  <c r="W43" i="49"/>
  <c r="AA43" i="49"/>
  <c r="AE43" i="49"/>
  <c r="T43" i="49"/>
  <c r="AQ43" i="49"/>
  <c r="E43" i="49"/>
  <c r="Q43" i="49"/>
  <c r="AD43" i="49"/>
  <c r="Z43" i="49"/>
  <c r="X43" i="49"/>
  <c r="AF43" i="49"/>
  <c r="F43" i="49"/>
  <c r="AK43" i="49"/>
  <c r="L43" i="49"/>
  <c r="U43" i="49"/>
  <c r="P43" i="49"/>
  <c r="AC43" i="49"/>
  <c r="K43" i="49"/>
  <c r="AN43" i="49"/>
  <c r="J43" i="49"/>
  <c r="AO43" i="49"/>
  <c r="Y43" i="49"/>
  <c r="O43" i="49"/>
  <c r="V43" i="49"/>
  <c r="AG43" i="49"/>
  <c r="AH43" i="49"/>
  <c r="S43" i="49"/>
  <c r="R43" i="49"/>
  <c r="H43" i="49"/>
  <c r="AI43" i="49"/>
  <c r="AB43" i="49"/>
  <c r="N43" i="49"/>
  <c r="J140" i="53"/>
  <c r="D141" i="49"/>
  <c r="D110" i="49"/>
  <c r="J119" i="53"/>
  <c r="D105" i="49"/>
  <c r="J114" i="53"/>
  <c r="D17" i="49"/>
  <c r="J16" i="53"/>
  <c r="K16" i="53" s="1"/>
  <c r="D34" i="49"/>
  <c r="J33" i="53"/>
  <c r="H23" i="37"/>
  <c r="H34" i="37"/>
  <c r="I124" i="49"/>
  <c r="AM124" i="49"/>
  <c r="AN124" i="49"/>
  <c r="T124" i="49"/>
  <c r="AG124" i="49"/>
  <c r="AD124" i="49"/>
  <c r="S124" i="49"/>
  <c r="AC124" i="49"/>
  <c r="L124" i="49"/>
  <c r="AJ124" i="49"/>
  <c r="Z124" i="49"/>
  <c r="Y124" i="49"/>
  <c r="O124" i="49"/>
  <c r="U124" i="49"/>
  <c r="AP124" i="49"/>
  <c r="V124" i="49"/>
  <c r="X124" i="49"/>
  <c r="AE124" i="49"/>
  <c r="J124" i="49"/>
  <c r="Q124" i="49"/>
  <c r="AF124" i="49"/>
  <c r="H124" i="49"/>
  <c r="AK124" i="49"/>
  <c r="AO124" i="49"/>
  <c r="E124" i="49"/>
  <c r="M124" i="49"/>
  <c r="K124" i="49"/>
  <c r="N124" i="49"/>
  <c r="W124" i="49"/>
  <c r="AI124" i="49"/>
  <c r="F124" i="49"/>
  <c r="P124" i="49"/>
  <c r="G124" i="49"/>
  <c r="AB124" i="49"/>
  <c r="R124" i="49"/>
  <c r="AH124" i="49"/>
  <c r="AP142" i="49"/>
  <c r="U142" i="49"/>
  <c r="F142" i="49"/>
  <c r="AO142" i="49" s="1"/>
  <c r="AF142" i="49"/>
  <c r="J142" i="49"/>
  <c r="Y142" i="49"/>
  <c r="AE142" i="49"/>
  <c r="Q142" i="49"/>
  <c r="N142" i="49"/>
  <c r="X142" i="49"/>
  <c r="AG142" i="49"/>
  <c r="AJ142" i="49"/>
  <c r="L142" i="49"/>
  <c r="O142" i="49"/>
  <c r="W142" i="49"/>
  <c r="G142" i="49"/>
  <c r="M142" i="49"/>
  <c r="Z142" i="49"/>
  <c r="AK142" i="49"/>
  <c r="P142" i="49"/>
  <c r="S142" i="49"/>
  <c r="T142" i="49"/>
  <c r="K142" i="49"/>
  <c r="I142" i="49"/>
  <c r="AM142" i="49" s="1"/>
  <c r="AB142" i="49"/>
  <c r="R142" i="49"/>
  <c r="E142" i="49"/>
  <c r="H142" i="49"/>
  <c r="AC142" i="49"/>
  <c r="AI142" i="49"/>
  <c r="AA142" i="49"/>
  <c r="AH142" i="49"/>
  <c r="AD142" i="49"/>
  <c r="V142" i="49"/>
  <c r="AP94" i="49"/>
  <c r="AN94" i="49"/>
  <c r="I94" i="49"/>
  <c r="AM94" i="49"/>
  <c r="H94" i="49"/>
  <c r="R94" i="49"/>
  <c r="Q94" i="49"/>
  <c r="AH94" i="49"/>
  <c r="AE94" i="49"/>
  <c r="X94" i="49"/>
  <c r="E94" i="49"/>
  <c r="AI94" i="49"/>
  <c r="U94" i="49"/>
  <c r="AG94" i="49"/>
  <c r="L94" i="49"/>
  <c r="Z94" i="49"/>
  <c r="J94" i="49"/>
  <c r="N94" i="49"/>
  <c r="Y94" i="49"/>
  <c r="AB94" i="49"/>
  <c r="M94" i="49"/>
  <c r="V94" i="49"/>
  <c r="AD94" i="49"/>
  <c r="AC94" i="49"/>
  <c r="AO94" i="49"/>
  <c r="F94" i="49"/>
  <c r="K94" i="49"/>
  <c r="AA94" i="49"/>
  <c r="O94" i="49"/>
  <c r="AJ94" i="49"/>
  <c r="AK94" i="49"/>
  <c r="P94" i="49"/>
  <c r="G94" i="49"/>
  <c r="S94" i="49"/>
  <c r="T94" i="49"/>
  <c r="W94" i="49"/>
  <c r="J96" i="53"/>
  <c r="D97" i="49"/>
  <c r="D148" i="49"/>
  <c r="J157" i="53"/>
  <c r="D93" i="49"/>
  <c r="J92" i="53"/>
  <c r="H29" i="37"/>
  <c r="D144" i="49"/>
  <c r="J153" i="53"/>
  <c r="J7" i="53"/>
  <c r="K7" i="53" s="1"/>
  <c r="D8" i="49"/>
  <c r="AR15" i="49"/>
  <c r="AQ15" i="49"/>
  <c r="AL15" i="49"/>
  <c r="AP15" i="49"/>
  <c r="I15" i="49"/>
  <c r="J15" i="49"/>
  <c r="R15" i="49"/>
  <c r="U15" i="49"/>
  <c r="N15" i="49"/>
  <c r="Q15" i="49"/>
  <c r="F15" i="49"/>
  <c r="AO15" i="49"/>
  <c r="K15" i="49"/>
  <c r="S15" i="49"/>
  <c r="M15" i="49"/>
  <c r="H15" i="49"/>
  <c r="AM15" i="49"/>
  <c r="P15" i="49"/>
  <c r="AN15" i="49"/>
  <c r="L15" i="49"/>
  <c r="G15" i="49"/>
  <c r="E15" i="49"/>
  <c r="T15" i="49"/>
  <c r="J37" i="53"/>
  <c r="D38" i="49"/>
  <c r="D100" i="49"/>
  <c r="J99" i="53"/>
  <c r="J107" i="53"/>
  <c r="D168" i="49"/>
  <c r="D37" i="49"/>
  <c r="J36" i="53"/>
  <c r="H24" i="37"/>
  <c r="J40" i="53"/>
  <c r="D41" i="49"/>
  <c r="J9" i="53"/>
  <c r="K9" i="53" s="1"/>
  <c r="D10" i="49"/>
  <c r="J55" i="53"/>
  <c r="D56" i="49"/>
  <c r="J156" i="53"/>
  <c r="D147" i="49"/>
  <c r="AM127" i="49"/>
  <c r="AJ127" i="49"/>
  <c r="AN127" i="49"/>
  <c r="R127" i="49"/>
  <c r="G127" i="49"/>
  <c r="N127" i="49"/>
  <c r="E127" i="49"/>
  <c r="AB127" i="49"/>
  <c r="S127" i="49"/>
  <c r="Q127" i="49"/>
  <c r="AG127" i="49"/>
  <c r="F127" i="49"/>
  <c r="J127" i="49"/>
  <c r="AO127" i="49"/>
  <c r="AC127" i="49"/>
  <c r="AI127" i="49"/>
  <c r="P127" i="49"/>
  <c r="W127" i="49"/>
  <c r="AH127" i="49"/>
  <c r="Z127" i="49"/>
  <c r="T127" i="49"/>
  <c r="AD127" i="49"/>
  <c r="AK127" i="49"/>
  <c r="AF127" i="49"/>
  <c r="K127" i="49"/>
  <c r="U127" i="49"/>
  <c r="O127" i="49"/>
  <c r="M127" i="49"/>
  <c r="H127" i="49"/>
  <c r="L127" i="49"/>
  <c r="AP127" i="49"/>
  <c r="I127" i="49"/>
  <c r="V127" i="49"/>
  <c r="Y127" i="49"/>
  <c r="AE127" i="49"/>
  <c r="X127" i="49"/>
  <c r="AR118" i="49"/>
  <c r="AQ118" i="49"/>
  <c r="AM118" i="49"/>
  <c r="AP118" i="49"/>
  <c r="AI118" i="49"/>
  <c r="N118" i="49"/>
  <c r="L118" i="49"/>
  <c r="Y118" i="49"/>
  <c r="AH118" i="49"/>
  <c r="AB118" i="49"/>
  <c r="U118" i="49"/>
  <c r="AN118" i="49"/>
  <c r="P118" i="49"/>
  <c r="AC118" i="49"/>
  <c r="Z118" i="49"/>
  <c r="V118" i="49"/>
  <c r="AA118" i="49"/>
  <c r="AE118" i="49"/>
  <c r="I118" i="49"/>
  <c r="R118" i="49"/>
  <c r="E118" i="49"/>
  <c r="W118" i="49"/>
  <c r="S118" i="49"/>
  <c r="AG118" i="49"/>
  <c r="Q118" i="49"/>
  <c r="T118" i="49"/>
  <c r="AK118" i="49"/>
  <c r="G118" i="49"/>
  <c r="AJ118" i="49"/>
  <c r="AD118" i="49"/>
  <c r="H118" i="49"/>
  <c r="X118" i="49"/>
  <c r="K118" i="49"/>
  <c r="O118" i="49"/>
  <c r="J118" i="49"/>
  <c r="F118" i="49"/>
  <c r="AO118" i="49"/>
  <c r="M118" i="49"/>
  <c r="AN25" i="49"/>
  <c r="I25" i="49"/>
  <c r="AM25" i="49"/>
  <c r="V25" i="49"/>
  <c r="K25" i="49"/>
  <c r="H25" i="49"/>
  <c r="J25" i="49"/>
  <c r="AF25" i="49"/>
  <c r="AR25" i="49"/>
  <c r="Q25" i="49"/>
  <c r="AJ25" i="49"/>
  <c r="U25" i="49"/>
  <c r="AB25" i="49"/>
  <c r="S25" i="49"/>
  <c r="W25" i="49"/>
  <c r="AP25" i="49"/>
  <c r="AH25" i="49"/>
  <c r="AC25" i="49"/>
  <c r="M25" i="49"/>
  <c r="AE25" i="49"/>
  <c r="G25" i="49"/>
  <c r="Y25" i="49"/>
  <c r="R25" i="49"/>
  <c r="T25" i="49"/>
  <c r="AK25" i="49"/>
  <c r="AQ25" i="49"/>
  <c r="E25" i="49"/>
  <c r="X25" i="49"/>
  <c r="L25" i="49"/>
  <c r="AI25" i="49"/>
  <c r="AA25" i="49"/>
  <c r="O25" i="49"/>
  <c r="N25" i="49"/>
  <c r="F25" i="49"/>
  <c r="AO25" i="49" s="1"/>
  <c r="AD25" i="49"/>
  <c r="AG25" i="49"/>
  <c r="P25" i="49"/>
  <c r="Z25" i="49"/>
  <c r="AN41" i="49" l="1"/>
  <c r="AP41" i="49"/>
  <c r="AR41" i="49"/>
  <c r="J41" i="49"/>
  <c r="K41" i="49"/>
  <c r="L41" i="49"/>
  <c r="AM41" i="49"/>
  <c r="S41" i="49"/>
  <c r="P41" i="49"/>
  <c r="X41" i="49"/>
  <c r="F41" i="49"/>
  <c r="E41" i="49"/>
  <c r="G41" i="49"/>
  <c r="AI41" i="49"/>
  <c r="Z41" i="49"/>
  <c r="AO41" i="49"/>
  <c r="AQ41" i="49"/>
  <c r="W41" i="49"/>
  <c r="H41" i="49"/>
  <c r="M41" i="49"/>
  <c r="AR70" i="49"/>
  <c r="Y70" i="49"/>
  <c r="AN70" i="49"/>
  <c r="I70" i="49"/>
  <c r="AB70" i="49"/>
  <c r="S70" i="49"/>
  <c r="AM70" i="49"/>
  <c r="V70" i="49"/>
  <c r="AK70" i="49"/>
  <c r="N70" i="49"/>
  <c r="AC70" i="49"/>
  <c r="AG70" i="49"/>
  <c r="J70" i="49"/>
  <c r="P71" i="49"/>
  <c r="T70" i="49"/>
  <c r="AD70" i="49"/>
  <c r="Z70" i="49"/>
  <c r="O70" i="49"/>
  <c r="M70" i="49"/>
  <c r="AP70" i="49"/>
  <c r="F70" i="49"/>
  <c r="AO70" i="49"/>
  <c r="G70" i="49"/>
  <c r="R70" i="49"/>
  <c r="K70" i="49"/>
  <c r="AH70" i="49"/>
  <c r="H70" i="49"/>
  <c r="Q70" i="49"/>
  <c r="E70" i="49"/>
  <c r="AA70" i="49"/>
  <c r="L70" i="49"/>
  <c r="AE70" i="49"/>
  <c r="U70" i="49"/>
  <c r="AJ70" i="49"/>
  <c r="AI70" i="49"/>
  <c r="W70" i="49"/>
  <c r="AM125" i="49"/>
  <c r="AN125" i="49"/>
  <c r="I125" i="49"/>
  <c r="AP125" i="49"/>
  <c r="AJ125" i="49"/>
  <c r="AC125" i="49"/>
  <c r="U125" i="49"/>
  <c r="P125" i="49"/>
  <c r="AG125" i="49"/>
  <c r="G125" i="49"/>
  <c r="AE125" i="49"/>
  <c r="AK125" i="49"/>
  <c r="AD125" i="49"/>
  <c r="AF125" i="49"/>
  <c r="R125" i="49"/>
  <c r="N125" i="49"/>
  <c r="H125" i="49"/>
  <c r="J125" i="49"/>
  <c r="AB125" i="49"/>
  <c r="Y125" i="49"/>
  <c r="S125" i="49"/>
  <c r="AI125" i="49"/>
  <c r="F125" i="49"/>
  <c r="AO125" i="49"/>
  <c r="L125" i="49"/>
  <c r="O125" i="49"/>
  <c r="V125" i="49"/>
  <c r="W125" i="49"/>
  <c r="E125" i="49"/>
  <c r="M125" i="49"/>
  <c r="AH125" i="49"/>
  <c r="Z125" i="49"/>
  <c r="X125" i="49"/>
  <c r="T125" i="49"/>
  <c r="K125" i="49"/>
  <c r="Q125" i="49"/>
  <c r="U165" i="49"/>
  <c r="L165" i="49"/>
  <c r="AE165" i="49"/>
  <c r="AJ165" i="49"/>
  <c r="K165" i="49"/>
  <c r="AK165" i="49"/>
  <c r="AD165" i="49"/>
  <c r="Y165" i="49"/>
  <c r="Z165" i="49"/>
  <c r="AF165" i="49"/>
  <c r="AP165" i="49"/>
  <c r="F165" i="49"/>
  <c r="AO165" i="49"/>
  <c r="M165" i="49"/>
  <c r="O165" i="49"/>
  <c r="H165" i="49"/>
  <c r="AG165" i="49"/>
  <c r="W165" i="49"/>
  <c r="AI165" i="49"/>
  <c r="X165" i="49"/>
  <c r="N165" i="49"/>
  <c r="AB165" i="49"/>
  <c r="AH165" i="49"/>
  <c r="P165" i="49"/>
  <c r="R165" i="49"/>
  <c r="AC165" i="49"/>
  <c r="J165" i="49"/>
  <c r="I165" i="49"/>
  <c r="AM165" i="49" s="1"/>
  <c r="Q165" i="49"/>
  <c r="T165" i="49"/>
  <c r="S165" i="49"/>
  <c r="V165" i="49"/>
  <c r="G165" i="49"/>
  <c r="E165" i="49"/>
  <c r="W130" i="49"/>
  <c r="X130" i="49"/>
  <c r="AI130" i="49"/>
  <c r="E130" i="49"/>
  <c r="AJ130" i="49"/>
  <c r="AE130" i="49"/>
  <c r="AH130" i="49"/>
  <c r="J130" i="49"/>
  <c r="G130" i="49"/>
  <c r="H130" i="49"/>
  <c r="AP130" i="49"/>
  <c r="M130" i="49"/>
  <c r="U130" i="49"/>
  <c r="AD130" i="49"/>
  <c r="AB130" i="49"/>
  <c r="L130" i="49"/>
  <c r="AN130" i="49"/>
  <c r="AC130" i="49"/>
  <c r="AM130" i="49"/>
  <c r="AK130" i="49"/>
  <c r="Q130" i="49"/>
  <c r="Y130" i="49"/>
  <c r="P130" i="49"/>
  <c r="N130" i="49"/>
  <c r="T130" i="49"/>
  <c r="I130" i="49"/>
  <c r="F130" i="49"/>
  <c r="AO130" i="49" s="1"/>
  <c r="Z130" i="49"/>
  <c r="S130" i="49"/>
  <c r="K130" i="49"/>
  <c r="V130" i="49"/>
  <c r="O130" i="49"/>
  <c r="R130" i="49"/>
  <c r="AG130" i="49"/>
  <c r="AF130" i="49"/>
  <c r="O164" i="49"/>
  <c r="T164" i="49"/>
  <c r="AC164" i="49"/>
  <c r="AE164" i="49"/>
  <c r="S164" i="49"/>
  <c r="R164" i="49"/>
  <c r="AF164" i="49"/>
  <c r="AI164" i="49"/>
  <c r="U164" i="49"/>
  <c r="AD164" i="49"/>
  <c r="Z164" i="49"/>
  <c r="AP164" i="49"/>
  <c r="W164" i="49"/>
  <c r="H164" i="49"/>
  <c r="X164" i="49"/>
  <c r="Y164" i="49"/>
  <c r="E164" i="49"/>
  <c r="P164" i="49"/>
  <c r="AK164" i="49"/>
  <c r="G164" i="49"/>
  <c r="I164" i="49"/>
  <c r="AM164" i="49" s="1"/>
  <c r="M164" i="49"/>
  <c r="Q164" i="49"/>
  <c r="AJ164" i="49"/>
  <c r="V164" i="49"/>
  <c r="AB164" i="49"/>
  <c r="N164" i="49"/>
  <c r="J164" i="49"/>
  <c r="K164" i="49"/>
  <c r="L164" i="49"/>
  <c r="AG164" i="49"/>
  <c r="AH164" i="49"/>
  <c r="F164" i="49"/>
  <c r="AO164" i="49" s="1"/>
  <c r="F91" i="49"/>
  <c r="AO91" i="49" s="1"/>
  <c r="Y91" i="49"/>
  <c r="E91" i="49"/>
  <c r="AM91" i="49"/>
  <c r="AC91" i="49"/>
  <c r="AG91" i="49"/>
  <c r="S91" i="49"/>
  <c r="K91" i="49"/>
  <c r="J91" i="49"/>
  <c r="V91" i="49"/>
  <c r="AN91" i="49"/>
  <c r="AH91" i="49"/>
  <c r="I91" i="49"/>
  <c r="G91" i="49"/>
  <c r="O91" i="49"/>
  <c r="T91" i="49"/>
  <c r="Q91" i="49"/>
  <c r="M91" i="49"/>
  <c r="Z91" i="49"/>
  <c r="AJ91" i="49"/>
  <c r="AP91" i="49"/>
  <c r="AB91" i="49"/>
  <c r="AA91" i="49"/>
  <c r="AI91" i="49"/>
  <c r="AK91" i="49"/>
  <c r="AD91" i="49"/>
  <c r="N91" i="49"/>
  <c r="R91" i="49"/>
  <c r="U91" i="49"/>
  <c r="W91" i="49"/>
  <c r="AE91" i="49"/>
  <c r="L91" i="49"/>
  <c r="H91" i="49"/>
  <c r="AP161" i="49"/>
  <c r="K161" i="49"/>
  <c r="AJ161" i="49"/>
  <c r="AH161" i="49"/>
  <c r="AA161" i="49"/>
  <c r="W161" i="49"/>
  <c r="E161" i="49"/>
  <c r="X161" i="49"/>
  <c r="AG161" i="49"/>
  <c r="I161" i="49"/>
  <c r="AM161" i="49" s="1"/>
  <c r="S161" i="49"/>
  <c r="Z161" i="49"/>
  <c r="Y161" i="49"/>
  <c r="Q161" i="49"/>
  <c r="AE161" i="49"/>
  <c r="L161" i="49"/>
  <c r="R161" i="49"/>
  <c r="N161" i="49"/>
  <c r="G161" i="49"/>
  <c r="U161" i="49"/>
  <c r="AK161" i="49"/>
  <c r="AC161" i="49"/>
  <c r="V161" i="49"/>
  <c r="AB161" i="49"/>
  <c r="J161" i="49"/>
  <c r="AF161" i="49"/>
  <c r="H161" i="49"/>
  <c r="T161" i="49"/>
  <c r="F161" i="49"/>
  <c r="AO161" i="49"/>
  <c r="AI161" i="49"/>
  <c r="AD161" i="49"/>
  <c r="M161" i="49"/>
  <c r="AR29" i="49"/>
  <c r="AQ29" i="49"/>
  <c r="AP29" i="49"/>
  <c r="AM29" i="49"/>
  <c r="L29" i="49"/>
  <c r="AC29" i="49"/>
  <c r="G29" i="49"/>
  <c r="F29" i="49"/>
  <c r="AO29" i="49"/>
  <c r="W29" i="49"/>
  <c r="H29" i="49"/>
  <c r="AF29" i="49"/>
  <c r="AE29" i="49"/>
  <c r="T29" i="49"/>
  <c r="AK29" i="49"/>
  <c r="Q29" i="49"/>
  <c r="U29" i="49"/>
  <c r="X29" i="49"/>
  <c r="AJ29" i="49"/>
  <c r="Z29" i="49"/>
  <c r="J29" i="49"/>
  <c r="E29" i="49"/>
  <c r="I29" i="49"/>
  <c r="AI29" i="49"/>
  <c r="O29" i="49"/>
  <c r="V29" i="49"/>
  <c r="S29" i="49"/>
  <c r="M29" i="49"/>
  <c r="K29" i="49"/>
  <c r="AA29" i="49"/>
  <c r="AB29" i="49"/>
  <c r="AN29" i="49"/>
  <c r="Y29" i="49"/>
  <c r="R29" i="49"/>
  <c r="P29" i="49"/>
  <c r="AG29" i="49"/>
  <c r="AD29" i="49"/>
  <c r="N29" i="49"/>
  <c r="AH29" i="49"/>
  <c r="O163" i="49"/>
  <c r="H163" i="49"/>
  <c r="AK163" i="49"/>
  <c r="T163" i="49"/>
  <c r="N163" i="49"/>
  <c r="R163" i="49"/>
  <c r="J163" i="49"/>
  <c r="E163" i="49"/>
  <c r="K163" i="49"/>
  <c r="AD163" i="49"/>
  <c r="AH163" i="49"/>
  <c r="U163" i="49"/>
  <c r="Q163" i="49"/>
  <c r="M163" i="49"/>
  <c r="AC163" i="49"/>
  <c r="P163" i="49"/>
  <c r="S163" i="49"/>
  <c r="F163" i="49"/>
  <c r="AO163" i="49" s="1"/>
  <c r="AE163" i="49"/>
  <c r="Y163" i="49"/>
  <c r="V163" i="49"/>
  <c r="AB163" i="49"/>
  <c r="G163" i="49"/>
  <c r="X163" i="49"/>
  <c r="AG163" i="49"/>
  <c r="L163" i="49"/>
  <c r="Z163" i="49"/>
  <c r="I163" i="49"/>
  <c r="AM163" i="49" s="1"/>
  <c r="AJ163" i="49"/>
  <c r="W163" i="49"/>
  <c r="AF163" i="49"/>
  <c r="AI163" i="49"/>
  <c r="AP163" i="49"/>
  <c r="AN85" i="49"/>
  <c r="I85" i="49"/>
  <c r="AP85" i="49"/>
  <c r="Y85" i="49"/>
  <c r="Q85" i="49"/>
  <c r="U85" i="49"/>
  <c r="S85" i="49"/>
  <c r="AI85" i="49"/>
  <c r="R85" i="49"/>
  <c r="L85" i="49"/>
  <c r="AC85" i="49"/>
  <c r="V85" i="49"/>
  <c r="F85" i="49"/>
  <c r="AO85" i="49" s="1"/>
  <c r="AE85" i="49"/>
  <c r="E85" i="49"/>
  <c r="M85" i="49"/>
  <c r="W85" i="49"/>
  <c r="AM85" i="49"/>
  <c r="AJ85" i="49"/>
  <c r="J85" i="49"/>
  <c r="H85" i="49"/>
  <c r="T85" i="49"/>
  <c r="AG85" i="49"/>
  <c r="Z85" i="49"/>
  <c r="N85" i="49"/>
  <c r="AK85" i="49"/>
  <c r="AH85" i="49"/>
  <c r="G85" i="49"/>
  <c r="AA85" i="49"/>
  <c r="O85" i="49"/>
  <c r="AB85" i="49"/>
  <c r="AD85" i="49"/>
  <c r="K85" i="49"/>
  <c r="AM102" i="49"/>
  <c r="AN102" i="49"/>
  <c r="I102" i="49"/>
  <c r="AP102" i="49"/>
  <c r="Y102" i="49"/>
  <c r="AB102" i="49"/>
  <c r="X102" i="49"/>
  <c r="N102" i="49"/>
  <c r="V102" i="49"/>
  <c r="O102" i="49"/>
  <c r="Z102" i="49"/>
  <c r="F102" i="49"/>
  <c r="M102" i="49"/>
  <c r="K102" i="49"/>
  <c r="R102" i="49"/>
  <c r="AE102" i="49"/>
  <c r="AJ102" i="49"/>
  <c r="AK102" i="49"/>
  <c r="J102" i="49"/>
  <c r="Q102" i="49"/>
  <c r="AG102" i="49"/>
  <c r="L102" i="49"/>
  <c r="AO102" i="49"/>
  <c r="AC102" i="49"/>
  <c r="AA102" i="49"/>
  <c r="T102" i="49"/>
  <c r="E102" i="49"/>
  <c r="W102" i="49"/>
  <c r="G102" i="49"/>
  <c r="AH102" i="49"/>
  <c r="AD102" i="49"/>
  <c r="P102" i="49"/>
  <c r="AI102" i="49"/>
  <c r="H102" i="49"/>
  <c r="S102" i="49"/>
  <c r="U102" i="49"/>
  <c r="AP56" i="49"/>
  <c r="AM56" i="49"/>
  <c r="AN56" i="49"/>
  <c r="I56" i="49"/>
  <c r="AR56" i="49"/>
  <c r="N56" i="49"/>
  <c r="AB56" i="49"/>
  <c r="AA56" i="49"/>
  <c r="K56" i="49"/>
  <c r="E56" i="49"/>
  <c r="Z56" i="49"/>
  <c r="Q56" i="49"/>
  <c r="O56" i="49"/>
  <c r="W56" i="49"/>
  <c r="S56" i="49"/>
  <c r="AJ56" i="49"/>
  <c r="J56" i="49"/>
  <c r="AC56" i="49"/>
  <c r="X56" i="49"/>
  <c r="AQ56" i="49"/>
  <c r="H56" i="49"/>
  <c r="P56" i="49"/>
  <c r="G56" i="49"/>
  <c r="L56" i="49"/>
  <c r="V56" i="49"/>
  <c r="F56" i="49"/>
  <c r="R56" i="49"/>
  <c r="M56" i="49"/>
  <c r="AK56" i="49"/>
  <c r="AO56" i="49"/>
  <c r="AH56" i="49"/>
  <c r="T56" i="49"/>
  <c r="AG56" i="49"/>
  <c r="AD56" i="49"/>
  <c r="AE56" i="49"/>
  <c r="Y56" i="49"/>
  <c r="U56" i="49"/>
  <c r="AN93" i="49"/>
  <c r="I93" i="49"/>
  <c r="AM93" i="49"/>
  <c r="AP93" i="49"/>
  <c r="G93" i="49"/>
  <c r="AH93" i="49"/>
  <c r="E93" i="49"/>
  <c r="AA93" i="49"/>
  <c r="J93" i="49"/>
  <c r="M93" i="49"/>
  <c r="H93" i="49"/>
  <c r="AK93" i="49"/>
  <c r="Y93" i="49"/>
  <c r="AJ93" i="49"/>
  <c r="S93" i="49"/>
  <c r="AD93" i="49"/>
  <c r="N93" i="49"/>
  <c r="AG93" i="49"/>
  <c r="K93" i="49"/>
  <c r="T93" i="49"/>
  <c r="O93" i="49"/>
  <c r="W93" i="49"/>
  <c r="F93" i="49"/>
  <c r="AO93" i="49" s="1"/>
  <c r="R93" i="49"/>
  <c r="Q93" i="49"/>
  <c r="L93" i="49"/>
  <c r="AI93" i="49"/>
  <c r="Z93" i="49"/>
  <c r="V93" i="49"/>
  <c r="U93" i="49"/>
  <c r="P93" i="49"/>
  <c r="AB93" i="49"/>
  <c r="AC93" i="49"/>
  <c r="AE93" i="49"/>
  <c r="X93" i="49"/>
  <c r="AQ117" i="49"/>
  <c r="AP117" i="49"/>
  <c r="AR117" i="49"/>
  <c r="AM117" i="49"/>
  <c r="P117" i="49"/>
  <c r="AN117" i="49"/>
  <c r="AI117" i="49"/>
  <c r="O117" i="49"/>
  <c r="AC117" i="49"/>
  <c r="AB117" i="49"/>
  <c r="Y117" i="49"/>
  <c r="V117" i="49"/>
  <c r="W117" i="49"/>
  <c r="U117" i="49"/>
  <c r="I117" i="49"/>
  <c r="AH117" i="49"/>
  <c r="T117" i="49"/>
  <c r="G117" i="49"/>
  <c r="J117" i="49"/>
  <c r="E117" i="49"/>
  <c r="AK117" i="49"/>
  <c r="Z117" i="49"/>
  <c r="AD117" i="49"/>
  <c r="AO117" i="49"/>
  <c r="AJ117" i="49"/>
  <c r="X117" i="49"/>
  <c r="H117" i="49"/>
  <c r="S117" i="49"/>
  <c r="N117" i="49"/>
  <c r="Q117" i="49"/>
  <c r="R117" i="49"/>
  <c r="M117" i="49"/>
  <c r="AG117" i="49"/>
  <c r="F117" i="49"/>
  <c r="L117" i="49"/>
  <c r="K117" i="49"/>
  <c r="AA117" i="49"/>
  <c r="AE117" i="49"/>
  <c r="AP10" i="49"/>
  <c r="AF10" i="49"/>
  <c r="F10" i="49"/>
  <c r="AO10" i="49"/>
  <c r="J10" i="49"/>
  <c r="N10" i="49"/>
  <c r="I10" i="49"/>
  <c r="AA10" i="49"/>
  <c r="K10" i="49"/>
  <c r="L10" i="49"/>
  <c r="M10" i="49"/>
  <c r="AB10" i="49"/>
  <c r="H10" i="49"/>
  <c r="E10" i="49"/>
  <c r="G10" i="49"/>
  <c r="P10" i="49"/>
  <c r="AN10" i="49"/>
  <c r="AM10" i="49"/>
  <c r="AP148" i="49"/>
  <c r="T148" i="49"/>
  <c r="V148" i="49"/>
  <c r="E148" i="49"/>
  <c r="S148" i="49"/>
  <c r="AB148" i="49"/>
  <c r="F148" i="49"/>
  <c r="AO148" i="49"/>
  <c r="J148" i="49"/>
  <c r="W148" i="49"/>
  <c r="AG148" i="49"/>
  <c r="Y148" i="49"/>
  <c r="M148" i="49"/>
  <c r="AC148" i="49"/>
  <c r="O148" i="49"/>
  <c r="L148" i="49"/>
  <c r="K148" i="49"/>
  <c r="R148" i="49"/>
  <c r="Z148" i="49"/>
  <c r="U148" i="49"/>
  <c r="N148" i="49"/>
  <c r="AH148" i="49"/>
  <c r="P148" i="49"/>
  <c r="I148" i="49"/>
  <c r="AM148" i="49" s="1"/>
  <c r="AJ148" i="49"/>
  <c r="AE148" i="49"/>
  <c r="H148" i="49"/>
  <c r="AK148" i="49"/>
  <c r="AI148" i="49"/>
  <c r="AD148" i="49"/>
  <c r="G148" i="49"/>
  <c r="Q148" i="49"/>
  <c r="AA148" i="49"/>
  <c r="AF148" i="49"/>
  <c r="X148" i="49"/>
  <c r="AP170" i="49"/>
  <c r="AC170" i="49"/>
  <c r="AD170" i="49"/>
  <c r="Q170" i="49"/>
  <c r="W170" i="49"/>
  <c r="AE170" i="49"/>
  <c r="S170" i="49"/>
  <c r="L170" i="49"/>
  <c r="I170" i="49"/>
  <c r="AM170" i="49" s="1"/>
  <c r="AK170" i="49"/>
  <c r="X170" i="49"/>
  <c r="U170" i="49"/>
  <c r="N170" i="49"/>
  <c r="H170" i="49"/>
  <c r="AG170" i="49"/>
  <c r="AF170" i="49"/>
  <c r="Y170" i="49"/>
  <c r="AJ170" i="49"/>
  <c r="G170" i="49"/>
  <c r="V170" i="49"/>
  <c r="R170" i="49"/>
  <c r="Z170" i="49"/>
  <c r="AI170" i="49"/>
  <c r="F170" i="49"/>
  <c r="K170" i="49"/>
  <c r="P170" i="49"/>
  <c r="O170" i="49"/>
  <c r="E170" i="49"/>
  <c r="T170" i="49"/>
  <c r="AH170" i="49"/>
  <c r="AB170" i="49"/>
  <c r="M170" i="49"/>
  <c r="J170" i="49"/>
  <c r="AO170" i="49"/>
  <c r="AN97" i="49"/>
  <c r="W97" i="49"/>
  <c r="AA97" i="49"/>
  <c r="U97" i="49"/>
  <c r="K97" i="49"/>
  <c r="Z97" i="49"/>
  <c r="AB97" i="49"/>
  <c r="M97" i="49"/>
  <c r="AJ97" i="49"/>
  <c r="AE97" i="49"/>
  <c r="Y97" i="49"/>
  <c r="AI97" i="49"/>
  <c r="L97" i="49"/>
  <c r="G97" i="49"/>
  <c r="AH97" i="49"/>
  <c r="O97" i="49"/>
  <c r="F97" i="49"/>
  <c r="AM97" i="49"/>
  <c r="P97" i="49"/>
  <c r="I97" i="49"/>
  <c r="H97" i="49"/>
  <c r="S97" i="49"/>
  <c r="E97" i="49"/>
  <c r="V97" i="49"/>
  <c r="AK97" i="49"/>
  <c r="R97" i="49"/>
  <c r="Q97" i="49"/>
  <c r="N97" i="49"/>
  <c r="AD97" i="49"/>
  <c r="X97" i="49"/>
  <c r="AC97" i="49"/>
  <c r="AO97" i="49"/>
  <c r="J97" i="49"/>
  <c r="AP97" i="49"/>
  <c r="T97" i="49"/>
  <c r="AG97" i="49"/>
  <c r="AM14" i="49"/>
  <c r="AN14" i="49"/>
  <c r="AR14" i="49"/>
  <c r="P14" i="49"/>
  <c r="AQ14" i="49"/>
  <c r="H14" i="49"/>
  <c r="R14" i="49"/>
  <c r="AP14" i="49"/>
  <c r="K14" i="49"/>
  <c r="U14" i="49"/>
  <c r="J14" i="49"/>
  <c r="Q14" i="49"/>
  <c r="N14" i="49"/>
  <c r="M14" i="49"/>
  <c r="E14" i="49"/>
  <c r="L14" i="49"/>
  <c r="I14" i="49"/>
  <c r="F14" i="49"/>
  <c r="AO14" i="49" s="1"/>
  <c r="S14" i="49"/>
  <c r="T14" i="49"/>
  <c r="AL14" i="49"/>
  <c r="G14" i="49"/>
  <c r="AN104" i="49"/>
  <c r="Z104" i="49"/>
  <c r="AP104" i="49"/>
  <c r="AH104" i="49"/>
  <c r="J104" i="49"/>
  <c r="AD104" i="49"/>
  <c r="W104" i="49"/>
  <c r="R104" i="49"/>
  <c r="AB104" i="49"/>
  <c r="AA104" i="49"/>
  <c r="I104" i="49"/>
  <c r="AG104" i="49"/>
  <c r="O104" i="49"/>
  <c r="G104" i="49"/>
  <c r="F104" i="49"/>
  <c r="AO104" i="49" s="1"/>
  <c r="T104" i="49"/>
  <c r="Y104" i="49"/>
  <c r="X104" i="49"/>
  <c r="H104" i="49"/>
  <c r="M104" i="49"/>
  <c r="AJ104" i="49"/>
  <c r="AC104" i="49"/>
  <c r="Q104" i="49"/>
  <c r="S104" i="49"/>
  <c r="N104" i="49"/>
  <c r="K104" i="49"/>
  <c r="L104" i="49"/>
  <c r="AK104" i="49"/>
  <c r="E104" i="49"/>
  <c r="U104" i="49"/>
  <c r="AI104" i="49"/>
  <c r="AM104" i="49"/>
  <c r="AE104" i="49"/>
  <c r="P104" i="49"/>
  <c r="AF104" i="49"/>
  <c r="V104" i="49"/>
  <c r="AP135" i="49"/>
  <c r="AJ135" i="49"/>
  <c r="J135" i="49"/>
  <c r="AH135" i="49"/>
  <c r="N135" i="49"/>
  <c r="I135" i="49"/>
  <c r="AM135" i="49" s="1"/>
  <c r="AD135" i="49"/>
  <c r="Q135" i="49"/>
  <c r="G135" i="49"/>
  <c r="H135" i="49"/>
  <c r="K135" i="49"/>
  <c r="O135" i="49"/>
  <c r="X135" i="49"/>
  <c r="S135" i="49"/>
  <c r="AA135" i="49"/>
  <c r="AG135" i="49"/>
  <c r="AE135" i="49"/>
  <c r="E135" i="49"/>
  <c r="V135" i="49"/>
  <c r="T135" i="49"/>
  <c r="L135" i="49"/>
  <c r="AK135" i="49"/>
  <c r="W135" i="49"/>
  <c r="AB135" i="49"/>
  <c r="AF135" i="49"/>
  <c r="Y135" i="49"/>
  <c r="AC135" i="49"/>
  <c r="M135" i="49"/>
  <c r="U135" i="49"/>
  <c r="F135" i="49"/>
  <c r="AO135" i="49" s="1"/>
  <c r="R135" i="49"/>
  <c r="AI135" i="49"/>
  <c r="Z135" i="49"/>
  <c r="P135" i="49"/>
  <c r="I74" i="49"/>
  <c r="AM74" i="49"/>
  <c r="AN74" i="49"/>
  <c r="AP74" i="49"/>
  <c r="H74" i="49"/>
  <c r="W74" i="49"/>
  <c r="V74" i="49"/>
  <c r="Y74" i="49"/>
  <c r="S74" i="49"/>
  <c r="Q74" i="49"/>
  <c r="T74" i="49"/>
  <c r="J74" i="49"/>
  <c r="L74" i="49"/>
  <c r="Z74" i="49"/>
  <c r="P74" i="49"/>
  <c r="X74" i="49"/>
  <c r="U74" i="49"/>
  <c r="M74" i="49"/>
  <c r="R74" i="49"/>
  <c r="AE74" i="49"/>
  <c r="AA74" i="49"/>
  <c r="G74" i="49"/>
  <c r="F74" i="49"/>
  <c r="AO74" i="49"/>
  <c r="AK74" i="49"/>
  <c r="AJ74" i="49"/>
  <c r="E74" i="49"/>
  <c r="AC74" i="49"/>
  <c r="N74" i="49"/>
  <c r="K74" i="49"/>
  <c r="AG74" i="49"/>
  <c r="O74" i="49"/>
  <c r="AH74" i="49"/>
  <c r="AI74" i="49"/>
  <c r="AD74" i="49"/>
  <c r="AB74" i="49"/>
  <c r="AF4" i="49"/>
  <c r="AN4" i="49"/>
  <c r="AP4" i="49"/>
  <c r="G4" i="49"/>
  <c r="AB4" i="49"/>
  <c r="L4" i="49"/>
  <c r="H4" i="49"/>
  <c r="F4" i="49"/>
  <c r="AO4" i="49"/>
  <c r="J4" i="49"/>
  <c r="AM4" i="49"/>
  <c r="K4" i="49"/>
  <c r="I4" i="49"/>
  <c r="AA4" i="49"/>
  <c r="N4" i="49"/>
  <c r="E4" i="49"/>
  <c r="P4" i="49"/>
  <c r="M4" i="49"/>
  <c r="AM60" i="49"/>
  <c r="AN60" i="49"/>
  <c r="AP60" i="49"/>
  <c r="I60" i="49"/>
  <c r="AR60" i="49"/>
  <c r="F60" i="49"/>
  <c r="AO60" i="49" s="1"/>
  <c r="O60" i="49"/>
  <c r="M60" i="49"/>
  <c r="AA60" i="49"/>
  <c r="AD60" i="49"/>
  <c r="U60" i="49"/>
  <c r="AQ60" i="49"/>
  <c r="T60" i="49"/>
  <c r="AG60" i="49"/>
  <c r="X60" i="49"/>
  <c r="AJ60" i="49"/>
  <c r="E60" i="49"/>
  <c r="G60" i="49"/>
  <c r="P60" i="49"/>
  <c r="L60" i="49"/>
  <c r="AE60" i="49"/>
  <c r="Y60" i="49"/>
  <c r="R60" i="49"/>
  <c r="AC60" i="49"/>
  <c r="W60" i="49"/>
  <c r="K60" i="49"/>
  <c r="AB60" i="49"/>
  <c r="AK60" i="49"/>
  <c r="J60" i="49"/>
  <c r="Z60" i="49"/>
  <c r="Q60" i="49"/>
  <c r="AH60" i="49"/>
  <c r="H60" i="49"/>
  <c r="V60" i="49"/>
  <c r="S60" i="49"/>
  <c r="N60" i="49"/>
  <c r="AR42" i="49"/>
  <c r="Z42" i="49"/>
  <c r="AN42" i="49"/>
  <c r="P42" i="49"/>
  <c r="AM42" i="49"/>
  <c r="W42" i="49"/>
  <c r="AQ42" i="49"/>
  <c r="S42" i="49"/>
  <c r="AI42" i="49"/>
  <c r="M42" i="49"/>
  <c r="X42" i="49"/>
  <c r="F42" i="49"/>
  <c r="E42" i="49"/>
  <c r="K42" i="49"/>
  <c r="AP42" i="49"/>
  <c r="AO42" i="49"/>
  <c r="L42" i="49"/>
  <c r="J42" i="49"/>
  <c r="H42" i="49"/>
  <c r="G42" i="49"/>
  <c r="AN34" i="49"/>
  <c r="W34" i="49"/>
  <c r="P34" i="49"/>
  <c r="L34" i="49"/>
  <c r="M34" i="49"/>
  <c r="AI34" i="49"/>
  <c r="G34" i="49"/>
  <c r="AP34" i="49"/>
  <c r="K34" i="49"/>
  <c r="X34" i="49"/>
  <c r="AQ34" i="49"/>
  <c r="J34" i="49"/>
  <c r="AR34" i="49"/>
  <c r="Z34" i="49"/>
  <c r="AO34" i="49"/>
  <c r="H34" i="49"/>
  <c r="AM34" i="49"/>
  <c r="F34" i="49"/>
  <c r="E34" i="49"/>
  <c r="S34" i="49"/>
  <c r="AD149" i="49"/>
  <c r="X149" i="49"/>
  <c r="J149" i="49"/>
  <c r="F149" i="49"/>
  <c r="AO149" i="49" s="1"/>
  <c r="AH149" i="49"/>
  <c r="AC149" i="49"/>
  <c r="I149" i="49"/>
  <c r="AM149" i="49" s="1"/>
  <c r="W149" i="49"/>
  <c r="E149" i="49"/>
  <c r="L149" i="49"/>
  <c r="S149" i="49"/>
  <c r="AE149" i="49"/>
  <c r="AI149" i="49"/>
  <c r="Z149" i="49"/>
  <c r="N149" i="49"/>
  <c r="AP149" i="49"/>
  <c r="M149" i="49"/>
  <c r="AF149" i="49"/>
  <c r="G149" i="49"/>
  <c r="H149" i="49"/>
  <c r="P149" i="49"/>
  <c r="AG149" i="49"/>
  <c r="AA149" i="49"/>
  <c r="AJ149" i="49"/>
  <c r="R149" i="49"/>
  <c r="Q149" i="49"/>
  <c r="AB149" i="49"/>
  <c r="Y149" i="49"/>
  <c r="AK149" i="49"/>
  <c r="U149" i="49"/>
  <c r="V149" i="49"/>
  <c r="O149" i="49"/>
  <c r="K149" i="49"/>
  <c r="T149" i="49"/>
  <c r="G136" i="49"/>
  <c r="X136" i="49"/>
  <c r="U136" i="49"/>
  <c r="AG136" i="49"/>
  <c r="Q136" i="49"/>
  <c r="AP136" i="49"/>
  <c r="H136" i="49"/>
  <c r="O136" i="49"/>
  <c r="K136" i="49"/>
  <c r="AK136" i="49"/>
  <c r="M136" i="49"/>
  <c r="AJ136" i="49"/>
  <c r="AE136" i="49"/>
  <c r="L136" i="49"/>
  <c r="J136" i="49"/>
  <c r="S136" i="49"/>
  <c r="P136" i="49"/>
  <c r="AA136" i="49"/>
  <c r="R136" i="49"/>
  <c r="W136" i="49"/>
  <c r="E136" i="49"/>
  <c r="AB136" i="49"/>
  <c r="V136" i="49"/>
  <c r="AF136" i="49"/>
  <c r="N136" i="49"/>
  <c r="AH136" i="49"/>
  <c r="F136" i="49"/>
  <c r="AO136" i="49" s="1"/>
  <c r="I136" i="49"/>
  <c r="AM136" i="49" s="1"/>
  <c r="AC136" i="49"/>
  <c r="Y136" i="49"/>
  <c r="Z136" i="49"/>
  <c r="AD136" i="49"/>
  <c r="T136" i="49"/>
  <c r="AI136" i="49"/>
  <c r="AM96" i="49"/>
  <c r="AN96" i="49"/>
  <c r="I96" i="49"/>
  <c r="AG96" i="49"/>
  <c r="O96" i="49"/>
  <c r="K96" i="49"/>
  <c r="X96" i="49"/>
  <c r="AJ96" i="49"/>
  <c r="L96" i="49"/>
  <c r="Y96" i="49"/>
  <c r="Z96" i="49"/>
  <c r="AH96" i="49"/>
  <c r="AI96" i="49"/>
  <c r="M96" i="49"/>
  <c r="AB96" i="49"/>
  <c r="AP96" i="49"/>
  <c r="W96" i="49"/>
  <c r="N96" i="49"/>
  <c r="E96" i="49"/>
  <c r="V96" i="49"/>
  <c r="P96" i="49"/>
  <c r="G96" i="49"/>
  <c r="F96" i="49"/>
  <c r="AO96" i="49" s="1"/>
  <c r="AC96" i="49"/>
  <c r="U96" i="49"/>
  <c r="T96" i="49"/>
  <c r="Q96" i="49"/>
  <c r="AD96" i="49"/>
  <c r="S96" i="49"/>
  <c r="AA96" i="49"/>
  <c r="H96" i="49"/>
  <c r="R96" i="49"/>
  <c r="AK96" i="49"/>
  <c r="AE96" i="49"/>
  <c r="J96" i="49"/>
  <c r="AA158" i="49"/>
  <c r="AJ158" i="49"/>
  <c r="AH158" i="49"/>
  <c r="M158" i="49"/>
  <c r="AF158" i="49"/>
  <c r="AE158" i="49"/>
  <c r="R158" i="49"/>
  <c r="Z158" i="49"/>
  <c r="F158" i="49"/>
  <c r="T158" i="49"/>
  <c r="AO158" i="49"/>
  <c r="X158" i="49"/>
  <c r="I158" i="49"/>
  <c r="AM158" i="49" s="1"/>
  <c r="AG158" i="49"/>
  <c r="L158" i="49"/>
  <c r="AB158" i="49"/>
  <c r="K158" i="49"/>
  <c r="AI158" i="49"/>
  <c r="AD158" i="49"/>
  <c r="AC158" i="49"/>
  <c r="Q158" i="49"/>
  <c r="U158" i="49"/>
  <c r="Y158" i="49"/>
  <c r="G158" i="49"/>
  <c r="W158" i="49"/>
  <c r="AP158" i="49"/>
  <c r="S158" i="49"/>
  <c r="E158" i="49"/>
  <c r="N158" i="49"/>
  <c r="AK158" i="49"/>
  <c r="J158" i="49"/>
  <c r="H158" i="49"/>
  <c r="V158" i="49"/>
  <c r="AQ62" i="49"/>
  <c r="AR62" i="49"/>
  <c r="AM62" i="49"/>
  <c r="G62" i="49"/>
  <c r="AC62" i="49"/>
  <c r="P62" i="49"/>
  <c r="AK62" i="49"/>
  <c r="P63" i="49"/>
  <c r="AB62" i="49"/>
  <c r="Q62" i="49"/>
  <c r="AG62" i="49"/>
  <c r="M62" i="49"/>
  <c r="L62" i="49"/>
  <c r="AJ62" i="49"/>
  <c r="AN62" i="49"/>
  <c r="Z62" i="49"/>
  <c r="E62" i="49"/>
  <c r="W62" i="49"/>
  <c r="X62" i="49"/>
  <c r="N62" i="49"/>
  <c r="R62" i="49"/>
  <c r="T62" i="49"/>
  <c r="K62" i="49"/>
  <c r="F62" i="49"/>
  <c r="AP62" i="49"/>
  <c r="AO62" i="49"/>
  <c r="AH62" i="49"/>
  <c r="AA62" i="49"/>
  <c r="S62" i="49"/>
  <c r="AE62" i="49"/>
  <c r="I62" i="49"/>
  <c r="H62" i="49"/>
  <c r="V62" i="49"/>
  <c r="J62" i="49"/>
  <c r="U62" i="49"/>
  <c r="O62" i="49"/>
  <c r="Y62" i="49"/>
  <c r="AD62" i="49"/>
  <c r="AM131" i="49"/>
  <c r="I131" i="49"/>
  <c r="AN131" i="49"/>
  <c r="AP131" i="49"/>
  <c r="AG131" i="49"/>
  <c r="M131" i="49"/>
  <c r="AH131" i="49"/>
  <c r="S131" i="49"/>
  <c r="AE131" i="49"/>
  <c r="Y131" i="49"/>
  <c r="AB131" i="49"/>
  <c r="AF131" i="49"/>
  <c r="U131" i="49"/>
  <c r="AC131" i="49"/>
  <c r="G131" i="49"/>
  <c r="V131" i="49"/>
  <c r="R131" i="49"/>
  <c r="F131" i="49"/>
  <c r="Z131" i="49"/>
  <c r="Q131" i="49"/>
  <c r="N131" i="49"/>
  <c r="AI131" i="49"/>
  <c r="AK131" i="49"/>
  <c r="T131" i="49"/>
  <c r="E131" i="49"/>
  <c r="W131" i="49"/>
  <c r="X131" i="49"/>
  <c r="L131" i="49"/>
  <c r="O131" i="49"/>
  <c r="AO131" i="49"/>
  <c r="AD131" i="49"/>
  <c r="P131" i="49"/>
  <c r="AJ131" i="49"/>
  <c r="H131" i="49"/>
  <c r="J131" i="49"/>
  <c r="K131" i="49"/>
  <c r="AR50" i="49"/>
  <c r="AP50" i="49"/>
  <c r="AI50" i="49"/>
  <c r="AI60" i="49"/>
  <c r="H50" i="49"/>
  <c r="T50" i="49"/>
  <c r="M50" i="49"/>
  <c r="J50" i="49"/>
  <c r="X50" i="49"/>
  <c r="AM50" i="49"/>
  <c r="AE50" i="49"/>
  <c r="R50" i="49"/>
  <c r="Z50" i="49"/>
  <c r="O50" i="49"/>
  <c r="Y50" i="49"/>
  <c r="S50" i="49"/>
  <c r="N50" i="49"/>
  <c r="P50" i="49"/>
  <c r="E50" i="49"/>
  <c r="AJ50" i="49"/>
  <c r="W50" i="49"/>
  <c r="F50" i="49"/>
  <c r="AO50" i="49" s="1"/>
  <c r="AN50" i="49"/>
  <c r="K50" i="49"/>
  <c r="AA50" i="49"/>
  <c r="AK50" i="49"/>
  <c r="G50" i="49"/>
  <c r="L50" i="49"/>
  <c r="AB50" i="49"/>
  <c r="AG50" i="49"/>
  <c r="U50" i="49"/>
  <c r="AQ50" i="49"/>
  <c r="AH50" i="49"/>
  <c r="V50" i="49"/>
  <c r="Q50" i="49"/>
  <c r="AF50" i="49"/>
  <c r="AD50" i="49"/>
  <c r="AC50" i="49"/>
  <c r="AL17" i="49"/>
  <c r="AP17" i="49"/>
  <c r="H17" i="49"/>
  <c r="T17" i="49"/>
  <c r="U17" i="49"/>
  <c r="K17" i="49"/>
  <c r="AR17" i="49"/>
  <c r="P17" i="49"/>
  <c r="S17" i="49"/>
  <c r="AQ17" i="49"/>
  <c r="L17" i="49"/>
  <c r="N17" i="49"/>
  <c r="I17" i="49"/>
  <c r="AO17" i="49"/>
  <c r="AM17" i="49"/>
  <c r="AN17" i="49"/>
  <c r="M17" i="49"/>
  <c r="E17" i="49"/>
  <c r="J17" i="49"/>
  <c r="Q17" i="49"/>
  <c r="R17" i="49"/>
  <c r="G17" i="49"/>
  <c r="F17" i="49"/>
  <c r="AP155" i="49"/>
  <c r="K155" i="49"/>
  <c r="H155" i="49"/>
  <c r="V155" i="49"/>
  <c r="J155" i="49"/>
  <c r="AJ155" i="49"/>
  <c r="G155" i="49"/>
  <c r="AO155" i="49"/>
  <c r="F155" i="49"/>
  <c r="L155" i="49"/>
  <c r="S155" i="49"/>
  <c r="AK155" i="49"/>
  <c r="AH155" i="49"/>
  <c r="AG155" i="49"/>
  <c r="AD155" i="49"/>
  <c r="X155" i="49"/>
  <c r="I155" i="49"/>
  <c r="AM155" i="49" s="1"/>
  <c r="E155" i="49"/>
  <c r="Z155" i="49"/>
  <c r="M155" i="49"/>
  <c r="AB155" i="49"/>
  <c r="R155" i="49"/>
  <c r="Y155" i="49"/>
  <c r="N155" i="49"/>
  <c r="Q155" i="49"/>
  <c r="AC155" i="49"/>
  <c r="T155" i="49"/>
  <c r="AI155" i="49"/>
  <c r="AA155" i="49"/>
  <c r="U155" i="49"/>
  <c r="W155" i="49"/>
  <c r="AE155" i="49"/>
  <c r="AF155" i="49"/>
  <c r="P37" i="49"/>
  <c r="AQ37" i="49"/>
  <c r="AM37" i="49"/>
  <c r="Z37" i="49"/>
  <c r="AN37" i="49"/>
  <c r="S37" i="49"/>
  <c r="AR37" i="49"/>
  <c r="M37" i="49"/>
  <c r="J37" i="49"/>
  <c r="G37" i="49"/>
  <c r="X37" i="49"/>
  <c r="H37" i="49"/>
  <c r="AI37" i="49"/>
  <c r="AP37" i="49"/>
  <c r="L37" i="49"/>
  <c r="K37" i="49"/>
  <c r="F37" i="49"/>
  <c r="AO37" i="49" s="1"/>
  <c r="E37" i="49"/>
  <c r="W37" i="49"/>
  <c r="AF7" i="49"/>
  <c r="AM7" i="49"/>
  <c r="AP7" i="49"/>
  <c r="AN7" i="49"/>
  <c r="P7" i="49"/>
  <c r="I7" i="49"/>
  <c r="AA7" i="49"/>
  <c r="K7" i="49"/>
  <c r="E7" i="49"/>
  <c r="L7" i="49"/>
  <c r="H7" i="49"/>
  <c r="N7" i="49"/>
  <c r="AB7" i="49"/>
  <c r="M7" i="49"/>
  <c r="J7" i="49"/>
  <c r="G7" i="49"/>
  <c r="F7" i="49"/>
  <c r="AO7" i="49" s="1"/>
  <c r="AR40" i="49"/>
  <c r="Z40" i="49"/>
  <c r="S40" i="49"/>
  <c r="AP40" i="49"/>
  <c r="AQ40" i="49"/>
  <c r="P40" i="49"/>
  <c r="AM40" i="49"/>
  <c r="AO40" i="49"/>
  <c r="E40" i="49"/>
  <c r="W40" i="49"/>
  <c r="J40" i="49"/>
  <c r="X40" i="49"/>
  <c r="AI40" i="49"/>
  <c r="L40" i="49"/>
  <c r="M40" i="49"/>
  <c r="AN40" i="49"/>
  <c r="H40" i="49"/>
  <c r="G40" i="49"/>
  <c r="F40" i="49"/>
  <c r="K40" i="49"/>
  <c r="AN115" i="49"/>
  <c r="AM115" i="49"/>
  <c r="S115" i="49"/>
  <c r="AD115" i="49"/>
  <c r="P115" i="49"/>
  <c r="AB115" i="49"/>
  <c r="F115" i="49"/>
  <c r="AO115" i="49" s="1"/>
  <c r="I115" i="49"/>
  <c r="AQ115" i="49"/>
  <c r="W115" i="49"/>
  <c r="AR115" i="49"/>
  <c r="H115" i="49"/>
  <c r="V115" i="49"/>
  <c r="AP115" i="49"/>
  <c r="K115" i="49"/>
  <c r="X115" i="49"/>
  <c r="M115" i="49"/>
  <c r="E115" i="49"/>
  <c r="AJ115" i="49"/>
  <c r="L115" i="49"/>
  <c r="Y115" i="49"/>
  <c r="U115" i="49"/>
  <c r="T115" i="49"/>
  <c r="Q115" i="49"/>
  <c r="G115" i="49"/>
  <c r="AH115" i="49"/>
  <c r="AA115" i="49"/>
  <c r="AG115" i="49"/>
  <c r="J115" i="49"/>
  <c r="O115" i="49"/>
  <c r="Z115" i="49"/>
  <c r="N115" i="49"/>
  <c r="AE115" i="49"/>
  <c r="AI115" i="49"/>
  <c r="AC115" i="49"/>
  <c r="AK115" i="49"/>
  <c r="R115" i="49"/>
  <c r="AC78" i="49"/>
  <c r="I78" i="49"/>
  <c r="AM78" i="49"/>
  <c r="AN78" i="49"/>
  <c r="AP78" i="49"/>
  <c r="W78" i="49"/>
  <c r="Y78" i="49"/>
  <c r="AH78" i="49"/>
  <c r="AA78" i="49"/>
  <c r="AD78" i="49"/>
  <c r="F78" i="49"/>
  <c r="AO78" i="49" s="1"/>
  <c r="Z78" i="49"/>
  <c r="AI78" i="49"/>
  <c r="AJ78" i="49"/>
  <c r="L78" i="49"/>
  <c r="X78" i="49"/>
  <c r="AG78" i="49"/>
  <c r="AB78" i="49"/>
  <c r="AE78" i="49"/>
  <c r="H78" i="49"/>
  <c r="O78" i="49"/>
  <c r="E78" i="49"/>
  <c r="U78" i="49"/>
  <c r="M78" i="49"/>
  <c r="AK78" i="49"/>
  <c r="K78" i="49"/>
  <c r="J78" i="49"/>
  <c r="V78" i="49"/>
  <c r="T78" i="49"/>
  <c r="P78" i="49"/>
  <c r="G78" i="49"/>
  <c r="S78" i="49"/>
  <c r="N78" i="49"/>
  <c r="Q78" i="49"/>
  <c r="R78" i="49"/>
  <c r="O168" i="49"/>
  <c r="AP168" i="49"/>
  <c r="Y168" i="49"/>
  <c r="AC168" i="49"/>
  <c r="Q168" i="49"/>
  <c r="AH168" i="49"/>
  <c r="R168" i="49"/>
  <c r="AB168" i="49"/>
  <c r="I168" i="49"/>
  <c r="AM168" i="49" s="1"/>
  <c r="AG168" i="49"/>
  <c r="Z168" i="49"/>
  <c r="AI168" i="49"/>
  <c r="W168" i="49"/>
  <c r="U168" i="49"/>
  <c r="T168" i="49"/>
  <c r="E168" i="49"/>
  <c r="F168" i="49"/>
  <c r="AO168" i="49" s="1"/>
  <c r="AF168" i="49"/>
  <c r="S168" i="49"/>
  <c r="K168" i="49"/>
  <c r="L168" i="49"/>
  <c r="X168" i="49"/>
  <c r="V168" i="49"/>
  <c r="J168" i="49"/>
  <c r="P168" i="49"/>
  <c r="M168" i="49"/>
  <c r="AE168" i="49"/>
  <c r="AK168" i="49"/>
  <c r="N168" i="49"/>
  <c r="H168" i="49"/>
  <c r="AJ168" i="49"/>
  <c r="G168" i="49"/>
  <c r="AD168" i="49"/>
  <c r="AN105" i="49"/>
  <c r="AI105" i="49"/>
  <c r="I105" i="49"/>
  <c r="AM105" i="49"/>
  <c r="M105" i="49"/>
  <c r="AC105" i="49"/>
  <c r="F105" i="49"/>
  <c r="W105" i="49"/>
  <c r="G105" i="49"/>
  <c r="S105" i="49"/>
  <c r="AJ105" i="49"/>
  <c r="N105" i="49"/>
  <c r="AK105" i="49"/>
  <c r="Z105" i="49"/>
  <c r="O105" i="49"/>
  <c r="H105" i="49"/>
  <c r="AP105" i="49"/>
  <c r="U105" i="49"/>
  <c r="V105" i="49"/>
  <c r="T105" i="49"/>
  <c r="Y105" i="49"/>
  <c r="R105" i="49"/>
  <c r="AO105" i="49"/>
  <c r="AB105" i="49"/>
  <c r="AF105" i="49"/>
  <c r="AE105" i="49"/>
  <c r="E105" i="49"/>
  <c r="AG105" i="49"/>
  <c r="AD105" i="49"/>
  <c r="J105" i="49"/>
  <c r="P105" i="49"/>
  <c r="X105" i="49"/>
  <c r="Q105" i="49"/>
  <c r="L105" i="49"/>
  <c r="AH105" i="49"/>
  <c r="K105" i="49"/>
  <c r="AA105" i="49"/>
  <c r="AP53" i="49"/>
  <c r="AQ53" i="49"/>
  <c r="O53" i="49"/>
  <c r="R53" i="49"/>
  <c r="AG53" i="49"/>
  <c r="K53" i="49"/>
  <c r="H53" i="49"/>
  <c r="P53" i="49"/>
  <c r="S53" i="49"/>
  <c r="N53" i="49"/>
  <c r="E53" i="49"/>
  <c r="AD53" i="49"/>
  <c r="J53" i="49"/>
  <c r="T53" i="49"/>
  <c r="U53" i="49"/>
  <c r="I53" i="49"/>
  <c r="L53" i="49"/>
  <c r="AR53" i="49"/>
  <c r="M53" i="49"/>
  <c r="AB53" i="49"/>
  <c r="AJ53" i="49"/>
  <c r="AE53" i="49"/>
  <c r="X53" i="49"/>
  <c r="G53" i="49"/>
  <c r="W53" i="49"/>
  <c r="AH53" i="49"/>
  <c r="F53" i="49"/>
  <c r="AO53" i="49" s="1"/>
  <c r="AN53" i="49"/>
  <c r="AM53" i="49"/>
  <c r="Y53" i="49"/>
  <c r="V53" i="49"/>
  <c r="AA53" i="49"/>
  <c r="AK53" i="49"/>
  <c r="Q53" i="49"/>
  <c r="AC53" i="49"/>
  <c r="Z53" i="49"/>
  <c r="AP19" i="49"/>
  <c r="L19" i="49"/>
  <c r="R19" i="49"/>
  <c r="S19" i="49"/>
  <c r="AL19" i="49"/>
  <c r="K19" i="49"/>
  <c r="U19" i="49"/>
  <c r="AQ19" i="49"/>
  <c r="F19" i="49"/>
  <c r="AO19" i="49" s="1"/>
  <c r="AM19" i="49"/>
  <c r="T19" i="49"/>
  <c r="H19" i="49"/>
  <c r="Q19" i="49"/>
  <c r="I19" i="49"/>
  <c r="AN19" i="49"/>
  <c r="E19" i="49"/>
  <c r="AR19" i="49"/>
  <c r="P19" i="49"/>
  <c r="G19" i="49"/>
  <c r="N19" i="49"/>
  <c r="J19" i="49"/>
  <c r="M19" i="49"/>
  <c r="AP111" i="49"/>
  <c r="AN111" i="49"/>
  <c r="J111" i="49"/>
  <c r="I111" i="49"/>
  <c r="V111" i="49"/>
  <c r="AI111" i="49"/>
  <c r="AG111" i="49"/>
  <c r="G111" i="49"/>
  <c r="Q111" i="49"/>
  <c r="AD111" i="49"/>
  <c r="M111" i="49"/>
  <c r="AJ111" i="49"/>
  <c r="O111" i="49"/>
  <c r="Z111" i="49"/>
  <c r="H111" i="49"/>
  <c r="AA111" i="49"/>
  <c r="K111" i="49"/>
  <c r="AB111" i="49"/>
  <c r="L111" i="49"/>
  <c r="AE111" i="49"/>
  <c r="X111" i="49"/>
  <c r="AC111" i="49"/>
  <c r="AM111" i="49"/>
  <c r="Y111" i="49"/>
  <c r="R111" i="49"/>
  <c r="AH111" i="49"/>
  <c r="U111" i="49"/>
  <c r="N111" i="49"/>
  <c r="F111" i="49"/>
  <c r="AO111" i="49" s="1"/>
  <c r="W111" i="49"/>
  <c r="S111" i="49"/>
  <c r="E111" i="49"/>
  <c r="P111" i="49"/>
  <c r="T111" i="49"/>
  <c r="AF111" i="49"/>
  <c r="AK111" i="49"/>
  <c r="Y66" i="49"/>
  <c r="AM66" i="49"/>
  <c r="I66" i="49"/>
  <c r="AR66" i="49"/>
  <c r="AP66" i="49"/>
  <c r="AD66" i="49"/>
  <c r="AI66" i="49"/>
  <c r="P67" i="49"/>
  <c r="Z66" i="49"/>
  <c r="R66" i="49"/>
  <c r="S66" i="49"/>
  <c r="O66" i="49"/>
  <c r="F66" i="49"/>
  <c r="AO66" i="49" s="1"/>
  <c r="AA66" i="49"/>
  <c r="L66" i="49"/>
  <c r="J66" i="49"/>
  <c r="G66" i="49"/>
  <c r="T66" i="49"/>
  <c r="H66" i="49"/>
  <c r="W66" i="49"/>
  <c r="N66" i="49"/>
  <c r="M66" i="49"/>
  <c r="AG66" i="49"/>
  <c r="AK66" i="49"/>
  <c r="AE66" i="49"/>
  <c r="V66" i="49"/>
  <c r="AC66" i="49"/>
  <c r="AJ66" i="49"/>
  <c r="AH66" i="49"/>
  <c r="AN66" i="49"/>
  <c r="U66" i="49"/>
  <c r="AB66" i="49"/>
  <c r="K66" i="49"/>
  <c r="Q66" i="49"/>
  <c r="E66" i="49"/>
  <c r="I110" i="49"/>
  <c r="AP110" i="49"/>
  <c r="AM110" i="49"/>
  <c r="AN110" i="49"/>
  <c r="AI110" i="49"/>
  <c r="AG110" i="49"/>
  <c r="Q110" i="49"/>
  <c r="N110" i="49"/>
  <c r="AH110" i="49"/>
  <c r="AK110" i="49"/>
  <c r="J110" i="49"/>
  <c r="P110" i="49"/>
  <c r="R110" i="49"/>
  <c r="V110" i="49"/>
  <c r="H110" i="49"/>
  <c r="AB110" i="49"/>
  <c r="G110" i="49"/>
  <c r="K110" i="49"/>
  <c r="O110" i="49"/>
  <c r="AA110" i="49"/>
  <c r="AF110" i="49"/>
  <c r="X110" i="49"/>
  <c r="AC110" i="49"/>
  <c r="Z110" i="49"/>
  <c r="U110" i="49"/>
  <c r="L110" i="49"/>
  <c r="T110" i="49"/>
  <c r="AD110" i="49"/>
  <c r="W110" i="49"/>
  <c r="AE110" i="49"/>
  <c r="AJ110" i="49"/>
  <c r="Y110" i="49"/>
  <c r="F110" i="49"/>
  <c r="AO110" i="49" s="1"/>
  <c r="E110" i="49"/>
  <c r="M110" i="49"/>
  <c r="S110" i="49"/>
  <c r="AP144" i="49"/>
  <c r="L144" i="49"/>
  <c r="AD144" i="49"/>
  <c r="AB144" i="49"/>
  <c r="AO144" i="49"/>
  <c r="I144" i="49"/>
  <c r="AM144" i="49" s="1"/>
  <c r="Z144" i="49"/>
  <c r="J144" i="49"/>
  <c r="U144" i="49"/>
  <c r="N144" i="49"/>
  <c r="AF144" i="49"/>
  <c r="X144" i="49"/>
  <c r="G144" i="49"/>
  <c r="V144" i="49"/>
  <c r="M144" i="49"/>
  <c r="W144" i="49"/>
  <c r="Q144" i="49"/>
  <c r="AI144" i="49"/>
  <c r="S144" i="49"/>
  <c r="R144" i="49"/>
  <c r="K144" i="49"/>
  <c r="H144" i="49"/>
  <c r="E144" i="49"/>
  <c r="AE144" i="49"/>
  <c r="AG144" i="49"/>
  <c r="F144" i="49"/>
  <c r="AC144" i="49"/>
  <c r="AJ144" i="49"/>
  <c r="AH144" i="49"/>
  <c r="AK144" i="49"/>
  <c r="Y144" i="49"/>
  <c r="T144" i="49"/>
  <c r="P144" i="49"/>
  <c r="AA144" i="49"/>
  <c r="O144" i="49"/>
  <c r="AC147" i="49"/>
  <c r="W147" i="49"/>
  <c r="AI147" i="49"/>
  <c r="F147" i="49"/>
  <c r="AO147" i="49"/>
  <c r="X147" i="49"/>
  <c r="AJ147" i="49"/>
  <c r="AF147" i="49"/>
  <c r="Q147" i="49"/>
  <c r="K147" i="49"/>
  <c r="Y147" i="49"/>
  <c r="AK147" i="49"/>
  <c r="S147" i="49"/>
  <c r="AB147" i="49"/>
  <c r="R147" i="49"/>
  <c r="I147" i="49"/>
  <c r="AM147" i="49" s="1"/>
  <c r="G147" i="49"/>
  <c r="AE147" i="49"/>
  <c r="U147" i="49"/>
  <c r="V147" i="49"/>
  <c r="AD147" i="49"/>
  <c r="L147" i="49"/>
  <c r="N147" i="49"/>
  <c r="AG147" i="49"/>
  <c r="P147" i="49"/>
  <c r="M147" i="49"/>
  <c r="O147" i="49"/>
  <c r="AH147" i="49"/>
  <c r="J147" i="49"/>
  <c r="Z147" i="49"/>
  <c r="T147" i="49"/>
  <c r="AA147" i="49"/>
  <c r="H147" i="49"/>
  <c r="E147" i="49"/>
  <c r="AP147" i="49"/>
  <c r="AP138" i="49"/>
  <c r="L138" i="49"/>
  <c r="G138" i="49"/>
  <c r="Y138" i="49"/>
  <c r="E138" i="49"/>
  <c r="U138" i="49"/>
  <c r="O138" i="49"/>
  <c r="AE138" i="49"/>
  <c r="N138" i="49"/>
  <c r="S138" i="49"/>
  <c r="AD138" i="49"/>
  <c r="W138" i="49"/>
  <c r="AJ138" i="49"/>
  <c r="M138" i="49"/>
  <c r="H138" i="49"/>
  <c r="AC138" i="49"/>
  <c r="AA138" i="49"/>
  <c r="X138" i="49"/>
  <c r="Q138" i="49"/>
  <c r="V138" i="49"/>
  <c r="AG138" i="49"/>
  <c r="I138" i="49"/>
  <c r="AM138" i="49" s="1"/>
  <c r="R138" i="49"/>
  <c r="Z138" i="49"/>
  <c r="K138" i="49"/>
  <c r="F138" i="49"/>
  <c r="AO138" i="49"/>
  <c r="AH138" i="49"/>
  <c r="AI138" i="49"/>
  <c r="AK138" i="49"/>
  <c r="P138" i="49"/>
  <c r="AB138" i="49"/>
  <c r="J138" i="49"/>
  <c r="AF138" i="49"/>
  <c r="T138" i="49"/>
  <c r="AF9" i="49"/>
  <c r="I9" i="49"/>
  <c r="AN9" i="49"/>
  <c r="AP9" i="49"/>
  <c r="AM9" i="49"/>
  <c r="P9" i="49"/>
  <c r="E9" i="49"/>
  <c r="AB9" i="49"/>
  <c r="M9" i="49"/>
  <c r="N9" i="49"/>
  <c r="K9" i="49"/>
  <c r="F9" i="49"/>
  <c r="AO9" i="49"/>
  <c r="L9" i="49"/>
  <c r="H9" i="49"/>
  <c r="G9" i="49"/>
  <c r="J9" i="49"/>
  <c r="AA9" i="49"/>
  <c r="AP157" i="49"/>
  <c r="S157" i="49"/>
  <c r="AF157" i="49"/>
  <c r="X157" i="49"/>
  <c r="R157" i="49"/>
  <c r="AE157" i="49"/>
  <c r="I157" i="49"/>
  <c r="AM157" i="49" s="1"/>
  <c r="U157" i="49"/>
  <c r="M157" i="49"/>
  <c r="AK157" i="49"/>
  <c r="AC157" i="49"/>
  <c r="AG157" i="49"/>
  <c r="AA157" i="49"/>
  <c r="J157" i="49"/>
  <c r="Y157" i="49"/>
  <c r="AJ157" i="49"/>
  <c r="V157" i="49"/>
  <c r="Q157" i="49"/>
  <c r="W157" i="49"/>
  <c r="T157" i="49"/>
  <c r="E157" i="49"/>
  <c r="AI157" i="49"/>
  <c r="G157" i="49"/>
  <c r="AH157" i="49"/>
  <c r="F157" i="49"/>
  <c r="AO157" i="49" s="1"/>
  <c r="AD157" i="49"/>
  <c r="N157" i="49"/>
  <c r="L157" i="49"/>
  <c r="AB157" i="49"/>
  <c r="H157" i="49"/>
  <c r="K157" i="49"/>
  <c r="Z157" i="49"/>
  <c r="AQ54" i="49"/>
  <c r="AR54" i="49"/>
  <c r="AP54" i="49"/>
  <c r="I54" i="49"/>
  <c r="AM54" i="49"/>
  <c r="P54" i="49"/>
  <c r="O54" i="49"/>
  <c r="AN54" i="49"/>
  <c r="Z54" i="49"/>
  <c r="AA54" i="49"/>
  <c r="L54" i="49"/>
  <c r="U54" i="49"/>
  <c r="AC54" i="49"/>
  <c r="Q54" i="49"/>
  <c r="AD54" i="49"/>
  <c r="R54" i="49"/>
  <c r="V54" i="49"/>
  <c r="X54" i="49"/>
  <c r="AE54" i="49"/>
  <c r="K54" i="49"/>
  <c r="S54" i="49"/>
  <c r="AH54" i="49"/>
  <c r="N54" i="49"/>
  <c r="Y54" i="49"/>
  <c r="AB54" i="49"/>
  <c r="G54" i="49"/>
  <c r="F54" i="49"/>
  <c r="AO54" i="49" s="1"/>
  <c r="M54" i="49"/>
  <c r="AK54" i="49"/>
  <c r="W54" i="49"/>
  <c r="AG54" i="49"/>
  <c r="T54" i="49"/>
  <c r="H54" i="49"/>
  <c r="J54" i="49"/>
  <c r="E54" i="49"/>
  <c r="AJ54" i="49"/>
  <c r="AM129" i="49"/>
  <c r="AN129" i="49"/>
  <c r="I129" i="49"/>
  <c r="O129" i="49"/>
  <c r="AP129" i="49"/>
  <c r="R129" i="49"/>
  <c r="N129" i="49"/>
  <c r="S129" i="49"/>
  <c r="Y129" i="49"/>
  <c r="K129" i="49"/>
  <c r="P129" i="49"/>
  <c r="AG129" i="49"/>
  <c r="AE129" i="49"/>
  <c r="T129" i="49"/>
  <c r="E129" i="49"/>
  <c r="Q129" i="49"/>
  <c r="H129" i="49"/>
  <c r="G129" i="49"/>
  <c r="AB129" i="49"/>
  <c r="AI129" i="49"/>
  <c r="AH129" i="49"/>
  <c r="M129" i="49"/>
  <c r="U129" i="49"/>
  <c r="AD129" i="49"/>
  <c r="Z129" i="49"/>
  <c r="AJ129" i="49"/>
  <c r="L129" i="49"/>
  <c r="V129" i="49"/>
  <c r="J129" i="49"/>
  <c r="F129" i="49"/>
  <c r="AO129" i="49"/>
  <c r="AF129" i="49"/>
  <c r="AC129" i="49"/>
  <c r="AK129" i="49"/>
  <c r="W129" i="49"/>
  <c r="X129" i="49"/>
  <c r="AP143" i="49"/>
  <c r="X143" i="49"/>
  <c r="O143" i="49"/>
  <c r="T143" i="49"/>
  <c r="Q143" i="49"/>
  <c r="S143" i="49"/>
  <c r="AE143" i="49"/>
  <c r="AC143" i="49"/>
  <c r="AA143" i="49"/>
  <c r="AF143" i="49"/>
  <c r="H143" i="49"/>
  <c r="L143" i="49"/>
  <c r="M143" i="49"/>
  <c r="AB143" i="49"/>
  <c r="AK143" i="49"/>
  <c r="F143" i="49"/>
  <c r="AO143" i="49" s="1"/>
  <c r="Y143" i="49"/>
  <c r="K143" i="49"/>
  <c r="I143" i="49"/>
  <c r="AM143" i="49" s="1"/>
  <c r="Z143" i="49"/>
  <c r="U143" i="49"/>
  <c r="V143" i="49"/>
  <c r="G143" i="49"/>
  <c r="N143" i="49"/>
  <c r="AJ143" i="49"/>
  <c r="AI143" i="49"/>
  <c r="AD143" i="49"/>
  <c r="W143" i="49"/>
  <c r="AH143" i="49"/>
  <c r="P143" i="49"/>
  <c r="AG143" i="49"/>
  <c r="J143" i="49"/>
  <c r="E143" i="49"/>
  <c r="R143" i="49"/>
  <c r="AP139" i="49"/>
  <c r="T139" i="49"/>
  <c r="O139" i="49"/>
  <c r="R139" i="49"/>
  <c r="J139" i="49"/>
  <c r="AA139" i="49"/>
  <c r="I139" i="49"/>
  <c r="AM139" i="49" s="1"/>
  <c r="Q139" i="49"/>
  <c r="K139" i="49"/>
  <c r="AG139" i="49"/>
  <c r="V139" i="49"/>
  <c r="L139" i="49"/>
  <c r="Y139" i="49"/>
  <c r="N139" i="49"/>
  <c r="AH139" i="49"/>
  <c r="P139" i="49"/>
  <c r="E139" i="49"/>
  <c r="U139" i="49"/>
  <c r="AE139" i="49"/>
  <c r="AJ139" i="49"/>
  <c r="W139" i="49"/>
  <c r="M139" i="49"/>
  <c r="AK139" i="49"/>
  <c r="AO139" i="49"/>
  <c r="X139" i="49"/>
  <c r="AD139" i="49"/>
  <c r="H139" i="49"/>
  <c r="S139" i="49"/>
  <c r="AB139" i="49"/>
  <c r="AI139" i="49"/>
  <c r="Z139" i="49"/>
  <c r="G139" i="49"/>
  <c r="AC139" i="49"/>
  <c r="F139" i="49"/>
  <c r="AF139" i="49"/>
  <c r="AP152" i="49"/>
  <c r="Z152" i="49"/>
  <c r="AG152" i="49"/>
  <c r="AJ152" i="49"/>
  <c r="W152" i="49"/>
  <c r="G152" i="49"/>
  <c r="F152" i="49"/>
  <c r="AO152" i="49"/>
  <c r="H152" i="49"/>
  <c r="J152" i="49"/>
  <c r="K152" i="49"/>
  <c r="AI152" i="49"/>
  <c r="AH152" i="49"/>
  <c r="AK152" i="49"/>
  <c r="AE152" i="49"/>
  <c r="AB152" i="49"/>
  <c r="E152" i="49"/>
  <c r="O152" i="49"/>
  <c r="AA152" i="49"/>
  <c r="Y152" i="49"/>
  <c r="R152" i="49"/>
  <c r="S152" i="49"/>
  <c r="X152" i="49"/>
  <c r="L152" i="49"/>
  <c r="I152" i="49"/>
  <c r="AM152" i="49" s="1"/>
  <c r="M152" i="49"/>
  <c r="U152" i="49"/>
  <c r="Q152" i="49"/>
  <c r="AD152" i="49"/>
  <c r="T152" i="49"/>
  <c r="AC152" i="49"/>
  <c r="N152" i="49"/>
  <c r="V152" i="49"/>
  <c r="P152" i="49"/>
  <c r="AF152" i="49"/>
  <c r="P64" i="49"/>
  <c r="AN63" i="49"/>
  <c r="AP63" i="49"/>
  <c r="Y63" i="49"/>
  <c r="AM63" i="49"/>
  <c r="AR63" i="49"/>
  <c r="I63" i="49"/>
  <c r="AO63" i="49"/>
  <c r="G63" i="49"/>
  <c r="AD63" i="49"/>
  <c r="K63" i="49"/>
  <c r="O63" i="49"/>
  <c r="M63" i="49"/>
  <c r="AA63" i="49"/>
  <c r="L63" i="49"/>
  <c r="AJ63" i="49"/>
  <c r="E63" i="49"/>
  <c r="F63" i="49"/>
  <c r="AK63" i="49"/>
  <c r="V63" i="49"/>
  <c r="N63" i="49"/>
  <c r="Q63" i="49"/>
  <c r="AE63" i="49"/>
  <c r="AH63" i="49"/>
  <c r="U63" i="49"/>
  <c r="T63" i="49"/>
  <c r="J63" i="49"/>
  <c r="W63" i="49"/>
  <c r="S63" i="49"/>
  <c r="AG63" i="49"/>
  <c r="AI63" i="49"/>
  <c r="H63" i="49"/>
  <c r="R63" i="49"/>
  <c r="Z63" i="49"/>
  <c r="AC63" i="49"/>
  <c r="AB63" i="49"/>
  <c r="O167" i="49"/>
  <c r="T167" i="49"/>
  <c r="V167" i="49"/>
  <c r="H167" i="49"/>
  <c r="AO167" i="49"/>
  <c r="AK167" i="49"/>
  <c r="W167" i="49"/>
  <c r="Z167" i="49"/>
  <c r="P167" i="49"/>
  <c r="Q167" i="49"/>
  <c r="AE167" i="49"/>
  <c r="AJ167" i="49"/>
  <c r="AB167" i="49"/>
  <c r="U167" i="49"/>
  <c r="G167" i="49"/>
  <c r="AF167" i="49"/>
  <c r="J167" i="49"/>
  <c r="F167" i="49"/>
  <c r="E167" i="49"/>
  <c r="AD167" i="49"/>
  <c r="I167" i="49"/>
  <c r="AM167" i="49" s="1"/>
  <c r="M167" i="49"/>
  <c r="AH167" i="49"/>
  <c r="S167" i="49"/>
  <c r="AC167" i="49"/>
  <c r="K167" i="49"/>
  <c r="X167" i="49"/>
  <c r="AI167" i="49"/>
  <c r="L167" i="49"/>
  <c r="Y167" i="49"/>
  <c r="AP167" i="49"/>
  <c r="AG167" i="49"/>
  <c r="R167" i="49"/>
  <c r="N167" i="49"/>
  <c r="AN87" i="49"/>
  <c r="AM87" i="49"/>
  <c r="I87" i="49"/>
  <c r="F87" i="49"/>
  <c r="AH87" i="49"/>
  <c r="O87" i="49"/>
  <c r="Q87" i="49"/>
  <c r="W87" i="49"/>
  <c r="Z87" i="49"/>
  <c r="M87" i="49"/>
  <c r="J87" i="49"/>
  <c r="H87" i="49"/>
  <c r="L87" i="49"/>
  <c r="AI87" i="49"/>
  <c r="N87" i="49"/>
  <c r="AJ87" i="49"/>
  <c r="AP87" i="49"/>
  <c r="E87" i="49"/>
  <c r="AO87" i="49"/>
  <c r="S87" i="49"/>
  <c r="K87" i="49"/>
  <c r="AA87" i="49"/>
  <c r="Y87" i="49"/>
  <c r="AB87" i="49"/>
  <c r="R87" i="49"/>
  <c r="U87" i="49"/>
  <c r="G87" i="49"/>
  <c r="AD87" i="49"/>
  <c r="AG87" i="49"/>
  <c r="AK87" i="49"/>
  <c r="AE87" i="49"/>
  <c r="V87" i="49"/>
  <c r="AC87" i="49"/>
  <c r="T87" i="49"/>
  <c r="AP27" i="49"/>
  <c r="S27" i="49"/>
  <c r="AQ27" i="49"/>
  <c r="I27" i="49"/>
  <c r="Q27" i="49"/>
  <c r="V27" i="49"/>
  <c r="AB27" i="49"/>
  <c r="AK27" i="49"/>
  <c r="Y27" i="49"/>
  <c r="O27" i="49"/>
  <c r="AN27" i="49"/>
  <c r="H27" i="49"/>
  <c r="AM27" i="49"/>
  <c r="AC27" i="49"/>
  <c r="W27" i="49"/>
  <c r="N27" i="49"/>
  <c r="Z27" i="49"/>
  <c r="U27" i="49"/>
  <c r="E27" i="49"/>
  <c r="AD27" i="49"/>
  <c r="R27" i="49"/>
  <c r="X27" i="49"/>
  <c r="T27" i="49"/>
  <c r="AI27" i="49"/>
  <c r="G27" i="49"/>
  <c r="AA27" i="49"/>
  <c r="F27" i="49"/>
  <c r="AO27" i="49" s="1"/>
  <c r="AJ27" i="49"/>
  <c r="AR27" i="49"/>
  <c r="L27" i="49"/>
  <c r="K27" i="49"/>
  <c r="AH27" i="49"/>
  <c r="AF27" i="49"/>
  <c r="M27" i="49"/>
  <c r="AG27" i="49"/>
  <c r="J27" i="49"/>
  <c r="AE27" i="49"/>
  <c r="P27" i="49"/>
  <c r="AM100" i="49"/>
  <c r="AN100" i="49"/>
  <c r="I100" i="49"/>
  <c r="AP100" i="49"/>
  <c r="H100" i="49"/>
  <c r="X100" i="49"/>
  <c r="AJ100" i="49"/>
  <c r="AI100" i="49"/>
  <c r="AD100" i="49"/>
  <c r="AK100" i="49"/>
  <c r="J100" i="49"/>
  <c r="V100" i="49"/>
  <c r="AH100" i="49"/>
  <c r="Q100" i="49"/>
  <c r="AC100" i="49"/>
  <c r="AO100" i="49"/>
  <c r="T100" i="49"/>
  <c r="E100" i="49"/>
  <c r="Y100" i="49"/>
  <c r="AG100" i="49"/>
  <c r="U100" i="49"/>
  <c r="N100" i="49"/>
  <c r="Z100" i="49"/>
  <c r="W100" i="49"/>
  <c r="R100" i="49"/>
  <c r="F100" i="49"/>
  <c r="M100" i="49"/>
  <c r="G100" i="49"/>
  <c r="AB100" i="49"/>
  <c r="P100" i="49"/>
  <c r="K100" i="49"/>
  <c r="O100" i="49"/>
  <c r="L100" i="49"/>
  <c r="AA100" i="49"/>
  <c r="AE100" i="49"/>
  <c r="S100" i="49"/>
  <c r="AP141" i="49"/>
  <c r="AA141" i="49"/>
  <c r="X141" i="49"/>
  <c r="F141" i="49"/>
  <c r="AK141" i="49"/>
  <c r="AO141" i="49"/>
  <c r="AJ141" i="49"/>
  <c r="L141" i="49"/>
  <c r="AG141" i="49"/>
  <c r="AC141" i="49"/>
  <c r="K141" i="49"/>
  <c r="G141" i="49"/>
  <c r="AE141" i="49"/>
  <c r="AD141" i="49"/>
  <c r="S141" i="49"/>
  <c r="AB141" i="49"/>
  <c r="R141" i="49"/>
  <c r="V141" i="49"/>
  <c r="N141" i="49"/>
  <c r="E141" i="49"/>
  <c r="O141" i="49"/>
  <c r="H141" i="49"/>
  <c r="U141" i="49"/>
  <c r="AI141" i="49"/>
  <c r="AF141" i="49"/>
  <c r="T141" i="49"/>
  <c r="AH141" i="49"/>
  <c r="Y141" i="49"/>
  <c r="W141" i="49"/>
  <c r="I141" i="49"/>
  <c r="AM141" i="49" s="1"/>
  <c r="P141" i="49"/>
  <c r="Z141" i="49"/>
  <c r="J141" i="49"/>
  <c r="Q141" i="49"/>
  <c r="M141" i="49"/>
  <c r="AM52" i="49"/>
  <c r="AN52" i="49"/>
  <c r="AP52" i="49"/>
  <c r="H52" i="49"/>
  <c r="AQ52" i="49"/>
  <c r="AI62" i="49"/>
  <c r="AI52" i="49"/>
  <c r="S52" i="49"/>
  <c r="AC52" i="49"/>
  <c r="AR52" i="49"/>
  <c r="K52" i="49"/>
  <c r="AK52" i="49"/>
  <c r="L52" i="49"/>
  <c r="X52" i="49"/>
  <c r="AE52" i="49"/>
  <c r="E52" i="49"/>
  <c r="AH52" i="49"/>
  <c r="T52" i="49"/>
  <c r="N52" i="49"/>
  <c r="J52" i="49"/>
  <c r="W52" i="49"/>
  <c r="M52" i="49"/>
  <c r="F52" i="49"/>
  <c r="AO52" i="49" s="1"/>
  <c r="AJ52" i="49"/>
  <c r="O52" i="49"/>
  <c r="AD52" i="49"/>
  <c r="Y52" i="49"/>
  <c r="AG52" i="49"/>
  <c r="R52" i="49"/>
  <c r="AB52" i="49"/>
  <c r="G52" i="49"/>
  <c r="Z52" i="49"/>
  <c r="AF52" i="49"/>
  <c r="AA52" i="49"/>
  <c r="P52" i="49"/>
  <c r="Q52" i="49"/>
  <c r="V52" i="49"/>
  <c r="U52" i="49"/>
  <c r="AP162" i="49"/>
  <c r="Y162" i="49"/>
  <c r="J162" i="49"/>
  <c r="E162" i="49"/>
  <c r="H162" i="49"/>
  <c r="AG162" i="49"/>
  <c r="V162" i="49"/>
  <c r="AK162" i="49"/>
  <c r="G162" i="49"/>
  <c r="W162" i="49"/>
  <c r="AE162" i="49"/>
  <c r="K162" i="49"/>
  <c r="T162" i="49"/>
  <c r="F162" i="49"/>
  <c r="AO162" i="49"/>
  <c r="AC162" i="49"/>
  <c r="X162" i="49"/>
  <c r="L162" i="49"/>
  <c r="AA162" i="49"/>
  <c r="S162" i="49"/>
  <c r="U162" i="49"/>
  <c r="AH162" i="49"/>
  <c r="I162" i="49"/>
  <c r="AM162" i="49" s="1"/>
  <c r="M162" i="49"/>
  <c r="R162" i="49"/>
  <c r="AI162" i="49"/>
  <c r="AD162" i="49"/>
  <c r="Q162" i="49"/>
  <c r="N162" i="49"/>
  <c r="AB162" i="49"/>
  <c r="AJ162" i="49"/>
  <c r="Z162" i="49"/>
  <c r="AF162" i="49"/>
  <c r="AN83" i="49"/>
  <c r="W83" i="49"/>
  <c r="AA83" i="49"/>
  <c r="U83" i="49"/>
  <c r="AE83" i="49"/>
  <c r="L83" i="49"/>
  <c r="AI83" i="49"/>
  <c r="H83" i="49"/>
  <c r="AH83" i="49"/>
  <c r="S83" i="49"/>
  <c r="AJ83" i="49"/>
  <c r="V83" i="49"/>
  <c r="AB83" i="49"/>
  <c r="Y83" i="49"/>
  <c r="AK83" i="49"/>
  <c r="AD83" i="49"/>
  <c r="T83" i="49"/>
  <c r="G83" i="49"/>
  <c r="Q83" i="49"/>
  <c r="F83" i="49"/>
  <c r="AO83" i="49" s="1"/>
  <c r="I83" i="49"/>
  <c r="AM83" i="49"/>
  <c r="AC83" i="49"/>
  <c r="AP83" i="49"/>
  <c r="O83" i="49"/>
  <c r="J83" i="49"/>
  <c r="K83" i="49"/>
  <c r="M83" i="49"/>
  <c r="R83" i="49"/>
  <c r="N83" i="49"/>
  <c r="AG83" i="49"/>
  <c r="Z83" i="49"/>
  <c r="E83" i="49"/>
  <c r="AP58" i="49"/>
  <c r="AQ58" i="49"/>
  <c r="AR58" i="49"/>
  <c r="T58" i="49"/>
  <c r="AJ58" i="49"/>
  <c r="N58" i="49"/>
  <c r="AC58" i="49"/>
  <c r="AG58" i="49"/>
  <c r="AA58" i="49"/>
  <c r="E58" i="49"/>
  <c r="S58" i="49"/>
  <c r="Q58" i="49"/>
  <c r="AE58" i="49"/>
  <c r="AD58" i="49"/>
  <c r="AN58" i="49"/>
  <c r="AB58" i="49"/>
  <c r="I58" i="49"/>
  <c r="L58" i="49"/>
  <c r="P58" i="49"/>
  <c r="J58" i="49"/>
  <c r="O58" i="49"/>
  <c r="Y58" i="49"/>
  <c r="X58" i="49"/>
  <c r="K58" i="49"/>
  <c r="H58" i="49"/>
  <c r="M58" i="49"/>
  <c r="R58" i="49"/>
  <c r="W58" i="49"/>
  <c r="U58" i="49"/>
  <c r="V58" i="49"/>
  <c r="Z58" i="49"/>
  <c r="AK58" i="49"/>
  <c r="G58" i="49"/>
  <c r="AH58" i="49"/>
  <c r="AO58" i="49"/>
  <c r="AM58" i="49"/>
  <c r="F58" i="49"/>
  <c r="AQ38" i="49"/>
  <c r="AR38" i="49"/>
  <c r="Z38" i="49"/>
  <c r="AM38" i="49"/>
  <c r="AN38" i="49"/>
  <c r="S38" i="49"/>
  <c r="H38" i="49"/>
  <c r="L38" i="49"/>
  <c r="W38" i="49"/>
  <c r="K38" i="49"/>
  <c r="AP38" i="49"/>
  <c r="E38" i="49"/>
  <c r="G38" i="49"/>
  <c r="F38" i="49"/>
  <c r="J38" i="49"/>
  <c r="P38" i="49"/>
  <c r="AI38" i="49"/>
  <c r="X38" i="49"/>
  <c r="M38" i="49"/>
  <c r="AO38" i="49"/>
  <c r="AP150" i="49"/>
  <c r="AE150" i="49"/>
  <c r="H150" i="49"/>
  <c r="O150" i="49"/>
  <c r="F150" i="49"/>
  <c r="AO150" i="49" s="1"/>
  <c r="P150" i="49"/>
  <c r="M150" i="49"/>
  <c r="V150" i="49"/>
  <c r="K150" i="49"/>
  <c r="Q150" i="49"/>
  <c r="AK150" i="49"/>
  <c r="L150" i="49"/>
  <c r="J150" i="49"/>
  <c r="G150" i="49"/>
  <c r="E150" i="49"/>
  <c r="AA150" i="49"/>
  <c r="R150" i="49"/>
  <c r="W150" i="49"/>
  <c r="X150" i="49"/>
  <c r="AJ150" i="49"/>
  <c r="AG150" i="49"/>
  <c r="S150" i="49"/>
  <c r="AC150" i="49"/>
  <c r="AI150" i="49"/>
  <c r="T150" i="49"/>
  <c r="I150" i="49"/>
  <c r="AM150" i="49" s="1"/>
  <c r="Z150" i="49"/>
  <c r="Y150" i="49"/>
  <c r="AH150" i="49"/>
  <c r="AD150" i="49"/>
  <c r="AF150" i="49"/>
  <c r="N150" i="49"/>
  <c r="AB150" i="49"/>
  <c r="U150" i="49"/>
  <c r="AG112" i="49"/>
  <c r="AH112" i="49"/>
  <c r="AP112" i="49"/>
  <c r="I112" i="49"/>
  <c r="X112" i="49"/>
  <c r="R112" i="49"/>
  <c r="Q112" i="49"/>
  <c r="AK112" i="49"/>
  <c r="P112" i="49"/>
  <c r="O112" i="49"/>
  <c r="AN112" i="49"/>
  <c r="F112" i="49"/>
  <c r="AO112" i="49" s="1"/>
  <c r="AA112" i="49"/>
  <c r="AM112" i="49"/>
  <c r="AF112" i="49"/>
  <c r="K112" i="49"/>
  <c r="AD112" i="49"/>
  <c r="AC112" i="49"/>
  <c r="W112" i="49"/>
  <c r="Y112" i="49"/>
  <c r="J112" i="49"/>
  <c r="V112" i="49"/>
  <c r="AB112" i="49"/>
  <c r="M112" i="49"/>
  <c r="S112" i="49"/>
  <c r="AE112" i="49"/>
  <c r="E112" i="49"/>
  <c r="G112" i="49"/>
  <c r="Z112" i="49"/>
  <c r="L112" i="49"/>
  <c r="AI112" i="49"/>
  <c r="H112" i="49"/>
  <c r="U112" i="49"/>
  <c r="N112" i="49"/>
  <c r="AJ112" i="49"/>
  <c r="T112" i="49"/>
  <c r="AM76" i="49"/>
  <c r="AN76" i="49"/>
  <c r="I76" i="49"/>
  <c r="AC76" i="49"/>
  <c r="AJ76" i="49"/>
  <c r="AB76" i="49"/>
  <c r="AD76" i="49"/>
  <c r="J76" i="49"/>
  <c r="O76" i="49"/>
  <c r="F76" i="49"/>
  <c r="AO76" i="49"/>
  <c r="AP76" i="49"/>
  <c r="N76" i="49"/>
  <c r="AK76" i="49"/>
  <c r="AA76" i="49"/>
  <c r="M76" i="49"/>
  <c r="V76" i="49"/>
  <c r="AH76" i="49"/>
  <c r="Y76" i="49"/>
  <c r="T76" i="49"/>
  <c r="W76" i="49"/>
  <c r="S76" i="49"/>
  <c r="L76" i="49"/>
  <c r="AE76" i="49"/>
  <c r="AG76" i="49"/>
  <c r="E76" i="49"/>
  <c r="K76" i="49"/>
  <c r="G76" i="49"/>
  <c r="AI76" i="49"/>
  <c r="Q76" i="49"/>
  <c r="H76" i="49"/>
  <c r="X76" i="49"/>
  <c r="Z76" i="49"/>
  <c r="R76" i="49"/>
  <c r="U76" i="49"/>
  <c r="P76" i="49"/>
  <c r="AM86" i="49"/>
  <c r="AN86" i="49"/>
  <c r="I86" i="49"/>
  <c r="AP86" i="49"/>
  <c r="T86" i="49"/>
  <c r="AE86" i="49"/>
  <c r="AG86" i="49"/>
  <c r="AB86" i="49"/>
  <c r="L86" i="49"/>
  <c r="F86" i="49"/>
  <c r="AO86" i="49" s="1"/>
  <c r="Z86" i="49"/>
  <c r="AA86" i="49"/>
  <c r="S86" i="49"/>
  <c r="AH86" i="49"/>
  <c r="AK86" i="49"/>
  <c r="U86" i="49"/>
  <c r="AD86" i="49"/>
  <c r="K86" i="49"/>
  <c r="H86" i="49"/>
  <c r="M86" i="49"/>
  <c r="G86" i="49"/>
  <c r="N86" i="49"/>
  <c r="R86" i="49"/>
  <c r="Y86" i="49"/>
  <c r="Q86" i="49"/>
  <c r="AC86" i="49"/>
  <c r="V86" i="49"/>
  <c r="AJ86" i="49"/>
  <c r="AI86" i="49"/>
  <c r="W86" i="49"/>
  <c r="O86" i="49"/>
  <c r="E86" i="49"/>
  <c r="J86" i="49"/>
  <c r="AP80" i="49"/>
  <c r="AN80" i="49"/>
  <c r="N80" i="49"/>
  <c r="AI80" i="49"/>
  <c r="V80" i="49"/>
  <c r="H80" i="49"/>
  <c r="M80" i="49"/>
  <c r="AH80" i="49"/>
  <c r="J80" i="49"/>
  <c r="AD80" i="49"/>
  <c r="G80" i="49"/>
  <c r="AK80" i="49"/>
  <c r="W80" i="49"/>
  <c r="L80" i="49"/>
  <c r="O80" i="49"/>
  <c r="K80" i="49"/>
  <c r="AB80" i="49"/>
  <c r="P80" i="49"/>
  <c r="Y80" i="49"/>
  <c r="E80" i="49"/>
  <c r="AC80" i="49"/>
  <c r="U80" i="49"/>
  <c r="X80" i="49"/>
  <c r="AJ80" i="49"/>
  <c r="S80" i="49"/>
  <c r="Z80" i="49"/>
  <c r="AG80" i="49"/>
  <c r="T80" i="49"/>
  <c r="AM80" i="49"/>
  <c r="AE80" i="49"/>
  <c r="I80" i="49"/>
  <c r="F80" i="49"/>
  <c r="AO80" i="49" s="1"/>
  <c r="Q80" i="49"/>
  <c r="AA80" i="49"/>
  <c r="R80" i="49"/>
  <c r="AM61" i="49"/>
  <c r="I61" i="49"/>
  <c r="AN61" i="49"/>
  <c r="AP61" i="49"/>
  <c r="AR61" i="49"/>
  <c r="U61" i="49"/>
  <c r="W61" i="49"/>
  <c r="S61" i="49"/>
  <c r="AD61" i="49"/>
  <c r="J61" i="49"/>
  <c r="AO61" i="49"/>
  <c r="P61" i="49"/>
  <c r="AE61" i="49"/>
  <c r="Q61" i="49"/>
  <c r="AJ61" i="49"/>
  <c r="L61" i="49"/>
  <c r="AC61" i="49"/>
  <c r="T61" i="49"/>
  <c r="Y61" i="49"/>
  <c r="AB61" i="49"/>
  <c r="G61" i="49"/>
  <c r="AK61" i="49"/>
  <c r="M61" i="49"/>
  <c r="O61" i="49"/>
  <c r="X61" i="49"/>
  <c r="AA61" i="49"/>
  <c r="V61" i="49"/>
  <c r="F61" i="49"/>
  <c r="Z61" i="49"/>
  <c r="H61" i="49"/>
  <c r="N61" i="49"/>
  <c r="E61" i="49"/>
  <c r="AG61" i="49"/>
  <c r="AH61" i="49"/>
  <c r="R61" i="49"/>
  <c r="AQ61" i="49"/>
  <c r="K61" i="49"/>
  <c r="AM89" i="49"/>
  <c r="AJ89" i="49"/>
  <c r="T89" i="49"/>
  <c r="E89" i="49"/>
  <c r="K89" i="49"/>
  <c r="M89" i="49"/>
  <c r="AH89" i="49"/>
  <c r="S89" i="49"/>
  <c r="AP89" i="49"/>
  <c r="H89" i="49"/>
  <c r="Q89" i="49"/>
  <c r="U89" i="49"/>
  <c r="Z89" i="49"/>
  <c r="R89" i="49"/>
  <c r="AN89" i="49"/>
  <c r="G89" i="49"/>
  <c r="I89" i="49"/>
  <c r="O89" i="49"/>
  <c r="W89" i="49"/>
  <c r="J89" i="49"/>
  <c r="AG89" i="49"/>
  <c r="AI89" i="49"/>
  <c r="AE89" i="49"/>
  <c r="AC89" i="49"/>
  <c r="L89" i="49"/>
  <c r="AB89" i="49"/>
  <c r="AD89" i="49"/>
  <c r="AK89" i="49"/>
  <c r="Y89" i="49"/>
  <c r="AA89" i="49"/>
  <c r="V89" i="49"/>
  <c r="N89" i="49"/>
  <c r="F89" i="49"/>
  <c r="AO89" i="49"/>
  <c r="AP126" i="49"/>
  <c r="AN126" i="49"/>
  <c r="I126" i="49"/>
  <c r="AM126" i="49"/>
  <c r="AJ126" i="49"/>
  <c r="H126" i="49"/>
  <c r="AF126" i="49"/>
  <c r="N126" i="49"/>
  <c r="V126" i="49"/>
  <c r="AE126" i="49"/>
  <c r="L126" i="49"/>
  <c r="S126" i="49"/>
  <c r="K126" i="49"/>
  <c r="AO126" i="49"/>
  <c r="AC126" i="49"/>
  <c r="Z126" i="49"/>
  <c r="W126" i="49"/>
  <c r="AD126" i="49"/>
  <c r="J126" i="49"/>
  <c r="F126" i="49"/>
  <c r="U126" i="49"/>
  <c r="Y126" i="49"/>
  <c r="M126" i="49"/>
  <c r="R126" i="49"/>
  <c r="AI126" i="49"/>
  <c r="X126" i="49"/>
  <c r="G126" i="49"/>
  <c r="P126" i="49"/>
  <c r="E126" i="49"/>
  <c r="AH126" i="49"/>
  <c r="Q126" i="49"/>
  <c r="T126" i="49"/>
  <c r="AG126" i="49"/>
  <c r="AK126" i="49"/>
  <c r="O126" i="49"/>
  <c r="AB126" i="49"/>
  <c r="AR64" i="49"/>
  <c r="AP64" i="49"/>
  <c r="P65" i="49"/>
  <c r="AN64" i="49"/>
  <c r="I64" i="49"/>
  <c r="AG64" i="49"/>
  <c r="U64" i="49"/>
  <c r="AM64" i="49"/>
  <c r="AI64" i="49"/>
  <c r="AE64" i="49"/>
  <c r="AA64" i="49"/>
  <c r="AH64" i="49"/>
  <c r="W64" i="49"/>
  <c r="T64" i="49"/>
  <c r="L64" i="49"/>
  <c r="AD64" i="49"/>
  <c r="AB64" i="49"/>
  <c r="Y64" i="49"/>
  <c r="V64" i="49"/>
  <c r="AK64" i="49"/>
  <c r="J64" i="49"/>
  <c r="K64" i="49"/>
  <c r="Z64" i="49"/>
  <c r="R64" i="49"/>
  <c r="AJ64" i="49"/>
  <c r="AC64" i="49"/>
  <c r="E64" i="49"/>
  <c r="N64" i="49"/>
  <c r="O64" i="49"/>
  <c r="H64" i="49"/>
  <c r="Q64" i="49"/>
  <c r="S64" i="49"/>
  <c r="G64" i="49"/>
  <c r="M64" i="49"/>
  <c r="F64" i="49"/>
  <c r="AO64" i="49" s="1"/>
  <c r="AH107" i="49"/>
  <c r="AN107" i="49"/>
  <c r="AM107" i="49"/>
  <c r="AG107" i="49"/>
  <c r="AK107" i="49"/>
  <c r="AP107" i="49"/>
  <c r="N107" i="49"/>
  <c r="J107" i="49"/>
  <c r="Y107" i="49"/>
  <c r="I107" i="49"/>
  <c r="AJ107" i="49"/>
  <c r="O107" i="49"/>
  <c r="Z107" i="49"/>
  <c r="F107" i="49"/>
  <c r="AO107" i="49" s="1"/>
  <c r="P107" i="49"/>
  <c r="G107" i="49"/>
  <c r="V107" i="49"/>
  <c r="AC107" i="49"/>
  <c r="E107" i="49"/>
  <c r="U107" i="49"/>
  <c r="R107" i="49"/>
  <c r="L107" i="49"/>
  <c r="AF107" i="49"/>
  <c r="X107" i="49"/>
  <c r="S107" i="49"/>
  <c r="AB107" i="49"/>
  <c r="AI107" i="49"/>
  <c r="W107" i="49"/>
  <c r="M107" i="49"/>
  <c r="T107" i="49"/>
  <c r="AD107" i="49"/>
  <c r="Q107" i="49"/>
  <c r="AA107" i="49"/>
  <c r="K107" i="49"/>
  <c r="H107" i="49"/>
  <c r="AE107" i="49"/>
  <c r="AN57" i="49"/>
  <c r="AR57" i="49"/>
  <c r="AM57" i="49"/>
  <c r="I57" i="49"/>
  <c r="T57" i="49"/>
  <c r="F57" i="49"/>
  <c r="AC57" i="49"/>
  <c r="AO57" i="49"/>
  <c r="AD57" i="49"/>
  <c r="AQ57" i="49"/>
  <c r="Q57" i="49"/>
  <c r="W57" i="49"/>
  <c r="AB57" i="49"/>
  <c r="Y57" i="49"/>
  <c r="AK57" i="49"/>
  <c r="J57" i="49"/>
  <c r="E57" i="49"/>
  <c r="Z57" i="49"/>
  <c r="K57" i="49"/>
  <c r="O57" i="49"/>
  <c r="U57" i="49"/>
  <c r="M57" i="49"/>
  <c r="AH57" i="49"/>
  <c r="AP57" i="49"/>
  <c r="H57" i="49"/>
  <c r="AA57" i="49"/>
  <c r="R57" i="49"/>
  <c r="AE57" i="49"/>
  <c r="N57" i="49"/>
  <c r="G57" i="49"/>
  <c r="V57" i="49"/>
  <c r="X57" i="49"/>
  <c r="AJ57" i="49"/>
  <c r="L57" i="49"/>
  <c r="P57" i="49"/>
  <c r="AG57" i="49"/>
  <c r="S57" i="49"/>
  <c r="Z39" i="49"/>
  <c r="AP39" i="49"/>
  <c r="AM39" i="49"/>
  <c r="P39" i="49"/>
  <c r="M39" i="49"/>
  <c r="AR39" i="49"/>
  <c r="S39" i="49"/>
  <c r="E39" i="49"/>
  <c r="J39" i="49"/>
  <c r="AI39" i="49"/>
  <c r="W39" i="49"/>
  <c r="AN39" i="49"/>
  <c r="L39" i="49"/>
  <c r="X39" i="49"/>
  <c r="G39" i="49"/>
  <c r="K39" i="49"/>
  <c r="F39" i="49"/>
  <c r="AO39" i="49" s="1"/>
  <c r="AQ39" i="49"/>
  <c r="H39" i="49"/>
  <c r="I28" i="49"/>
  <c r="AM28" i="49"/>
  <c r="AN28" i="49"/>
  <c r="AR28" i="49"/>
  <c r="Q28" i="49"/>
  <c r="AP28" i="49"/>
  <c r="R28" i="49"/>
  <c r="F28" i="49"/>
  <c r="AQ28" i="49"/>
  <c r="E28" i="49"/>
  <c r="X28" i="49"/>
  <c r="AC28" i="49"/>
  <c r="G28" i="49"/>
  <c r="S28" i="49"/>
  <c r="AO28" i="49"/>
  <c r="Y28" i="49"/>
  <c r="AK28" i="49"/>
  <c r="AB28" i="49"/>
  <c r="AE28" i="49"/>
  <c r="Z28" i="49"/>
  <c r="AF28" i="49"/>
  <c r="AG28" i="49"/>
  <c r="P28" i="49"/>
  <c r="L28" i="49"/>
  <c r="M28" i="49"/>
  <c r="O28" i="49"/>
  <c r="AA28" i="49"/>
  <c r="AI28" i="49"/>
  <c r="AD28" i="49"/>
  <c r="K28" i="49"/>
  <c r="N28" i="49"/>
  <c r="H28" i="49"/>
  <c r="T28" i="49"/>
  <c r="AJ28" i="49"/>
  <c r="U28" i="49"/>
  <c r="W28" i="49"/>
  <c r="V28" i="49"/>
  <c r="J28" i="49"/>
  <c r="AH28" i="49"/>
  <c r="AC79" i="49"/>
  <c r="AO79" i="49"/>
  <c r="H79" i="49"/>
  <c r="AM79" i="49"/>
  <c r="Q79" i="49"/>
  <c r="AN79" i="49"/>
  <c r="AH79" i="49"/>
  <c r="U79" i="49"/>
  <c r="F79" i="49"/>
  <c r="T79" i="49"/>
  <c r="P79" i="49"/>
  <c r="AA79" i="49"/>
  <c r="AI79" i="49"/>
  <c r="AB79" i="49"/>
  <c r="AG79" i="49"/>
  <c r="AP79" i="49"/>
  <c r="W79" i="49"/>
  <c r="G79" i="49"/>
  <c r="AE79" i="49"/>
  <c r="V79" i="49"/>
  <c r="X79" i="49"/>
  <c r="R79" i="49"/>
  <c r="M79" i="49"/>
  <c r="K79" i="49"/>
  <c r="O79" i="49"/>
  <c r="AJ79" i="49"/>
  <c r="AK79" i="49"/>
  <c r="S79" i="49"/>
  <c r="AD79" i="49"/>
  <c r="Y79" i="49"/>
  <c r="I79" i="49"/>
  <c r="N79" i="49"/>
  <c r="J79" i="49"/>
  <c r="Z79" i="49"/>
  <c r="L79" i="49"/>
  <c r="E79" i="49"/>
  <c r="AC82" i="49"/>
  <c r="N82" i="49"/>
  <c r="L82" i="49"/>
  <c r="W82" i="49"/>
  <c r="AA82" i="49"/>
  <c r="Z82" i="49"/>
  <c r="Q82" i="49"/>
  <c r="AE82" i="49"/>
  <c r="R82" i="49"/>
  <c r="AB82" i="49"/>
  <c r="P82" i="49"/>
  <c r="X82" i="49"/>
  <c r="AN82" i="49"/>
  <c r="H82" i="49"/>
  <c r="AK82" i="49"/>
  <c r="Y82" i="49"/>
  <c r="T82" i="49"/>
  <c r="AP82" i="49"/>
  <c r="E82" i="49"/>
  <c r="I82" i="49"/>
  <c r="AM82" i="49"/>
  <c r="AH82" i="49"/>
  <c r="U82" i="49"/>
  <c r="AJ82" i="49"/>
  <c r="O82" i="49"/>
  <c r="F82" i="49"/>
  <c r="AO82" i="49"/>
  <c r="K82" i="49"/>
  <c r="M82" i="49"/>
  <c r="J82" i="49"/>
  <c r="AD82" i="49"/>
  <c r="AI82" i="49"/>
  <c r="V82" i="49"/>
  <c r="AG82" i="49"/>
  <c r="G82" i="49"/>
  <c r="S82" i="49"/>
  <c r="I88" i="49"/>
  <c r="AG88" i="49"/>
  <c r="M88" i="49"/>
  <c r="AA88" i="49"/>
  <c r="AK88" i="49"/>
  <c r="AJ88" i="49"/>
  <c r="AE88" i="49"/>
  <c r="N88" i="49"/>
  <c r="F88" i="49"/>
  <c r="Q88" i="49"/>
  <c r="S88" i="49"/>
  <c r="AO88" i="49"/>
  <c r="G88" i="49"/>
  <c r="K88" i="49"/>
  <c r="T88" i="49"/>
  <c r="AN88" i="49"/>
  <c r="AI88" i="49"/>
  <c r="R88" i="49"/>
  <c r="AD88" i="49"/>
  <c r="L88" i="49"/>
  <c r="U88" i="49"/>
  <c r="W88" i="49"/>
  <c r="V88" i="49"/>
  <c r="H88" i="49"/>
  <c r="Y88" i="49"/>
  <c r="AP88" i="49"/>
  <c r="J88" i="49"/>
  <c r="AH88" i="49"/>
  <c r="Z88" i="49"/>
  <c r="AB88" i="49"/>
  <c r="AC88" i="49"/>
  <c r="AM88" i="49"/>
  <c r="E88" i="49"/>
  <c r="O88" i="49"/>
  <c r="AN47" i="49"/>
  <c r="AM47" i="49"/>
  <c r="AB47" i="49"/>
  <c r="J47" i="49"/>
  <c r="Q47" i="49"/>
  <c r="V47" i="49"/>
  <c r="Y47" i="49"/>
  <c r="AH47" i="49"/>
  <c r="T47" i="49"/>
  <c r="R47" i="49"/>
  <c r="X47" i="49"/>
  <c r="S47" i="49"/>
  <c r="AD47" i="49"/>
  <c r="AK47" i="49"/>
  <c r="N47" i="49"/>
  <c r="Z47" i="49"/>
  <c r="E47" i="49"/>
  <c r="AR47" i="49"/>
  <c r="AI47" i="49"/>
  <c r="AA47" i="49"/>
  <c r="P47" i="49"/>
  <c r="L47" i="49"/>
  <c r="F47" i="49"/>
  <c r="AO47" i="49"/>
  <c r="AE47" i="49"/>
  <c r="H47" i="49"/>
  <c r="AG47" i="49"/>
  <c r="G47" i="49"/>
  <c r="AP47" i="49"/>
  <c r="W47" i="49"/>
  <c r="K47" i="49"/>
  <c r="AJ47" i="49"/>
  <c r="AF47" i="49"/>
  <c r="O47" i="49"/>
  <c r="AC47" i="49"/>
  <c r="U47" i="49"/>
  <c r="M47" i="49"/>
  <c r="AQ47" i="49"/>
  <c r="AI57" i="49"/>
  <c r="AN8" i="49"/>
  <c r="AM8" i="49"/>
  <c r="AP8" i="49"/>
  <c r="AF8" i="49"/>
  <c r="K8" i="49"/>
  <c r="J8" i="49"/>
  <c r="I8" i="49"/>
  <c r="L8" i="49"/>
  <c r="AO8" i="49"/>
  <c r="G8" i="49"/>
  <c r="AB8" i="49"/>
  <c r="H8" i="49"/>
  <c r="N8" i="49"/>
  <c r="P8" i="49"/>
  <c r="AA8" i="49"/>
  <c r="E8" i="49"/>
  <c r="F8" i="49"/>
  <c r="M8" i="49"/>
  <c r="M146" i="49"/>
  <c r="Q146" i="49"/>
  <c r="T146" i="49"/>
  <c r="K146" i="49"/>
  <c r="R146" i="49"/>
  <c r="J146" i="49"/>
  <c r="I146" i="49"/>
  <c r="AM146" i="49" s="1"/>
  <c r="Y146" i="49"/>
  <c r="H146" i="49"/>
  <c r="N146" i="49"/>
  <c r="G146" i="49"/>
  <c r="S146" i="49"/>
  <c r="AF146" i="49"/>
  <c r="AE146" i="49"/>
  <c r="AB146" i="49"/>
  <c r="O146" i="49"/>
  <c r="U146" i="49"/>
  <c r="F146" i="49"/>
  <c r="AO146" i="49" s="1"/>
  <c r="AK146" i="49"/>
  <c r="AJ146" i="49"/>
  <c r="E146" i="49"/>
  <c r="X146" i="49"/>
  <c r="L146" i="49"/>
  <c r="AA146" i="49"/>
  <c r="AG146" i="49"/>
  <c r="Z146" i="49"/>
  <c r="W146" i="49"/>
  <c r="AP146" i="49"/>
  <c r="AH146" i="49"/>
  <c r="AD146" i="49"/>
  <c r="P146" i="49"/>
  <c r="V146" i="49"/>
  <c r="AC146" i="49"/>
  <c r="AI146" i="49"/>
  <c r="AP36" i="49"/>
  <c r="AM36" i="49"/>
  <c r="S36" i="49"/>
  <c r="AN36" i="49"/>
  <c r="AQ36" i="49"/>
  <c r="F36" i="49"/>
  <c r="AO36" i="49" s="1"/>
  <c r="P36" i="49"/>
  <c r="Z36" i="49"/>
  <c r="AI36" i="49"/>
  <c r="K36" i="49"/>
  <c r="H36" i="49"/>
  <c r="J36" i="49"/>
  <c r="E36" i="49"/>
  <c r="W36" i="49"/>
  <c r="X36" i="49"/>
  <c r="M36" i="49"/>
  <c r="L36" i="49"/>
  <c r="G36" i="49"/>
  <c r="AR36" i="49"/>
  <c r="AM116" i="49"/>
  <c r="AN116" i="49"/>
  <c r="P116" i="49"/>
  <c r="AR116" i="49"/>
  <c r="AQ116" i="49"/>
  <c r="M116" i="49"/>
  <c r="AP116" i="49"/>
  <c r="L116" i="49"/>
  <c r="AI116" i="49"/>
  <c r="I116" i="49"/>
  <c r="W116" i="49"/>
  <c r="Q116" i="49"/>
  <c r="AE116" i="49"/>
  <c r="Y116" i="49"/>
  <c r="O116" i="49"/>
  <c r="F116" i="49"/>
  <c r="AO116" i="49" s="1"/>
  <c r="AB116" i="49"/>
  <c r="G116" i="49"/>
  <c r="N116" i="49"/>
  <c r="AC116" i="49"/>
  <c r="H116" i="49"/>
  <c r="S116" i="49"/>
  <c r="X116" i="49"/>
  <c r="AK116" i="49"/>
  <c r="J116" i="49"/>
  <c r="T116" i="49"/>
  <c r="AA116" i="49"/>
  <c r="V116" i="49"/>
  <c r="E116" i="49"/>
  <c r="AD116" i="49"/>
  <c r="AH116" i="49"/>
  <c r="K116" i="49"/>
  <c r="U116" i="49"/>
  <c r="AG116" i="49"/>
  <c r="R116" i="49"/>
  <c r="AJ116" i="49"/>
  <c r="Z116" i="49"/>
  <c r="AJ132" i="49"/>
  <c r="AP132" i="49"/>
  <c r="X132" i="49"/>
  <c r="AE132" i="49"/>
  <c r="AD132" i="49"/>
  <c r="W132" i="49"/>
  <c r="AN132" i="49"/>
  <c r="U132" i="49"/>
  <c r="AM132" i="49"/>
  <c r="AF132" i="49"/>
  <c r="Z132" i="49"/>
  <c r="Y132" i="49"/>
  <c r="G132" i="49"/>
  <c r="J132" i="49"/>
  <c r="AI132" i="49"/>
  <c r="AC132" i="49"/>
  <c r="O132" i="49"/>
  <c r="AG132" i="49"/>
  <c r="H132" i="49"/>
  <c r="K132" i="49"/>
  <c r="F132" i="49"/>
  <c r="AO132" i="49"/>
  <c r="V132" i="49"/>
  <c r="T132" i="49"/>
  <c r="L132" i="49"/>
  <c r="AH132" i="49"/>
  <c r="R132" i="49"/>
  <c r="M132" i="49"/>
  <c r="AB132" i="49"/>
  <c r="E132" i="49"/>
  <c r="S132" i="49"/>
  <c r="Q132" i="49"/>
  <c r="I132" i="49"/>
  <c r="AK132" i="49"/>
  <c r="P132" i="49"/>
  <c r="N132" i="49"/>
  <c r="AQ20" i="49"/>
  <c r="AR20" i="49"/>
  <c r="AL20" i="49"/>
  <c r="AP20" i="49"/>
  <c r="I20" i="49"/>
  <c r="H20" i="49"/>
  <c r="P20" i="49"/>
  <c r="G20" i="49"/>
  <c r="E20" i="49"/>
  <c r="AN20" i="49"/>
  <c r="K20" i="49"/>
  <c r="U20" i="49"/>
  <c r="S20" i="49"/>
  <c r="M20" i="49"/>
  <c r="J20" i="49"/>
  <c r="T20" i="49"/>
  <c r="AO20" i="49"/>
  <c r="N20" i="49"/>
  <c r="L20" i="49"/>
  <c r="AM20" i="49"/>
  <c r="R20" i="49"/>
  <c r="F20" i="49"/>
  <c r="Q20" i="49"/>
  <c r="AM90" i="49"/>
  <c r="AN90" i="49"/>
  <c r="AP90" i="49"/>
  <c r="K90" i="49"/>
  <c r="G90" i="49"/>
  <c r="Y90" i="49"/>
  <c r="I90" i="49"/>
  <c r="O90" i="49"/>
  <c r="L90" i="49"/>
  <c r="U90" i="49"/>
  <c r="E90" i="49"/>
  <c r="S90" i="49"/>
  <c r="F90" i="49"/>
  <c r="AO90" i="49" s="1"/>
  <c r="AA90" i="49"/>
  <c r="AD90" i="49"/>
  <c r="W90" i="49"/>
  <c r="AG90" i="49"/>
  <c r="AC90" i="49"/>
  <c r="Z90" i="49"/>
  <c r="R90" i="49"/>
  <c r="AI90" i="49"/>
  <c r="AK90" i="49"/>
  <c r="N90" i="49"/>
  <c r="M90" i="49"/>
  <c r="AB90" i="49"/>
  <c r="Q90" i="49"/>
  <c r="AE90" i="49"/>
  <c r="H90" i="49"/>
  <c r="T90" i="49"/>
  <c r="AJ90" i="49"/>
  <c r="AH90" i="49"/>
  <c r="V90" i="49"/>
  <c r="J90"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tc={0019B8E1-699F-4D92-BBD6-E37C2B05DB6C}</author>
  </authors>
  <commentList>
    <comment ref="M128" authorId="0" shapeId="0" xr:uid="{0019B8E1-699F-4D92-BBD6-E37C2B05DB6C}">
      <text>
        <t>[Threaded comment]
Your version of Excel allows you to read this threaded comment; however, any edits to it will get removed if the file is opened in a newer version of Excel. Learn more: https://go.microsoft.com/fwlink/?linkid=870924
Comment:
    Theres a problem with this calculation in the TRM. We need to address with PPL/Cadmus. I'm defaulting to 0 for now.
Reply:
    This has been corrected based on notes from the SWE. See details to right from email from Priya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tc={4025A3AB-4226-40A5-AC1B-104DB4175CA0}</author>
  </authors>
  <commentList>
    <comment ref="J128" authorId="0" shapeId="0" xr:uid="{4025A3AB-4226-40A5-AC1B-104DB4175CA0}">
      <text>
        <t>[Threaded comment]
Your version of Excel allows you to read this threaded comment; however, any edits to it will get removed if the file is opened in a newer version of Excel. Learn more: https://go.microsoft.com/fwlink/?linkid=870924
Comment:
    Theres a problem with this calculation in the TRM. We need to address with PPL/Cadmus. I'm defaulting to 0 for now.
Reply:
    This has been corrected based on notes from the SWE. See details to right from email from Priya</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<sst xmlns="http://schemas.openxmlformats.org/spreadsheetml/2006/main" count="7112" uniqueCount="895">
  <si>
    <t>ZIP3</t>
  </si>
  <si>
    <t>ZCTA/ZIP</t>
  </si>
  <si>
    <t>Climat Region (CR)</t>
  </si>
  <si>
    <t>Reference City</t>
  </si>
  <si>
    <t>H</t>
  </si>
  <si>
    <t>Pittsburgh</t>
  </si>
  <si>
    <t>E</t>
  </si>
  <si>
    <t>Harrisburg</t>
  </si>
  <si>
    <t>I</t>
  </si>
  <si>
    <t>Erie</t>
  </si>
  <si>
    <t>G</t>
  </si>
  <si>
    <t>Bradford</t>
  </si>
  <si>
    <t>F</t>
  </si>
  <si>
    <t>Williamsport</t>
  </si>
  <si>
    <t>B</t>
  </si>
  <si>
    <t>Scranton</t>
  </si>
  <si>
    <t>D</t>
  </si>
  <si>
    <t>Philadelphia</t>
  </si>
  <si>
    <t>C</t>
  </si>
  <si>
    <t>Allentown</t>
  </si>
  <si>
    <t>A</t>
  </si>
  <si>
    <t>Binghamton, NY</t>
  </si>
  <si>
    <t>Savings Methodologies</t>
  </si>
  <si>
    <t>High Efficiency Refrigeration/Freezer Cases</t>
  </si>
  <si>
    <t>High-Efficiency Evaporator Fan Motors For Walk reach-In Refrigerated Cases</t>
  </si>
  <si>
    <t>High-Efficiency Evaporator Fan Motors For Walk-In Refrigerated Cases</t>
  </si>
  <si>
    <t>Evaporator Fan Controllers</t>
  </si>
  <si>
    <r>
      <rPr>
        <u/>
        <sz val="10"/>
        <color theme="1"/>
        <rFont val="Arial"/>
        <family val="2"/>
      </rPr>
      <t>Eligibility</t>
    </r>
    <r>
      <rPr>
        <sz val="10"/>
        <color theme="1"/>
        <rFont val="Arial"/>
        <family val="2"/>
      </rPr>
      <t xml:space="preserve">: To be eligible, refrigerators and freezers must be self-contained and have vertically-closed glass or solid doors . 
</t>
    </r>
    <r>
      <rPr>
        <u/>
        <sz val="10"/>
        <color theme="1"/>
        <rFont val="Arial"/>
        <family val="2"/>
      </rPr>
      <t xml:space="preserve">
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</si>
  <si>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This measure applies only to the replacement of functioning equipment. 
</t>
    </r>
    <r>
      <rPr>
        <u/>
        <sz val="10"/>
        <color theme="1"/>
        <rFont val="Arial"/>
        <family val="2"/>
      </rPr>
      <t xml:space="preserve">
Methodology</t>
    </r>
    <r>
      <rPr>
        <sz val="10"/>
        <color theme="1"/>
        <rFont val="Arial"/>
        <family val="2"/>
      </rPr>
      <t>: The energy savings are obtained through the following equations -</t>
    </r>
  </si>
  <si>
    <r>
      <rPr>
        <u/>
        <sz val="10"/>
        <color theme="1"/>
        <rFont val="Arial"/>
        <family val="2"/>
      </rPr>
      <t>Eligibility</t>
    </r>
    <r>
      <rPr>
        <sz val="10"/>
        <color theme="1"/>
        <rFont val="Arial"/>
        <family val="2"/>
      </rPr>
      <t xml:space="preserve">: This measure applies only to the replacement of functioning equipment. 
</t>
    </r>
    <r>
      <rPr>
        <u/>
        <sz val="10"/>
        <color theme="1"/>
        <rFont val="Arial"/>
        <family val="2"/>
      </rPr>
      <t xml:space="preserve">
Methodology</t>
    </r>
    <r>
      <rPr>
        <sz val="10"/>
        <color theme="1"/>
        <rFont val="Arial"/>
        <family val="2"/>
      </rPr>
      <t xml:space="preserve">: The energy savings are obtained through the following equations -
</t>
    </r>
  </si>
  <si>
    <r>
      <rPr>
        <u/>
        <sz val="10"/>
        <color theme="1"/>
        <rFont val="Arial"/>
        <family val="2"/>
      </rPr>
      <t>Methodology</t>
    </r>
    <r>
      <rPr>
        <sz val="10"/>
        <color theme="1"/>
        <rFont val="Arial"/>
        <family val="2"/>
      </rPr>
      <t>: The energy savings are obtained through the following equations -</t>
    </r>
  </si>
  <si>
    <t>Floating Head Pressure Controls</t>
  </si>
  <si>
    <t>Anti-Sweat Door Heater Controls</t>
  </si>
  <si>
    <t>Evaporator Coil Defrost Controls</t>
  </si>
  <si>
    <t>Variable Speed Refrigeration Compressor</t>
  </si>
  <si>
    <r>
      <rPr>
        <u/>
        <sz val="10"/>
        <color theme="1"/>
        <rFont val="Arial"/>
        <family val="2"/>
      </rPr>
      <t>Eligibility</t>
    </r>
    <r>
      <rPr>
        <sz val="10"/>
        <color theme="1"/>
        <rFont val="Arial"/>
        <family val="2"/>
      </rPr>
      <t xml:space="preserve">: To qualify for this measure, the FHPC must be installed in on a signelsingle-compressor refrigeration system in a commercial application. To qualify for this measure, a balanced-port or electronic expansion valve that is sized to meet the refrigeration load at 70ºF condensing temperature must be installed. This measure applies to FHPCs on a single-compressor (≥ 1 hp) refrigeration system in commercial applications. To be eligible, FHPCs must be programmed to have a minimum saturated condensing temperature of ≤ 70ºF. To qualify for this measure, aA balanced-port or electronic expansion valve that is sized to meet the refrigeration load at 70ºF condensing temperature must be installed.  Alternately, a device which supplements the refrigeration to each evaporator, which is attached to a condenser that is reducing head pressure, can be installed.  
</t>
    </r>
    <r>
      <rPr>
        <u/>
        <sz val="10"/>
        <color theme="1"/>
        <rFont val="Arial"/>
        <family val="2"/>
      </rPr>
      <t>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</si>
  <si>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To be eligible, ASH controls must be retrofit on reach-in glass door refrigerators with uncontrolled anti-sweat heaters. 
</t>
    </r>
    <r>
      <rPr>
        <u/>
        <sz val="10"/>
        <color theme="1"/>
        <rFont val="Arial"/>
        <family val="2"/>
      </rPr>
      <t>Methodology</t>
    </r>
    <r>
      <rPr>
        <sz val="10"/>
        <color theme="1"/>
        <rFont val="Arial"/>
        <family val="2"/>
      </rPr>
      <t>: The energy savings are obtained through the following equations -</t>
    </r>
  </si>
  <si>
    <r>
      <rPr>
        <u/>
        <sz val="10"/>
        <color theme="1"/>
        <rFont val="Arial"/>
        <family val="2"/>
      </rPr>
      <t>Eligibility</t>
    </r>
    <r>
      <rPr>
        <sz val="10"/>
        <color theme="1"/>
        <rFont val="Arial"/>
        <family val="2"/>
      </rPr>
      <t xml:space="preserve">: To be eligible, an existing small commercial walk-in cooler or freezer without defrost controls must be retrofit with defrost controls. 
</t>
    </r>
    <r>
      <rPr>
        <u/>
        <sz val="10"/>
        <color theme="1"/>
        <rFont val="Arial"/>
        <family val="2"/>
      </rPr>
      <t>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</si>
  <si>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To be eligible, a VSD control system must replace an existing slide valve control system on a refrigeration compressor. 
</t>
    </r>
    <r>
      <rPr>
        <u/>
        <sz val="10"/>
        <color theme="1"/>
        <rFont val="Arial"/>
        <family val="2"/>
      </rPr>
      <t>Methodology</t>
    </r>
    <r>
      <rPr>
        <sz val="10"/>
        <color theme="1"/>
        <rFont val="Arial"/>
        <family val="2"/>
      </rPr>
      <t>: The energy savings are obtained through the following equations -</t>
    </r>
  </si>
  <si>
    <t>Strip Curtains for Walk-In Freezers amd Coolers</t>
  </si>
  <si>
    <t>Night Covers For Display Cases</t>
  </si>
  <si>
    <t>Auto Closers For Walk-In Cooler/Freezer Doors</t>
  </si>
  <si>
    <t>Door Gaskets For Walk-In And Reach-In Coolers And Freezers</t>
  </si>
  <si>
    <r>
      <rPr>
        <u/>
        <sz val="10"/>
        <color theme="1"/>
        <rFont val="Arial"/>
        <family val="2"/>
      </rPr>
      <t>Eligibility</t>
    </r>
    <r>
      <rPr>
        <sz val="10"/>
        <color theme="1"/>
        <rFont val="Arial"/>
        <family val="2"/>
      </rPr>
      <t xml:space="preserve">: This measure applies when strip curtains are added to walk-in cooler and freezer door openings which previously had either no strip curtain or an ineffective strip curtain. Strip curtains must be installed in a grocery, convenience store, or restaurant and the curtain must be at least 0.06 inches thick. Special low temperature strip curtains must be used on low temperature applications.
</t>
    </r>
    <r>
      <rPr>
        <u/>
        <sz val="10"/>
        <color theme="1"/>
        <rFont val="Arial"/>
        <family val="2"/>
      </rPr>
      <t xml:space="preserve">
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</si>
  <si>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An auto-closer should be applied to the main insulated opaque door(s) of a walk-in cooler or freezer. This measure applies only to the new installation of an auto-closer on a door not previously equipped with an auto-closer and assumes the doors have strip curtains. The auto-closer must be able to firmly close a door that is within one inch of full closure. Door perimeter must measure  ≥16 ft.
</t>
    </r>
    <r>
      <rPr>
        <u/>
        <sz val="10"/>
        <color theme="1"/>
        <rFont val="Arial"/>
        <family val="2"/>
      </rPr>
      <t xml:space="preserve">
Methodology</t>
    </r>
    <r>
      <rPr>
        <sz val="10"/>
        <color theme="1"/>
        <rFont val="Arial"/>
        <family val="2"/>
      </rPr>
      <t xml:space="preserve">: The energy savings are obtained through the following equations -
</t>
    </r>
  </si>
  <si>
    <t>Special Doors With Low Or No Anti-Sweat Heat For Low Temperature Cases</t>
  </si>
  <si>
    <t>Suction Pipe Insulation For Walk-In Coolers And Freezers</t>
  </si>
  <si>
    <t xml:space="preserve">Refrigerated Display Cases With Zero Heat Doors Replacing Open Cases  </t>
  </si>
  <si>
    <t>Adding Doors to Existing Refrigerated Display Cases</t>
  </si>
  <si>
    <r>
      <rPr>
        <u/>
        <sz val="10"/>
        <color theme="1"/>
        <rFont val="Arial"/>
        <family val="2"/>
      </rPr>
      <t>Eligibility</t>
    </r>
    <r>
      <rPr>
        <sz val="10"/>
        <color theme="1"/>
        <rFont val="Arial"/>
        <family val="2"/>
      </rPr>
      <t xml:space="preserve">: To be eligible, a no-heat/low-heat clear glass door, no less than 57 inches in height, must be installed on an upright display case in a new or retrofit application. New doors must have either heat reflective treated glass, be gas filled, or both. This measure applies to low temperature (&lt;0°F) cases only. To be eligible, doors must have at least 3 panes of glass. Total door rail, glass, and frame heater amperage (@ 120 volt) cannot exceed 0.39 amps per door. 
</t>
    </r>
    <r>
      <rPr>
        <u/>
        <sz val="10"/>
        <color theme="1"/>
        <rFont val="Arial"/>
        <family val="2"/>
      </rPr>
      <t>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</si>
  <si>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To be eligible, the suction pipe insulation must: 
 Installed in a grocery or restaurant walk-in cooler or freezer
 Insulate bare refrigeration suction lines 1-5/8 inches in diameter or less on existing equipment only
 For medium temperature lines, be 3/4 inch-thick, flexible, closed-cell, nitrite rubber or an equivalent insulation
 For low temperature lines, be 1-inch-thick flexible, closed-cell, nitrite rubber or an equivalent insulation
 Be protected from the weather, if outdoors (i.e. with medium-gauge aluminum jacket) 
</t>
    </r>
    <r>
      <rPr>
        <u/>
        <sz val="10"/>
        <color theme="1"/>
        <rFont val="Arial"/>
        <family val="2"/>
      </rPr>
      <t>Methodology</t>
    </r>
    <r>
      <rPr>
        <sz val="10"/>
        <color theme="1"/>
        <rFont val="Arial"/>
        <family val="2"/>
      </rPr>
      <t>: The energy savings are obtained through the following equations -</t>
    </r>
  </si>
  <si>
    <r>
      <rPr>
        <u/>
        <sz val="10"/>
        <color theme="1"/>
        <rFont val="Arial"/>
        <family val="2"/>
      </rPr>
      <t>Eligibility</t>
    </r>
    <r>
      <rPr>
        <sz val="10"/>
        <color theme="1"/>
        <rFont val="Arial"/>
        <family val="2"/>
      </rPr>
      <t xml:space="preserve">: This applies only to the replacement of open, vertical display cases with new closed display cases having no antisweat heater controls (zero energy doors). Horizontal cases are not eligible and should be submitted as custom.   If a lighting retrofit is included with the new case, it must consume the same amount of energy or less than the old lighting. Upgrades to lighting or other system components should be submitted separately.
</t>
    </r>
    <r>
      <rPr>
        <u/>
        <sz val="10"/>
        <color theme="1"/>
        <rFont val="Arial"/>
        <family val="2"/>
      </rPr>
      <t>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</si>
  <si>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The eligible retrofit equipment is either no sweat doors or doors with anti-sweat heaters. If a lighting retrofit is included with the new doors, it must consume the same amount of energy or less energy than the old lighting. Upgrades to lighting or other system components should be processed separately. Horizontal cases are not eligible and should be processed as custom.
</t>
    </r>
    <r>
      <rPr>
        <u/>
        <sz val="10"/>
        <color theme="1"/>
        <rFont val="Arial"/>
        <family val="2"/>
      </rPr>
      <t>Methodology</t>
    </r>
    <r>
      <rPr>
        <sz val="10"/>
        <color theme="1"/>
        <rFont val="Arial"/>
        <family val="2"/>
      </rPr>
      <t>: The energy savings are obtained through the following equations -</t>
    </r>
  </si>
  <si>
    <t>PPL Direct Discount Program</t>
  </si>
  <si>
    <t>Customer Acknowledgement (please initial):   _______________
Contractor Acknowledgement (please initial):  _______________</t>
  </si>
  <si>
    <t>Date:   _______________
Date:  _______________</t>
  </si>
  <si>
    <t>Summary Table</t>
  </si>
  <si>
    <t>This project's annual electric savings are equivalent to:</t>
  </si>
  <si>
    <t>Project Cost:</t>
  </si>
  <si>
    <t>acres of forest saved</t>
  </si>
  <si>
    <t>Energy Savings (kWh):</t>
  </si>
  <si>
    <t>Annual Cost Savings:</t>
  </si>
  <si>
    <t>Available Utility Incentive:</t>
  </si>
  <si>
    <t>miles driven by an average car</t>
  </si>
  <si>
    <t>Cost to Customer:</t>
  </si>
  <si>
    <t>Simple Pay Back (Yrs.)</t>
  </si>
  <si>
    <t>tons of waste recycled instead of landfilled</t>
  </si>
  <si>
    <t>BY THE NUMBERS</t>
  </si>
  <si>
    <t>COST OF WAITING</t>
  </si>
  <si>
    <t>gallons of gasoline consumed</t>
  </si>
  <si>
    <t>Available Utility Incentive</t>
  </si>
  <si>
    <t>Monthly</t>
  </si>
  <si>
    <t>pounds of coal burned</t>
  </si>
  <si>
    <t>Return on Investment</t>
  </si>
  <si>
    <t>Annually</t>
  </si>
  <si>
    <t>Factors from US EPA GHG Equivalencies Calculator</t>
  </si>
  <si>
    <t>Measure List row</t>
  </si>
  <si>
    <t>Measure</t>
  </si>
  <si>
    <t>Measure Details</t>
  </si>
  <si>
    <t>Quantity</t>
  </si>
  <si>
    <t>Project Cost ($)</t>
  </si>
  <si>
    <t>Energy Savings (kWh)</t>
  </si>
  <si>
    <t>Utility Cost Savings ($)</t>
  </si>
  <si>
    <t>Incentive ($)</t>
  </si>
  <si>
    <t>Cost to Customer</t>
  </si>
  <si>
    <t>Input Instructions</t>
  </si>
  <si>
    <t>Yellow cells indicate that user input is required. Cells with a * are required.</t>
  </si>
  <si>
    <t xml:space="preserve">Grey cells are estimated values. </t>
  </si>
  <si>
    <t>Worksheet Summary</t>
  </si>
  <si>
    <t>Methodology</t>
  </si>
  <si>
    <t>Provides methodology for savings estimations.</t>
  </si>
  <si>
    <t>Project Summary</t>
  </si>
  <si>
    <t>This provides summary of estimated savings along with some required inputs.</t>
  </si>
  <si>
    <t>3.5.1 High Efficiency Refrigeration/Freezer Cases</t>
  </si>
  <si>
    <t>This protocol estimates savings for installing high efficiency refrigeration and freezer cases that exceed federal efficiency standards. Eligible refrigerators and freezers are self-contained with vertical-closed transparent or solid doors. The measurement of energy and demand savings is based on algorithms with volume as the key variable.</t>
  </si>
  <si>
    <t>3.5.2/3.5.3 High Efficiency Evaporative Fan Motors for Refrigerated Cases</t>
  </si>
  <si>
    <t>This protocol covers energy and demand savings associated with the replacement of existing shaded-pole evaporator fan motors or Permanent Split Capacitor (PSC) motors in reach-in refrigerated display cases with an Electronically Commutated (ECM).</t>
  </si>
  <si>
    <t>3.5.4 Evaporator Fan Controllers</t>
  </si>
  <si>
    <t>This measure is for the installation of evaporator fan controls in medium-temperature walk-in coolers with no pre-existing controls.</t>
  </si>
  <si>
    <t>3.5.5 Floating Head Pressure Controls</t>
  </si>
  <si>
    <t>This protocol documents the energy savings attributed to FHPCs applied to a single-compressor refrigeration system in commercial applications. The baseline case is a refrigeration system without FHPC whereas the efficient case is a refrigeration system with FHPC.</t>
  </si>
  <si>
    <t>3.5.6 Anti Sweat Heater Controls</t>
  </si>
  <si>
    <t>Anti-sweat heater (ASH) controls sense the humidity in the store outside of reach-in, glass door refrigerated cases and turn off anti-sweat heaters during periods of low humidity.</t>
  </si>
  <si>
    <t>3.5.7 Evaporator Coil Defrost Control</t>
  </si>
  <si>
    <t>This measure is targeted to non-residential customers whose equipment uses electric defrost controls on small commercial walk-in freezer systems.</t>
  </si>
  <si>
    <t>3.5.8 Variable Speed Refrigeration Compressor</t>
  </si>
  <si>
    <t>This measure, VSD control for refrigeration systems and its eligibility targets applies to retrofit construction in the commercial and industrial building sectors; it is most applicable to grocery stores or food processing applications with refrigeration systems. This protocol is for a VSD control system replacing a slide valve control system.</t>
  </si>
  <si>
    <t>3.5.9 Strip Curtains for Walk In Freezers and Coolers</t>
  </si>
  <si>
    <t>This protocol documents the energy savings attributed to strip curtains applied on walk-in cooler and freezer doors in commercial applications.</t>
  </si>
  <si>
    <t>3.5.10 Night Covers for Display Cases</t>
  </si>
  <si>
    <t>This measure documents the energy savings associated with the installation of night covers on existing open-type refrigerated display cases, where covers are deployed during the facility’s unoccupied hours in order to reduce refrigeration energy consumption.</t>
  </si>
  <si>
    <t>3.5.11 Auto Closer (Walk Ins Only)</t>
  </si>
  <si>
    <t>This protocol documents the energy savings attributed to installation of auto closers in walk-in coolers and freezers. The auto-closer must be able to firmly close the door when it is within one inch of full closure. The walk-in door perimeter must be ≥ 16 ft.</t>
  </si>
  <si>
    <t>3.5.12 Door Gaskets for Walk In and Reach In Coolers and Freezers</t>
  </si>
  <si>
    <t>The following protocol for the measurement of energy and demand savings is applicable to commercial refrigeration and applies to the replacement of worn-out gaskets with new better-fitting gaskets. Applicable gaskets include those located on the doors of walk-in and/or reach-in coolers and freezers.</t>
  </si>
  <si>
    <t>3.5.13 Special Doors with Low or Anti Sweat Heat for Low Temp Case</t>
  </si>
  <si>
    <t>For this measure, a no-heat/low-heat clear glass door must be installed on an upright display case. It is limited to door heights of 57 inches or more. Doors must have either heat reflective treated glass, be gas filled, or both. This measure applies to low temperature cases only—those with a case temperature below 0°F. Doors must have 3 or more panes. Total door rail, glass, and frame heater amperage (@ 120 volt) cannot exceed 0.39 amps per door for low temperature display cases. Rebate is based on the door width (not including case frame).</t>
  </si>
  <si>
    <t>3.5.14 Suction Pipe Insulation For Walk In Coolers and Freezers</t>
  </si>
  <si>
    <t>This measure applies to the installation of insulation on existing bare suction lines (the larger diameter lines that run from the evaporator to the compressor) that are located outside of the refrigerated space for walk-in coolers and freezers. Insulation impedes heat transfer from the ambient air to the suction lines, thereby reducing undesirable system superheat.</t>
  </si>
  <si>
    <t>3.5.15 Refrigerated Display Cases with Doors Replacing Open Cases</t>
  </si>
  <si>
    <t>The eligible equipment is a new case with no sweat doors that meets federal standard requirements. If a lighting retrofit is included with the new case, it must consume the same amount of energy or less than the old lighting.</t>
  </si>
  <si>
    <t>3.5.16 Adding Doors to Existing Refrigerated Display Cases</t>
  </si>
  <si>
    <t>This measure considers adding doors to existing vertical open display cases. The baseline equipment is an existing vertical display case of medium temperature with no doors. The display cases should be medium temperature (typically for dairy, meats, or beverages) as opposed to low temperature (typically for frozen food and ice cream).</t>
  </si>
  <si>
    <t>Version Log</t>
  </si>
  <si>
    <t>The Version Log Worksheet tracks updates and changes made to the workbook.</t>
  </si>
  <si>
    <t>Glossary of Inputs</t>
  </si>
  <si>
    <t>Date</t>
  </si>
  <si>
    <t>Date the estimator is completed.</t>
  </si>
  <si>
    <t>Project Name</t>
  </si>
  <si>
    <t>Name of project for reference.</t>
  </si>
  <si>
    <t>Address</t>
  </si>
  <si>
    <t>Physical location of project.</t>
  </si>
  <si>
    <t>Installation Date</t>
  </si>
  <si>
    <t>Date the project is completed.</t>
  </si>
  <si>
    <t>Project Cost*</t>
  </si>
  <si>
    <t>The cost associated with the project. Required for incentive calculation.</t>
  </si>
  <si>
    <t>Location*</t>
  </si>
  <si>
    <t>The nearest city to the project location.</t>
  </si>
  <si>
    <t>Building Type*</t>
  </si>
  <si>
    <t>Unit Id</t>
  </si>
  <si>
    <t>The ID of the unit for reference.</t>
  </si>
  <si>
    <t>Manufacturer</t>
  </si>
  <si>
    <t>The manufacturer of the installed unit.</t>
  </si>
  <si>
    <t>Model Number</t>
  </si>
  <si>
    <t>The model number of the installed unit.</t>
  </si>
  <si>
    <t>Project Type*</t>
  </si>
  <si>
    <t>The type of project be completed, either retrofit or new construction.</t>
  </si>
  <si>
    <t>Case Type*</t>
  </si>
  <si>
    <t xml:space="preserve">This identifies the case type in the individual measure. </t>
  </si>
  <si>
    <t>Volume Category*</t>
  </si>
  <si>
    <t>The volume grouping that the unit goes too.</t>
  </si>
  <si>
    <t>Nameplate Volume*</t>
  </si>
  <si>
    <t>The actual volume of the unit.</t>
  </si>
  <si>
    <t>Door Type*</t>
  </si>
  <si>
    <t>The type of door on the unit.</t>
  </si>
  <si>
    <t>Quantity*</t>
  </si>
  <si>
    <t>The quantity for the specific measures.</t>
  </si>
  <si>
    <t>Cooling Type*</t>
  </si>
  <si>
    <t>The cooling type used on the unit.</t>
  </si>
  <si>
    <t>Existing Motor Type*</t>
  </si>
  <si>
    <t>The kind of motor used before the change.</t>
  </si>
  <si>
    <t>Motor Wattage*</t>
  </si>
  <si>
    <t>The wattage of the motor.</t>
  </si>
  <si>
    <t>Compressor Voltage*</t>
  </si>
  <si>
    <t>The voltage of the compressor from the nameplate.</t>
  </si>
  <si>
    <t>Compressor Amperage*</t>
  </si>
  <si>
    <t>The amperage of the compressor from the nameplate.</t>
  </si>
  <si>
    <t>Fan Voltage*</t>
  </si>
  <si>
    <t>The voltage of the fan from the nameplate.</t>
  </si>
  <si>
    <t>Fan Amperage*</t>
  </si>
  <si>
    <t>The amperage of the fan from the nameplate.</t>
  </si>
  <si>
    <t>Unit Type*</t>
  </si>
  <si>
    <t>The type of the unit in the specific measure.</t>
  </si>
  <si>
    <t>Tons*</t>
  </si>
  <si>
    <t>The tonnage of the unit in the measure.</t>
  </si>
  <si>
    <t>Strip Thickness &gt;0.06 Inches*</t>
  </si>
  <si>
    <t>Verification of the strip thickness.</t>
  </si>
  <si>
    <t>Pre Existing Curtains*</t>
  </si>
  <si>
    <t>Identification of pre existing conditions.</t>
  </si>
  <si>
    <r>
      <t>Area of Strip Curtains per Case (ft</t>
    </r>
    <r>
      <rPr>
        <vertAlign val="superscript"/>
        <sz val="11"/>
        <color theme="1"/>
        <rFont val="Arial"/>
        <family val="2"/>
        <scheme val="minor"/>
      </rPr>
      <t>2</t>
    </r>
    <r>
      <rPr>
        <sz val="11"/>
        <color theme="1"/>
        <rFont val="Arial"/>
        <family val="2"/>
        <scheme val="minor"/>
      </rPr>
      <t>)*</t>
    </r>
  </si>
  <si>
    <t>The area in sq. ft that the strip curtains will be installed in.</t>
  </si>
  <si>
    <t>Temperature*</t>
  </si>
  <si>
    <t>The operating temperature for the measure.</t>
  </si>
  <si>
    <t>Width of Opening*</t>
  </si>
  <si>
    <t>The width of the opening for the measure.</t>
  </si>
  <si>
    <r>
      <t>Operating Temp &lt;0</t>
    </r>
    <r>
      <rPr>
        <vertAlign val="superscript"/>
        <sz val="11"/>
        <color theme="1"/>
        <rFont val="Arial"/>
        <family val="2"/>
        <scheme val="minor"/>
      </rPr>
      <t>o</t>
    </r>
    <r>
      <rPr>
        <sz val="11"/>
        <color theme="1"/>
        <rFont val="Arial"/>
        <family val="2"/>
        <scheme val="minor"/>
      </rPr>
      <t>F*</t>
    </r>
  </si>
  <si>
    <t>The verification of the operating temperature being less than 0 degrees.</t>
  </si>
  <si>
    <t>BTUh/door*</t>
  </si>
  <si>
    <t>The rated Btuh/door from the nameplate.</t>
  </si>
  <si>
    <t>EER Rating*</t>
  </si>
  <si>
    <t>The rated EER rating.</t>
  </si>
  <si>
    <t>Glossary of Outputs</t>
  </si>
  <si>
    <t>kWh Savings</t>
  </si>
  <si>
    <t>This is the anticipated kWh savings of the line item or measure.</t>
  </si>
  <si>
    <t>kWh</t>
  </si>
  <si>
    <t>kW savings</t>
  </si>
  <si>
    <t>This is the anticipated peak kW savings of the line item/measure.</t>
  </si>
  <si>
    <t>Incentive</t>
  </si>
  <si>
    <t>This is the estimated incentive based on project cost and kWh savings.</t>
  </si>
  <si>
    <t>Run Hours</t>
  </si>
  <si>
    <t>This is the prescriptive hours of use based on location and facility type.</t>
  </si>
  <si>
    <t>Coincidence Factor</t>
  </si>
  <si>
    <t>This is the prescriptive coincidence factor based on the location and facility type.</t>
  </si>
  <si>
    <t>ESF</t>
  </si>
  <si>
    <t>This is a Energy Savings Factor based on inputs from the VFD tab.</t>
  </si>
  <si>
    <t>DSF</t>
  </si>
  <si>
    <t>This is a Demand Savings Factor based on inputs from the VFD tab.</t>
  </si>
  <si>
    <t>HIDE</t>
  </si>
  <si>
    <t>Version</t>
  </si>
  <si>
    <t>Last Updated</t>
  </si>
  <si>
    <t>Instructions: Enter the project information in the yellow cells below. Cells with a * are required. See Instructions Worksheet for more information.</t>
  </si>
  <si>
    <t>Zip Code</t>
  </si>
  <si>
    <t>Prepared By*</t>
  </si>
  <si>
    <t>Utility Rate Code*</t>
  </si>
  <si>
    <t>Electric Rate ($/kWh)*</t>
  </si>
  <si>
    <t>Demand Rate ($/kW)*</t>
  </si>
  <si>
    <t>Summer kW Savings</t>
  </si>
  <si>
    <t>Winter kW Savings</t>
  </si>
  <si>
    <t>Average kW Savings</t>
  </si>
  <si>
    <t>Total Uncapped Incentive</t>
  </si>
  <si>
    <t>High Efficiency Evaporative Fan Motors for Refrigerated Cases</t>
  </si>
  <si>
    <t>Anti Sweat Heater Controls</t>
  </si>
  <si>
    <t>Evaporator Coil Defrost Control</t>
  </si>
  <si>
    <t>Strip Curtains for Walk In Freezers and Coolers</t>
  </si>
  <si>
    <t>Night Covers for Display Cases</t>
  </si>
  <si>
    <t>Auto Closer (Walk Ins Only)</t>
  </si>
  <si>
    <t>Door Gaskets for Walk In and Reach In Coolers and Freezers</t>
  </si>
  <si>
    <t>Special Doors with Low or Anti Sweat Heat for Low Temp Case</t>
  </si>
  <si>
    <t>Suction Pipe Insulation For Walk In Coolers and Freezers</t>
  </si>
  <si>
    <t>Refrigerated Display Cases with Doors Replacing Open Cases</t>
  </si>
  <si>
    <t>Air Cooled Refrigerated Condenser</t>
  </si>
  <si>
    <t>Refrigeration Economizers</t>
  </si>
  <si>
    <t>Total</t>
  </si>
  <si>
    <t>Quantity__c</t>
  </si>
  <si>
    <t>Description_Product_Style__c</t>
  </si>
  <si>
    <t>Total_Incentive_New__c</t>
  </si>
  <si>
    <t>End_Date__c</t>
  </si>
  <si>
    <t>Annual_Electric_Energy_Savings_kwh__c</t>
  </si>
  <si>
    <t>Summer_Coincident_Peak_Demand_Savings_kW__c</t>
  </si>
  <si>
    <t>Calculator_Version__c</t>
  </si>
  <si>
    <t>Make__c</t>
  </si>
  <si>
    <t>Model__c</t>
  </si>
  <si>
    <t>Building_Type__c</t>
  </si>
  <si>
    <t>ENERGY_STAR_Unique_ID__c</t>
  </si>
  <si>
    <t>Number_of_Doors__c</t>
  </si>
  <si>
    <t>Refrigeration_Type__c</t>
  </si>
  <si>
    <t>Baseline_Motor_Horsepower_hp__c</t>
  </si>
  <si>
    <t>Existing_Motor_Type__c</t>
  </si>
  <si>
    <t>Efficient_Motor_Horsepower_hp_number__c</t>
  </si>
  <si>
    <t>Efficient_Motor_Power_watts__c</t>
  </si>
  <si>
    <t>Factor_Text_4__c</t>
  </si>
  <si>
    <t>Factor_Text_2__c</t>
  </si>
  <si>
    <t>Factor_Text_3__c</t>
  </si>
  <si>
    <t>Refrigeration_Capacity_Tons__c</t>
  </si>
  <si>
    <t>Compressor_Horsepower_hp__c</t>
  </si>
  <si>
    <t>Efficient_COP__c</t>
  </si>
  <si>
    <t>Door_Type__c</t>
  </si>
  <si>
    <t>Volume_cubic_feet__c</t>
  </si>
  <si>
    <t>Pre_Existing_Curtains__c</t>
  </si>
  <si>
    <t>Area_sqft__c</t>
  </si>
  <si>
    <t>Height_in__c</t>
  </si>
  <si>
    <t>Case_Type__c</t>
  </si>
  <si>
    <t>Baseline_Wattage__c</t>
  </si>
  <si>
    <t>Efficient_Wattage__c</t>
  </si>
  <si>
    <t>CNI_Refrigeration_Temperature__c</t>
  </si>
  <si>
    <t>Width_ft__c</t>
  </si>
  <si>
    <t>Length_in_Feet__c</t>
  </si>
  <si>
    <t>Number_of_Evaporator_Fans__c</t>
  </si>
  <si>
    <t>Child___Average_Demand_Savings_kW__c</t>
  </si>
  <si>
    <t>Child___WC_Peak_Demand_Savings_kW__c</t>
  </si>
  <si>
    <t>Incentive_Unit__c</t>
  </si>
  <si>
    <t>Date_Installed__c</t>
  </si>
  <si>
    <t>Child___ETDF_Summer__c</t>
  </si>
  <si>
    <t>Child___ETDF_Winter__c</t>
  </si>
  <si>
    <t>DSMT Measure Name</t>
  </si>
  <si>
    <t>Line Item</t>
  </si>
  <si>
    <t>Measure Quantity</t>
  </si>
  <si>
    <t>Measure Code Measure Description</t>
  </si>
  <si>
    <t>Project End Date</t>
  </si>
  <si>
    <t>Total Energy Savings (kWh)</t>
  </si>
  <si>
    <t>SC Energy Savings (kW)</t>
  </si>
  <si>
    <t>Estimator Version Number</t>
  </si>
  <si>
    <t>Make/Manufacturer</t>
  </si>
  <si>
    <t>Building Type</t>
  </si>
  <si>
    <t>Energy Star Product ID</t>
  </si>
  <si>
    <t>Number of Doors</t>
  </si>
  <si>
    <t>Refrigeration Type</t>
  </si>
  <si>
    <t>Baseline Motor HP</t>
  </si>
  <si>
    <t>Existing Motor Type</t>
  </si>
  <si>
    <t>Efficient Motor HP</t>
  </si>
  <si>
    <t>Efficient Motor Watts</t>
  </si>
  <si>
    <t>Efficient Motor Type</t>
  </si>
  <si>
    <t>Control Type</t>
  </si>
  <si>
    <t>Condensing Unit Type</t>
  </si>
  <si>
    <t>Refrigeration Tonnage</t>
  </si>
  <si>
    <t>Compressor HP</t>
  </si>
  <si>
    <t>COP</t>
  </si>
  <si>
    <t>Door Type</t>
  </si>
  <si>
    <t>Case Volume</t>
  </si>
  <si>
    <t>Pre Existing Curtains</t>
  </si>
  <si>
    <t>Area SQFT</t>
  </si>
  <si>
    <t>Height in (Door Height)</t>
  </si>
  <si>
    <t>Case Type</t>
  </si>
  <si>
    <t>Baseline Wattage</t>
  </si>
  <si>
    <t>Efficient Wattage</t>
  </si>
  <si>
    <t>Case Temperature</t>
  </si>
  <si>
    <t>Width ft</t>
  </si>
  <si>
    <t>Linear ft of insulation</t>
  </si>
  <si>
    <t>Number of Fans</t>
  </si>
  <si>
    <t>Average Demand Savings (kW)</t>
  </si>
  <si>
    <t>Winter Demand Savings (kW)</t>
  </si>
  <si>
    <t>Per Unit Incentive</t>
  </si>
  <si>
    <t>Date Installed</t>
  </si>
  <si>
    <t>ETDF Summer</t>
  </si>
  <si>
    <t>ETDF Winter</t>
  </si>
  <si>
    <t>ENERGY STAR Refrigeration/Freezer Cases</t>
  </si>
  <si>
    <t>High Efficiency Evaporator Fan Motors for Cases</t>
  </si>
  <si>
    <t>Anti-Sweat Heater Controls</t>
  </si>
  <si>
    <t>Strip Curtains for Walk-in Freezers and Coolers</t>
  </si>
  <si>
    <t>Auto Door Closers</t>
  </si>
  <si>
    <t>Refrig or Freezer -Reach In Special Doors (low/No Anti Sweat)</t>
  </si>
  <si>
    <t>Suction Pipe Insulation for Walk-In Coolers and Freezers</t>
  </si>
  <si>
    <t>na</t>
  </si>
  <si>
    <t>Original Author:</t>
  </si>
  <si>
    <t>Raven Jones</t>
  </si>
  <si>
    <t>QA/QC Engineer(s):</t>
  </si>
  <si>
    <t>Priyam Parikh</t>
  </si>
  <si>
    <t>Current Version:</t>
  </si>
  <si>
    <t>Primary Developer:</t>
  </si>
  <si>
    <t>Senior Engineer Approval:</t>
  </si>
  <si>
    <t>Date Updated:</t>
  </si>
  <si>
    <t>Reason for Change</t>
  </si>
  <si>
    <t>Change Description</t>
  </si>
  <si>
    <t>Contact, Department</t>
  </si>
  <si>
    <t>PPL Calcs</t>
  </si>
  <si>
    <t>First TRM Calculator for program</t>
  </si>
  <si>
    <t>Raven Jones, National Engineering</t>
  </si>
  <si>
    <t>Updates for Mktg, Compliance to Measure config</t>
  </si>
  <si>
    <t>Formatting, added financial summary, updated tables to match measure configs</t>
  </si>
  <si>
    <t>Prep for PPL website upload</t>
  </si>
  <si>
    <t>Final formatting updates from mktg, locking cells</t>
  </si>
  <si>
    <t>Directions on updating this tool:</t>
  </si>
  <si>
    <t>TRM Errata</t>
  </si>
  <si>
    <t>High-Efficiency Refrigerator/Freezer Cases – Remove CF from kW Savings equation</t>
  </si>
  <si>
    <t>Mary Clayton, Core Engineering</t>
  </si>
  <si>
    <t>These tools - Downstream and Direct Discount refrigeration - were recently combined to help with version control.
The easiest way to update this tool is as follows:
- Start by finding the most recent version of the Direct Discount calculator on Teams
- Make the necessary changes to the Direct Discount tool first
- Once updates are complete, update the Version Log with a new number and description
- Lock all tabs and workbook with PPLC@LC$ password and Save new Direct Discount Calculator to Teams
- Then, to update the Downstream calculator, take the new version of the Direct Discount calculator and unhide columns L-Q on the Project Summary tab
- Toggle the Program in cell M9 from Direct Discount to Downstream
- Confirm incentives are correct and hide columns L-Q
- Hide 'Printable Report' tab
- Lock all tabs and workbook with PPLC@LC$ password and Save new Downstream Calculator to Teams
- Email Angelique with copies of new calculators to be uploaded to the website
Reach out to Conor McGrail with any questions.</t>
  </si>
  <si>
    <t>Update format</t>
  </si>
  <si>
    <t>Updating format to match standard PPL format</t>
  </si>
  <si>
    <t>Ryan Novosedliak, Engineering</t>
  </si>
  <si>
    <t>PPl Branding</t>
  </si>
  <si>
    <t>Tom Cosgro, Engineering</t>
  </si>
  <si>
    <t>Phase IV Update</t>
  </si>
  <si>
    <t>Update for Phase IV</t>
  </si>
  <si>
    <t>Michael Stevenson</t>
  </si>
  <si>
    <t>Phase V Update</t>
  </si>
  <si>
    <t>Update for Phase V</t>
  </si>
  <si>
    <t>Nick Momenee</t>
  </si>
  <si>
    <t>Row</t>
  </si>
  <si>
    <t>Project Cost</t>
  </si>
  <si>
    <t>Demand Savings (kW)</t>
  </si>
  <si>
    <t>High Efficiency Refrigerators &amp; Freezers</t>
  </si>
  <si>
    <t>ft^3</t>
  </si>
  <si>
    <t>motor(s)</t>
  </si>
  <si>
    <t>controller(s)</t>
  </si>
  <si>
    <t>Floating Heat Pressure Controls</t>
  </si>
  <si>
    <t>condenser(s)</t>
  </si>
  <si>
    <t>door(s)</t>
  </si>
  <si>
    <t>case(s)</t>
  </si>
  <si>
    <t>vfd(s)</t>
  </si>
  <si>
    <t>Auto-Closer for Walk-Ins</t>
  </si>
  <si>
    <t>ft of pipe</t>
  </si>
  <si>
    <t>Air-Cooled Refrigeration Condenser</t>
  </si>
  <si>
    <t>economizer(s)</t>
  </si>
  <si>
    <t>The workbook is currenlty configured for:</t>
  </si>
  <si>
    <t>PPL</t>
  </si>
  <si>
    <t>Incentive Manager</t>
  </si>
  <si>
    <t>Workbook Headers (Named Range 'Logo')</t>
  </si>
  <si>
    <t>Report Logos (Named Range 'Report Logo')</t>
  </si>
  <si>
    <t>Utility</t>
  </si>
  <si>
    <t>$/kWh</t>
  </si>
  <si>
    <t>$/kW</t>
  </si>
  <si>
    <t>% CAP</t>
  </si>
  <si>
    <t>PPL Logo</t>
  </si>
  <si>
    <t>PECO</t>
  </si>
  <si>
    <t>First Energy</t>
  </si>
  <si>
    <t>PECO Logo</t>
  </si>
  <si>
    <t>First Energy Logo</t>
  </si>
  <si>
    <t>Select Program:</t>
  </si>
  <si>
    <t>Downstream</t>
  </si>
  <si>
    <t>Direct Discount</t>
  </si>
  <si>
    <t>kWh Incentive:</t>
  </si>
  <si>
    <t>kW Incentive:</t>
  </si>
  <si>
    <t>kW</t>
  </si>
  <si>
    <t>Incentive Cap:</t>
  </si>
  <si>
    <t>Incentive Cap</t>
  </si>
  <si>
    <t>Table 1: Volume Category</t>
  </si>
  <si>
    <t>Table 2: Refrigeration Type</t>
  </si>
  <si>
    <t>Table 3: Door Type</t>
  </si>
  <si>
    <t>Calculation 1: Baseline kWh 3.5. High Efficiency Refrigeration/Freezer Cases</t>
  </si>
  <si>
    <t>Calculation 2: kWh EE 3.5.1 High Efficiency Refrigeration/Freezer Cases</t>
  </si>
  <si>
    <t>Refrigeration</t>
  </si>
  <si>
    <t>Evap Fan Motors</t>
  </si>
  <si>
    <t>HEEvapFanMotor</t>
  </si>
  <si>
    <t>High efficiency evaporator fan motors for walk in or reach in cases</t>
  </si>
  <si>
    <t>V &lt; 15</t>
  </si>
  <si>
    <t>Freezer</t>
  </si>
  <si>
    <t>Solid</t>
  </si>
  <si>
    <t>Vertical Glass Door</t>
  </si>
  <si>
    <t>Vertical Solid Door</t>
  </si>
  <si>
    <t>Horizontal Solid Door</t>
  </si>
  <si>
    <t>Horizontal Glass Door</t>
  </si>
  <si>
    <t>Glass Door</t>
  </si>
  <si>
    <t>Solid Door</t>
  </si>
  <si>
    <t>HEEvapFanRICoolCase2</t>
  </si>
  <si>
    <t>High-Efficiency Evaporator Fans-Reach in Cooler, SP  16W-36W</t>
  </si>
  <si>
    <t>High-Efficiency Evaporator Fans-</t>
  </si>
  <si>
    <t>15 ≤ V &lt; 30</t>
  </si>
  <si>
    <t>Glass</t>
  </si>
  <si>
    <t>Volume</t>
  </si>
  <si>
    <t>Fridge</t>
  </si>
  <si>
    <t xml:space="preserve">Fridge </t>
  </si>
  <si>
    <t>HEEvapFanRICoolCase3</t>
  </si>
  <si>
    <t>High-Efficiency Evaporator Fans-Reach in Cooler, SP &gt;36W</t>
  </si>
  <si>
    <t>30 ≤ V &lt; 50</t>
  </si>
  <si>
    <t>Unknown</t>
  </si>
  <si>
    <t xml:space="preserve">50 ≤ V </t>
  </si>
  <si>
    <t>Horizontal Closed (All Volumes)</t>
  </si>
  <si>
    <t>HEEvapFanRICoolCase4</t>
  </si>
  <si>
    <t>High-Efficiency Evaporator Fans-Reach in Cooler, PSC &lt;16W</t>
  </si>
  <si>
    <t>HEEvapFanRICoolCase5</t>
  </si>
  <si>
    <t>High-Efficiency Evaporator Fans-Reach in Cooler, PSC 16W-36W</t>
  </si>
  <si>
    <t>HEEvapFanRICoolCase6</t>
  </si>
  <si>
    <t>High-Efficiency Evaporator Fans-Reach in Cooler, PSC &gt;36W</t>
  </si>
  <si>
    <t>Table 7: Case Type</t>
  </si>
  <si>
    <t>Direction to Close</t>
  </si>
  <si>
    <t>Cooler Shutoff Phase</t>
  </si>
  <si>
    <t>HEEvapFanRIFrzCase1</t>
  </si>
  <si>
    <t>High-Efficiency Evaporator Fans-Reach in Freezer, SP &lt;16W</t>
  </si>
  <si>
    <t>Walk-In</t>
  </si>
  <si>
    <t>Vertical Closed</t>
  </si>
  <si>
    <t>HEEvapFanRIFrzCase2</t>
  </si>
  <si>
    <t>High-Efficiency Evaporator Fans-Reach in Freezer, SP 16W-36W</t>
  </si>
  <si>
    <t>Reach-In</t>
  </si>
  <si>
    <t>Horizontal Closed</t>
  </si>
  <si>
    <t>HEEvapFanRIFrzCase3</t>
  </si>
  <si>
    <t>High-Efficiency Evaporator Fans-Reach in Freezer, SP &gt;36W</t>
  </si>
  <si>
    <t>HEEvapFanRIFrzCase4</t>
  </si>
  <si>
    <t>High-Efficiency Evaporator Fans-Reach in Freezer, PSC &lt;16W</t>
  </si>
  <si>
    <t>HEEvapFanRIFrzCase5</t>
  </si>
  <si>
    <t>High-Efficiency Evaporator Fans-Reach in Freezer, PSC 16W-36W</t>
  </si>
  <si>
    <t>HEEvapFanRIFrzCase6</t>
  </si>
  <si>
    <t>High-Efficiency Evaporator Fans-Reach in Freezer, PSC &gt;36W</t>
  </si>
  <si>
    <t>HEEvapFanWICoolCase1</t>
  </si>
  <si>
    <t>High-Efficiency Evaporator Fans-Walk-In Cooler, SP &lt;14W</t>
  </si>
  <si>
    <t>HEEvapFanWICoolCase2</t>
  </si>
  <si>
    <t>High-Efficiency Evaporator Fans-Walk-In Cooler, SP 16W-23W</t>
  </si>
  <si>
    <t>HEEvapFanWICoolCase3</t>
  </si>
  <si>
    <t>High-Efficiency Evaporator Fans-Walk-In Cooler, SP 1/20 HP 37 Watt</t>
  </si>
  <si>
    <t>Calculation 3: kWh to Use 3.5.1 High Efficiency Refrigeration/Freezer Cases</t>
  </si>
  <si>
    <t>HEEvapFanWICoolCase4</t>
  </si>
  <si>
    <t>High-Efficiency Evaporator Fans-Walk-In Cooler, SP 1/15 HP 49 Watt</t>
  </si>
  <si>
    <t>Values</t>
  </si>
  <si>
    <t>Baseline</t>
  </si>
  <si>
    <t>ECM</t>
  </si>
  <si>
    <t>HEEvapFanWICoolCase5</t>
  </si>
  <si>
    <t>High-Efficiency Evaporator Fans-Walk-In Cooler, PSC &lt;14W</t>
  </si>
  <si>
    <t>Fridge kWh</t>
  </si>
  <si>
    <t>Freezer kWh</t>
  </si>
  <si>
    <t>Final Check</t>
  </si>
  <si>
    <t>Horizontal</t>
  </si>
  <si>
    <t>HEEvapFanWICoolCase6</t>
  </si>
  <si>
    <t>High-Efficiency Evaporator Fans-Walk-In Cooler, PSC 16W-23W</t>
  </si>
  <si>
    <t>Volume Cat</t>
  </si>
  <si>
    <t>Cooling Type</t>
  </si>
  <si>
    <t>Vertical kWh</t>
  </si>
  <si>
    <t>Horizontal kWh</t>
  </si>
  <si>
    <t>Actual kWh</t>
  </si>
  <si>
    <t>HEEvapFanWICoolCase7</t>
  </si>
  <si>
    <t>High-Efficiency Evaporator Fans-Walk-In Cooler, PSC 1/20 HP 37 Watt</t>
  </si>
  <si>
    <t>HEEvapFanWICoolCase8</t>
  </si>
  <si>
    <t>High-Efficiency Evaporator Fans-Walk-In Cooler, PSC 1/15 HP 49 Watt</t>
  </si>
  <si>
    <t>HEEvapFanWIFrzCase1</t>
  </si>
  <si>
    <t>High-Efficiency Evaporator Fans-Walk-In Freezer, SP &lt;14W</t>
  </si>
  <si>
    <t>HEEvapFanWIFrzCase2</t>
  </si>
  <si>
    <t>High-Efficiency Evaporator Fans-Walk-In Freezer, SP 16W-23W</t>
  </si>
  <si>
    <t>HEEvapFanWIFrzCase3</t>
  </si>
  <si>
    <t>High-Efficiency Evaporator Fans-Walk-In Freezer, SP 1/20 HP 37 Watt</t>
  </si>
  <si>
    <t>HEEvapFanWIFrzCase4</t>
  </si>
  <si>
    <t>High-Efficiency Evaporator Fans-Walk-In Freezer, SP, 1/15 HP 49 Watt</t>
  </si>
  <si>
    <t>HEEvapFanWIFrzCase5</t>
  </si>
  <si>
    <t>High-Efficiency Evaporator Fans-Walk-In Freezer, PSC &lt;14W</t>
  </si>
  <si>
    <t>HEEvapFanWIFrzCase6</t>
  </si>
  <si>
    <t>High-Efficiency Evaporator Fans-Walk-In Freezer, PSC 16W-23W</t>
  </si>
  <si>
    <t>HEEvapFanWIFrzCase7</t>
  </si>
  <si>
    <t>High-Efficiency Evaporator Fans-Walk-In Freezer, PSC, 1/20 HP 37 Watt</t>
  </si>
  <si>
    <t>HEEvapFanWIFrzCase8</t>
  </si>
  <si>
    <t>High-Efficiency Evaporator Fans-Walk-In Freezer, PSC 1/15 HP 49 Watt</t>
  </si>
  <si>
    <t>Anti Sweat Control</t>
  </si>
  <si>
    <t>ASHTRCntrlUnknownCool</t>
  </si>
  <si>
    <t>Anti-Sweat Heater Controls Cooler Unknown control</t>
  </si>
  <si>
    <t>ASHTRCntrlOnOffCool</t>
  </si>
  <si>
    <t>Anti-Sweat Heater Controls Cooler On/Off control</t>
  </si>
  <si>
    <t>Table 4: Motor Type</t>
  </si>
  <si>
    <t>Table 4.1: Motor Type 2</t>
  </si>
  <si>
    <t>Table 5: Wattage</t>
  </si>
  <si>
    <t>Table 6: Project Type</t>
  </si>
  <si>
    <t>ASHTRCntrlMPCool</t>
  </si>
  <si>
    <t>Anti-Sweat Heater Controls Cooler Micropulse control</t>
  </si>
  <si>
    <t>SP</t>
  </si>
  <si>
    <t>1-14</t>
  </si>
  <si>
    <t>Retrofit</t>
  </si>
  <si>
    <t>ASHTRCntrlUnknownFrz</t>
  </si>
  <si>
    <t>Anti-Sweat Heater Controls Freezer Unknown control</t>
  </si>
  <si>
    <t>PSC</t>
  </si>
  <si>
    <t>16-23</t>
  </si>
  <si>
    <t>New Construction</t>
  </si>
  <si>
    <t>ASHTRCntrlOnOffFrz</t>
  </si>
  <si>
    <t>Anti-Sweat Heater Controls Freezer On/Off control</t>
  </si>
  <si>
    <t>1/20 HP 37 Watt</t>
  </si>
  <si>
    <t>ASHTRCntrlMPFrz</t>
  </si>
  <si>
    <t>Anti-Sweat Heater Controls Freezer Micropulse control</t>
  </si>
  <si>
    <t>PMS</t>
  </si>
  <si>
    <t>1/15 HP 49 Watt</t>
  </si>
  <si>
    <t>Auto Close</t>
  </si>
  <si>
    <t>DoorCloseWICooler</t>
  </si>
  <si>
    <t>Auto Closers for Walk-In Cooler/Unknown Doors</t>
  </si>
  <si>
    <t>DoorCloseWIFreez</t>
  </si>
  <si>
    <t>Auto Closers for Walk-In Freezer Doors</t>
  </si>
  <si>
    <t>Waste Heat Factor</t>
  </si>
  <si>
    <t>Table 9: Deemed Savings Freezer Reach In</t>
  </si>
  <si>
    <t>Table 10: Deemed Savings Cooler Walk In</t>
  </si>
  <si>
    <t>Table 11: Deemed Savings Freezer Walk In</t>
  </si>
  <si>
    <t>Table 3-97</t>
  </si>
  <si>
    <t>Door Gaskets</t>
  </si>
  <si>
    <t>DoorGasketRICool</t>
  </si>
  <si>
    <t xml:space="preserve">Door Gaskets for Reach-in Coolers </t>
  </si>
  <si>
    <t>Wattage</t>
  </si>
  <si>
    <t>Fan control Style</t>
  </si>
  <si>
    <t>%On</t>
  </si>
  <si>
    <t>ETDF</t>
  </si>
  <si>
    <t>Basline Case</t>
  </si>
  <si>
    <t>kW/HP</t>
  </si>
  <si>
    <t>DoorGasketRIFrz</t>
  </si>
  <si>
    <t xml:space="preserve">Door Gaskets for Reach-in Freezers </t>
  </si>
  <si>
    <t>SP Freezer</t>
  </si>
  <si>
    <t>On/Off</t>
  </si>
  <si>
    <t>DoorGasketWICool</t>
  </si>
  <si>
    <t>Door Gaskets for Walk-in Coolers</t>
  </si>
  <si>
    <t>PSC Freezer</t>
  </si>
  <si>
    <t>Micropulse</t>
  </si>
  <si>
    <t>DoorGasketWIFrz</t>
  </si>
  <si>
    <t xml:space="preserve">Door Gaskets for Walk-in Freezers </t>
  </si>
  <si>
    <t>SP Refrigeration</t>
  </si>
  <si>
    <t>1/20HP (37 Watts)</t>
  </si>
  <si>
    <t>DoorGasketRestCool</t>
  </si>
  <si>
    <t>PSC Refrigeration</t>
  </si>
  <si>
    <t>1/15 HP (49 Watt)</t>
  </si>
  <si>
    <t>DoorGasketRestFrz</t>
  </si>
  <si>
    <t>DoorGasketSmallGroceryCool</t>
  </si>
  <si>
    <t>Table 12: Deemed kW Cooler Reach In</t>
  </si>
  <si>
    <t>Table 13: Deemed kW Freezer Reach In</t>
  </si>
  <si>
    <t>Table 14: Deemed kW Cooler Walk In</t>
  </si>
  <si>
    <t>Table 15: Deemed kW Freezer Walk In</t>
  </si>
  <si>
    <t>DoorGasketSmallGroceryFrz</t>
  </si>
  <si>
    <t>DoorGasketMLGroceryCool</t>
  </si>
  <si>
    <t>DoorGasketMLGroceryFrz</t>
  </si>
  <si>
    <t>DoorGasketConCool</t>
  </si>
  <si>
    <t>DoorGasketConFrz</t>
  </si>
  <si>
    <t>DoorGasketSuperCool</t>
  </si>
  <si>
    <t>DoorGasketSuperFrz</t>
  </si>
  <si>
    <t>Table 16: Unit Type/COP 3.5.5</t>
  </si>
  <si>
    <t>Table 17: Location</t>
  </si>
  <si>
    <t>Table 18: Facility Type</t>
  </si>
  <si>
    <t>Table 19: Column Number</t>
  </si>
  <si>
    <t>EvapFanCntrl</t>
  </si>
  <si>
    <t>Type</t>
  </si>
  <si>
    <t>Education - College/University</t>
  </si>
  <si>
    <t>Condensing Unit - Refrigerator</t>
  </si>
  <si>
    <t>Floating Head Pressure Control-HP</t>
  </si>
  <si>
    <t>FloatHeadPresCntrlHP</t>
  </si>
  <si>
    <t>Education - Other</t>
  </si>
  <si>
    <t>Condensing Unit - Freezer</t>
  </si>
  <si>
    <t>Floating Head Pressure Control-Ton</t>
  </si>
  <si>
    <t>FloatHeadPresCntrlTon</t>
  </si>
  <si>
    <t>Grocery</t>
  </si>
  <si>
    <t>Remote Condenser - Refrigerator</t>
  </si>
  <si>
    <t>EvapCoilDefCntrlCool</t>
  </si>
  <si>
    <t>Evaporator Coil Defrost Control Cooler</t>
  </si>
  <si>
    <t>Health - Hospital</t>
  </si>
  <si>
    <t>Remote Condenser - Freezer</t>
  </si>
  <si>
    <t>EvapCoilDefCntrlFreez</t>
  </si>
  <si>
    <t>Evaporator Coil Defrost Control Freezer</t>
  </si>
  <si>
    <t>Health - Other</t>
  </si>
  <si>
    <t>Condensing Unit - Unknown</t>
  </si>
  <si>
    <t>Existing Ref Display Cases</t>
  </si>
  <si>
    <t>AntiSweatHtrDoor</t>
  </si>
  <si>
    <t>Add Door to Existing Ref Display Cases without anti-sweat heaters</t>
  </si>
  <si>
    <t>N/A</t>
  </si>
  <si>
    <t>Industrial Manufacturing</t>
  </si>
  <si>
    <t>Remote Condenser - Unknown</t>
  </si>
  <si>
    <t>ZeroSweatDoor</t>
  </si>
  <si>
    <t>Add Door to Existing Ref Display Cases with anti-sweat heaters</t>
  </si>
  <si>
    <t>Institutional/Public Service</t>
  </si>
  <si>
    <t>Zero Heat Door</t>
  </si>
  <si>
    <t>ZeroEnergyDoor</t>
  </si>
  <si>
    <t>Refrigerated display cases with doors replacing open cases</t>
  </si>
  <si>
    <t>Lodging</t>
  </si>
  <si>
    <t>Table 22: 2.5.4 Definition</t>
  </si>
  <si>
    <t>Multifamily (Common Areas)</t>
  </si>
  <si>
    <t>Refrigeration economizers</t>
  </si>
  <si>
    <t>Estimator Term</t>
  </si>
  <si>
    <t>Catalyst Term</t>
  </si>
  <si>
    <t>Office</t>
  </si>
  <si>
    <t>Night Covers</t>
  </si>
  <si>
    <t>NightCover</t>
  </si>
  <si>
    <t>Voltage of Compressor</t>
  </si>
  <si>
    <t>motorwattage</t>
  </si>
  <si>
    <t>Restaurant</t>
  </si>
  <si>
    <t>Strip Curtains</t>
  </si>
  <si>
    <t>StripCurtain</t>
  </si>
  <si>
    <t>Strip curtains for walk-in freezers and coolers</t>
  </si>
  <si>
    <t>Amperage of Compressor</t>
  </si>
  <si>
    <t>rate</t>
  </si>
  <si>
    <t>Retail</t>
  </si>
  <si>
    <t>Door Gasket Savings - Table 3-113</t>
  </si>
  <si>
    <t>Strip Curtains Grocery Cooler</t>
  </si>
  <si>
    <t>Voltage of Fan</t>
  </si>
  <si>
    <t>newwattage</t>
  </si>
  <si>
    <t>Warehouse - Other</t>
  </si>
  <si>
    <t>Cooler</t>
  </si>
  <si>
    <t>Freezers</t>
  </si>
  <si>
    <t>Strip Curtains Grocery freeezer</t>
  </si>
  <si>
    <t>Amperage of Fan</t>
  </si>
  <si>
    <t>wattage</t>
  </si>
  <si>
    <t>Warehouse - Refrigerated</t>
  </si>
  <si>
    <t>kW/Door</t>
  </si>
  <si>
    <t>kWh/Door</t>
  </si>
  <si>
    <t>Strip Curtains convenience store cooler</t>
  </si>
  <si>
    <t xml:space="preserve">Reach-In </t>
  </si>
  <si>
    <t>Strip Curtains convenience store freezer</t>
  </si>
  <si>
    <t>Table 24: Answer</t>
  </si>
  <si>
    <t>Strip Curtains restaurant cooler</t>
  </si>
  <si>
    <t>Yes</t>
  </si>
  <si>
    <t>Strip Curtains Restaurant freezer</t>
  </si>
  <si>
    <t>No</t>
  </si>
  <si>
    <t>Strip Curtains refrigerated warehouse cooler</t>
  </si>
  <si>
    <t>Suction Pipe Insulation</t>
  </si>
  <si>
    <t>SucPipeInsulMedTemp</t>
  </si>
  <si>
    <t>Suction Pipe Insulation Medium Temp</t>
  </si>
  <si>
    <t>Table 20: kWh/Ton</t>
  </si>
  <si>
    <t>SucPipeInsulLowTemp</t>
  </si>
  <si>
    <t>Suction Pipe Insulation Low Temp</t>
  </si>
  <si>
    <t>City</t>
  </si>
  <si>
    <t>Condensing Unit - Unkown</t>
  </si>
  <si>
    <t>Refrigerated Display Cases</t>
  </si>
  <si>
    <t>CaseDoor</t>
  </si>
  <si>
    <t>High Efficiency Cases</t>
  </si>
  <si>
    <t>HECoolCase</t>
  </si>
  <si>
    <t xml:space="preserve">HE Cooler Cases </t>
  </si>
  <si>
    <t>Table 21: 3.5.5</t>
  </si>
  <si>
    <t>Table 23: 3.5.7 BF</t>
  </si>
  <si>
    <t>HEFrzCase</t>
  </si>
  <si>
    <t xml:space="preserve">HE Freezer Cases </t>
  </si>
  <si>
    <t>Refrigeration kWh</t>
  </si>
  <si>
    <t>Freezer kW Summer</t>
  </si>
  <si>
    <t>Refrigeration kW Summer</t>
  </si>
  <si>
    <t>Freezer kW Winter</t>
  </si>
  <si>
    <t>Refrigeration kW Winter</t>
  </si>
  <si>
    <t>VSD Refrigeration Compressor-Ton</t>
  </si>
  <si>
    <t>VSRefComTon</t>
  </si>
  <si>
    <t>Variable Speed Ref Compressor Tons</t>
  </si>
  <si>
    <t>VSD Refrigeration Compressor-HP</t>
  </si>
  <si>
    <t>VSRefComHP</t>
  </si>
  <si>
    <t>Variable Speed Ref Compressor HP</t>
  </si>
  <si>
    <t>Special Doors</t>
  </si>
  <si>
    <t>SpecDoors</t>
  </si>
  <si>
    <t>Unused as no COP given for unknown temp</t>
  </si>
  <si>
    <t>Table 25: 3.5.9 ES/DS w/ Pre Exist Curtain</t>
  </si>
  <si>
    <t>Table 26: 3.5.8 - Table - 3-107</t>
  </si>
  <si>
    <t>ES</t>
  </si>
  <si>
    <t>DS</t>
  </si>
  <si>
    <t>Doorway areas</t>
  </si>
  <si>
    <t>Grocery - Cooler</t>
  </si>
  <si>
    <t>Grocery - Freezer</t>
  </si>
  <si>
    <t>Convenience Store - Cooler</t>
  </si>
  <si>
    <t>Convenience Store - Freezer</t>
  </si>
  <si>
    <t>Restaurant - Cooler</t>
  </si>
  <si>
    <t>Restaurant - Freezer</t>
  </si>
  <si>
    <t>Table 28: 3.5.12 ESF/DSF</t>
  </si>
  <si>
    <t>Table 29: 3.5.12 Deemed Suction Pipe Insulation Savings per Linear Foot</t>
  </si>
  <si>
    <t>Facility</t>
  </si>
  <si>
    <t>kWh/ft</t>
  </si>
  <si>
    <t>Small Grocery Store - Cooler</t>
  </si>
  <si>
    <t>Small Grocery Store - Freezer</t>
  </si>
  <si>
    <t>Large Grocery Store - Cooler</t>
  </si>
  <si>
    <t>Large Grocery Store - Freezer</t>
  </si>
  <si>
    <t>Table 30: 3.5.16 ESF/DSF</t>
  </si>
  <si>
    <t>Doors with Anti Sweat Heaters</t>
  </si>
  <si>
    <t>Doors without Anti Sweat Heaters</t>
  </si>
  <si>
    <r>
      <t>kW</t>
    </r>
    <r>
      <rPr>
        <b/>
        <vertAlign val="subscript"/>
        <sz val="11"/>
        <color theme="1"/>
        <rFont val="Arial"/>
        <family val="2"/>
        <scheme val="minor"/>
      </rPr>
      <t>base</t>
    </r>
  </si>
  <si>
    <r>
      <t>kW</t>
    </r>
    <r>
      <rPr>
        <vertAlign val="subscript"/>
        <sz val="11"/>
        <color theme="1"/>
        <rFont val="Arial"/>
        <family val="2"/>
        <scheme val="minor"/>
      </rPr>
      <t>ee</t>
    </r>
  </si>
  <si>
    <r>
      <t>HP</t>
    </r>
    <r>
      <rPr>
        <vertAlign val="subscript"/>
        <sz val="11"/>
        <color theme="1"/>
        <rFont val="Arial"/>
        <family val="2"/>
        <scheme val="minor"/>
      </rPr>
      <t>base</t>
    </r>
  </si>
  <si>
    <r>
      <t>HP</t>
    </r>
    <r>
      <rPr>
        <vertAlign val="subscript"/>
        <sz val="11"/>
        <color theme="1"/>
        <rFont val="Arial"/>
        <family val="2"/>
        <scheme val="minor"/>
      </rPr>
      <t>ee</t>
    </r>
  </si>
  <si>
    <t>HP/W</t>
  </si>
  <si>
    <r>
      <rPr>
        <sz val="11"/>
        <color theme="1"/>
        <rFont val="Arial"/>
        <family val="2"/>
      </rPr>
      <t>η</t>
    </r>
    <r>
      <rPr>
        <vertAlign val="subscript"/>
        <sz val="11"/>
        <color theme="1"/>
        <rFont val="Arial"/>
        <family val="2"/>
        <scheme val="minor"/>
      </rPr>
      <t>base</t>
    </r>
  </si>
  <si>
    <r>
      <rPr>
        <sz val="11"/>
        <color theme="1"/>
        <rFont val="Arial"/>
        <family val="2"/>
      </rPr>
      <t>η</t>
    </r>
    <r>
      <rPr>
        <vertAlign val="subscript"/>
        <sz val="11"/>
        <color theme="1"/>
        <rFont val="Arial"/>
        <family val="2"/>
        <scheme val="minor"/>
      </rPr>
      <t>ee</t>
    </r>
  </si>
  <si>
    <t>LF</t>
  </si>
  <si>
    <t>%ON Uncontrolled</t>
  </si>
  <si>
    <t>Hours/Year</t>
  </si>
  <si>
    <t>WHFe</t>
  </si>
  <si>
    <t>kWh savings</t>
  </si>
  <si>
    <t>Evap Fan Controllers</t>
  </si>
  <si>
    <t>kWHP</t>
  </si>
  <si>
    <t>HP</t>
  </si>
  <si>
    <t>%ON Controlled</t>
  </si>
  <si>
    <t>EDTF</t>
  </si>
  <si>
    <t>Table 3‑120: Default Savings for Air-Cooled Refrigeration Condensers</t>
  </si>
  <si>
    <r>
      <t>Annual Energy Savings per Ton of Capacity (</t>
    </r>
    <r>
      <rPr>
        <b/>
        <sz val="11"/>
        <color theme="1"/>
        <rFont val="Calibri"/>
        <family val="2"/>
      </rPr>
      <t>Δ</t>
    </r>
    <r>
      <rPr>
        <b/>
        <sz val="7.7"/>
        <color theme="1"/>
        <rFont val="Arial"/>
        <family val="2"/>
      </rPr>
      <t>kWh/ton)</t>
    </r>
  </si>
  <si>
    <t>Peak Demand Savings per Ton of Capacity (ΔkW/ton)</t>
  </si>
  <si>
    <t>Hours</t>
  </si>
  <si>
    <t xml:space="preserve"> Condensing unit savings, per HP</t>
  </si>
  <si>
    <t>Hermetic / Semi-Hermetic</t>
  </si>
  <si>
    <t>Scroll</t>
  </si>
  <si>
    <t>Discus/Unknown</t>
  </si>
  <si>
    <t>Condenser Type</t>
  </si>
  <si>
    <t>Table 3-125</t>
  </si>
  <si>
    <t>ETDF (Winter)</t>
  </si>
  <si>
    <t>ETDF (Summer)</t>
  </si>
  <si>
    <t>Table 3-140: Refrigeration Auto Closers Deemed Savings</t>
  </si>
  <si>
    <t>Climate Zone</t>
  </si>
  <si>
    <t>Cooler/Unknown</t>
  </si>
  <si>
    <t>kWh_cooler</t>
  </si>
  <si>
    <t>kW_cooler</t>
  </si>
  <si>
    <t>kWh_freezer</t>
  </si>
  <si>
    <t>kW_freezer</t>
  </si>
  <si>
    <t>5A</t>
  </si>
  <si>
    <t>4A</t>
  </si>
  <si>
    <t>Table 3-131: Default Evaporator Coil Defrost Control Savings per Fan</t>
  </si>
  <si>
    <t>Description</t>
  </si>
  <si>
    <t>∆kWh</t>
  </si>
  <si>
    <t>∆kW Summer Peak</t>
  </si>
  <si>
    <t>∆kW Winter Peak</t>
  </si>
  <si>
    <t>Table 3-132 VSD Compressors</t>
  </si>
  <si>
    <t>Duty Cycle</t>
  </si>
  <si>
    <t>Cooling EFLHs</t>
  </si>
  <si>
    <t>Space and/or Building Type</t>
  </si>
  <si>
    <t>Heating EFLHs</t>
  </si>
  <si>
    <t>HVAC Equipment Type</t>
  </si>
  <si>
    <t>Equipment Type</t>
  </si>
  <si>
    <t>Capcity Grouping</t>
  </si>
  <si>
    <t>HVAC Known</t>
  </si>
  <si>
    <t>Air-Source Air Conditioners</t>
  </si>
  <si>
    <t>Single Package</t>
  </si>
  <si>
    <t>&lt; 65,000</t>
  </si>
  <si>
    <t>Air-Source Heat Pumps</t>
  </si>
  <si>
    <t>Split System</t>
  </si>
  <si>
    <t>≥ 65,000 and &lt; 135,000</t>
  </si>
  <si>
    <t>Water-Cooled Air Conditioners</t>
  </si>
  <si>
    <t>≥ 135,000 and &lt; 240,000</t>
  </si>
  <si>
    <t>Evaporatively-Cooled Air Conditioners</t>
  </si>
  <si>
    <t>≥ 240,000 and &lt; 760,000</t>
  </si>
  <si>
    <t>≥ 760,000</t>
  </si>
  <si>
    <r>
      <t xml:space="preserve">Grocery Stores in Pennsylvania by size; these sizes serve as weighting factors for default IEER and COP values used in the </t>
    </r>
    <r>
      <rPr>
        <i/>
        <sz val="11"/>
        <color theme="1"/>
        <rFont val="Arial"/>
        <family val="2"/>
        <scheme val="minor"/>
      </rPr>
      <t>Adding Doors</t>
    </r>
    <r>
      <rPr>
        <sz val="11"/>
        <color theme="1"/>
        <rFont val="Arial"/>
        <family val="2"/>
        <scheme val="minor"/>
      </rPr>
      <t xml:space="preserve">  tab for energy savings and peak demand savings calculations when information for the onsite HVAC system is unknown to the user (i.e., customer or program ally) for that section of this calculator. Single package air-source heat pumpsabove 65,000 in cooling capacity are assumed as the HVAC equipment type; applying these weighting factors yield a default IEER value of 13.71 and a default COP value of 3.345.</t>
    </r>
  </si>
  <si>
    <t>HVAC for Adding doors</t>
  </si>
  <si>
    <t>Btu Range</t>
  </si>
  <si>
    <t>Cooling Baseline</t>
  </si>
  <si>
    <t>Heating Baseline</t>
  </si>
  <si>
    <t>HSPF/3.412 ala TRM for use as COP</t>
  </si>
  <si>
    <t>data from SNAP Retailer locations:</t>
  </si>
  <si>
    <t>https://usda-snap-retailers-usda-fns.hub.arcgis.com/datasets/8b260f9a10b0459aa441ad8588c2251c_0/about</t>
  </si>
  <si>
    <t>Table 3-142 Default Special Doors</t>
  </si>
  <si>
    <t>Display Case Manufacture date</t>
  </si>
  <si>
    <t>Open Type</t>
  </si>
  <si>
    <t>Condensing Unit Configuration</t>
  </si>
  <si>
    <t>Refrigeration Temperature</t>
  </si>
  <si>
    <t>On or after March 27, 2017</t>
  </si>
  <si>
    <t>Vertical Open</t>
  </si>
  <si>
    <t>Remote</t>
  </si>
  <si>
    <t>Medium (38°F)</t>
  </si>
  <si>
    <t>Before March 27, 2017</t>
  </si>
  <si>
    <t>Horizontal Open</t>
  </si>
  <si>
    <t>Self Contained</t>
  </si>
  <si>
    <t>Low (0°F)</t>
  </si>
  <si>
    <t>Ice Cream (-15°F)</t>
  </si>
  <si>
    <t>3.5.9 Night Covers</t>
  </si>
  <si>
    <t>TDEC Multiplier</t>
  </si>
  <si>
    <t>TDEC Addend</t>
  </si>
  <si>
    <t>Anti-Sweat Heaters Control Style %ON</t>
  </si>
  <si>
    <t>Control Style</t>
  </si>
  <si>
    <t>%ON Control</t>
  </si>
  <si>
    <t>Anti-Sweat Heaters Control Style WHFe</t>
  </si>
  <si>
    <t>Coil Defrost COP</t>
  </si>
  <si>
    <t>Special Doors with Low or No Anti-Sweat Heat For Reach-In Freezers and Coolers</t>
  </si>
  <si>
    <t>Watts Base</t>
  </si>
  <si>
    <t>Watts EE</t>
  </si>
  <si>
    <t>Last Updated: [Date], See Version Log</t>
  </si>
  <si>
    <t>User Inputs</t>
  </si>
  <si>
    <t>Calculations</t>
  </si>
  <si>
    <t>Total Incentive</t>
  </si>
  <si>
    <t>Unit ID</t>
  </si>
  <si>
    <t>Refrigeration Type*</t>
  </si>
  <si>
    <t>Direction to Close*</t>
  </si>
  <si>
    <t>kWh base</t>
  </si>
  <si>
    <t>kWh ee</t>
  </si>
  <si>
    <t>Days/Year</t>
  </si>
  <si>
    <t>Hrs/Day</t>
  </si>
  <si>
    <t>kW Savings (Summer)</t>
  </si>
  <si>
    <t>kW Savings (Winter)</t>
  </si>
  <si>
    <t>kW Savings (Average)</t>
  </si>
  <si>
    <t>Efficient Motor Type*</t>
  </si>
  <si>
    <t>Baseline Motor HP*</t>
  </si>
  <si>
    <t>Efficient Motor HP*</t>
  </si>
  <si>
    <t>Case</t>
  </si>
  <si>
    <t>Control</t>
  </si>
  <si>
    <t>Measure Code</t>
  </si>
  <si>
    <t>Control Type*</t>
  </si>
  <si>
    <t>Number of Doors*</t>
  </si>
  <si>
    <t>kW/door</t>
  </si>
  <si>
    <t>%ON None</t>
  </si>
  <si>
    <t>Hours/Yr</t>
  </si>
  <si>
    <t>HP*</t>
  </si>
  <si>
    <t>Column Number</t>
  </si>
  <si>
    <t>kWh/HP</t>
  </si>
  <si>
    <t>HP/Tons</t>
  </si>
  <si>
    <t>Namplate Rated Horsepower*</t>
  </si>
  <si>
    <t>Fan Control Type*</t>
  </si>
  <si>
    <t>Assumed Areas</t>
  </si>
  <si>
    <t>Warehouse doorway</t>
  </si>
  <si>
    <t>120 ft²</t>
  </si>
  <si>
    <t>All other Doorways</t>
  </si>
  <si>
    <t>21 ft²</t>
  </si>
  <si>
    <t>Facility and Type*</t>
  </si>
  <si>
    <t>ISR</t>
  </si>
  <si>
    <t>Horsepower</t>
  </si>
  <si>
    <t>CF</t>
  </si>
  <si>
    <t>Eff</t>
  </si>
  <si>
    <t>HOU</t>
  </si>
  <si>
    <t>SVG</t>
  </si>
  <si>
    <t>Number of Fans*</t>
  </si>
  <si>
    <t>kWDE</t>
  </si>
  <si>
    <t>Display Case Manufacture date*</t>
  </si>
  <si>
    <t>Open Type*</t>
  </si>
  <si>
    <t>Condensing Unit Configuration*</t>
  </si>
  <si>
    <t>Refrigeration Temperature*</t>
  </si>
  <si>
    <r>
      <t>Total Display Area* (ft</t>
    </r>
    <r>
      <rPr>
        <b/>
        <sz val="11"/>
        <color theme="5"/>
        <rFont val="Aptos Narrow"/>
        <family val="2"/>
      </rPr>
      <t>²</t>
    </r>
    <r>
      <rPr>
        <b/>
        <sz val="11"/>
        <color theme="5"/>
        <rFont val="Arial"/>
        <family val="2"/>
        <scheme val="minor"/>
      </rPr>
      <t>)</t>
    </r>
  </si>
  <si>
    <t>Number of Units*</t>
  </si>
  <si>
    <t>TDEC</t>
  </si>
  <si>
    <t>Days</t>
  </si>
  <si>
    <t>kW Savings</t>
  </si>
  <si>
    <t>Case Width*</t>
  </si>
  <si>
    <t>HVAC System Info Known?</t>
  </si>
  <si>
    <t>HVAC Type</t>
  </si>
  <si>
    <t>Single or Split?</t>
  </si>
  <si>
    <t>BTUs</t>
  </si>
  <si>
    <t>BTU Range</t>
  </si>
  <si>
    <t>kWh_case</t>
  </si>
  <si>
    <t>Change in CLR</t>
  </si>
  <si>
    <t>Cooling EFLH</t>
  </si>
  <si>
    <t>Heating EFLH</t>
  </si>
  <si>
    <t>IEER</t>
  </si>
  <si>
    <t>kWh_comp</t>
  </si>
  <si>
    <t>Hours of Use</t>
  </si>
  <si>
    <t>Existing Door Heater Watts</t>
  </si>
  <si>
    <t>Replacement Door Heater Watts</t>
  </si>
  <si>
    <t>PPLC@LC$</t>
  </si>
  <si>
    <t>Cooler Type*</t>
  </si>
  <si>
    <t>Length*</t>
  </si>
  <si>
    <t>FOOD SERVICE EQUIPMENT NOVELTY COOLER SHUTOFF</t>
  </si>
  <si>
    <t>Volts*</t>
  </si>
  <si>
    <t>Amps*</t>
  </si>
  <si>
    <t>Phase*</t>
  </si>
  <si>
    <t>Hours Off Per Week*</t>
  </si>
  <si>
    <t>PF</t>
  </si>
  <si>
    <t>DC</t>
  </si>
  <si>
    <t>Weeks/yr</t>
  </si>
  <si>
    <t>CF Summer</t>
  </si>
  <si>
    <t>CF Winter</t>
  </si>
  <si>
    <t>Nameplate HP*</t>
  </si>
  <si>
    <t>Condenser Type*</t>
  </si>
  <si>
    <t>Fan Control Installed*</t>
  </si>
  <si>
    <t>kWh cond</t>
  </si>
  <si>
    <t>kW evap</t>
  </si>
  <si>
    <t>kW circ</t>
  </si>
  <si>
    <t>kW econ</t>
  </si>
  <si>
    <t>BF</t>
  </si>
  <si>
    <t>DC comp</t>
  </si>
  <si>
    <t>DC econ</t>
  </si>
  <si>
    <t>kWh Savings w/Fan Control</t>
  </si>
  <si>
    <t>kWh Savings wo/Fan Control</t>
  </si>
  <si>
    <t>PPL Electric</t>
  </si>
  <si>
    <t>FirstEnergy Pennsylvania</t>
  </si>
  <si>
    <t>Note: This estimator is used for estimating savings and does not guarantee the estimated incentive. The methodology presented in this estimator is deemed acceptable for the PPL Electric Business Solutions Energy Efficiency Program. However, the assumptions used by the applicant to estimate the annual savings will be reviewed by the Program Team, which is solely responsible for the final determination of the annual energy savings to be used in estimating the incentive amount. The Program also reserves the right to require the applicant to conduct specific measurement and verification activities, including monitoring both before and after the retrofit, and to base the incentive payment on the results of these activities. For any questions, or assistance using this estimator, please call 1-866-432-5501 or email us at pplbusiness@clearesult.com.</t>
  </si>
  <si>
    <t>The building type for the project. If your building type is not listed, please contact the Program.</t>
  </si>
  <si>
    <t>Peak kW adjustment</t>
  </si>
  <si>
    <t>Ave kW for anti sweat was equal to summer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</si>
</sst>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8" formatCode="&quot;$&quot;#,##0.00_);[Red]\(&quot;$&quot;#,##0.00\)"/>
    <numFmt numFmtId="44" formatCode="_(&quot;$&quot;* #,##0.00_);_(&quot;$&quot;* \(#,##0.00\);_(&quot;$&quot;* &quot;-&quot;??_);_(@_)"/>
    <numFmt numFmtId="43" formatCode="_(* #,##0.00_);_(* \(#,##0.00\);_(* &quot;-&quot;??_);_(@_)"/>
    <numFmt numFmtId="164" formatCode="0.0"/>
    <numFmt numFmtId="165" formatCode="&quot;$&quot;#,##0.00"/>
    <numFmt numFmtId="166" formatCode="_(* #,##0_);_(* \(#,##0\);_(* &quot;-&quot;??_);_(@_)"/>
    <numFmt numFmtId="167" formatCode="0.0%"/>
    <numFmt numFmtId="168" formatCode="_(* #,##0.0000_);_(* \(#,##0.0000\);_(* &quot;-&quot;??_);_(@_)"/>
    <numFmt numFmtId="169" formatCode="&quot;$&quot;#,##0"/>
    <numFmt numFmtId="170" formatCode="#,##0.0"/>
    <numFmt numFmtId="171" formatCode="\$#,##0.0000"/>
    <numFmt numFmtId="172" formatCode="0.00000"/>
    <numFmt numFmtId="173" formatCode="0.000000000"/>
    <numFmt numFmtId="174" formatCode="#,##0.0000"/>
    <numFmt numFmtId="175" formatCode="0.0000"/>
    <numFmt numFmtId="176" formatCode="0.000000"/>
    <numFmt numFmtId="177" formatCode="0.000"/>
    <numFmt numFmtId="178" formatCode="0.0000000000"/>
  </numFmts>
  <fonts count="114" x14ac:knownFonts="1">
    <font>
      <sz val="11"/>
      <color theme="1"/>
      <name val="Arial"/>
      <family val="2"/>
      <scheme val="minor"/>
    </font>
    <font>
      <sz val="11"/>
      <color theme="1"/>
      <name val="Arial"/>
      <family val="2"/>
      <scheme val="minor"/>
    </font>
    <font>
      <b/>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4"/>
      <color theme="5"/>
      <name val="Arial"/>
      <family val="2"/>
      <scheme val="minor"/>
    </font>
    <font>
      <b/>
      <u/>
      <sz val="27"/>
      <color theme="4" tint="-0.249977111117893"/>
      <name val="Arial"/>
      <family val="2"/>
      <scheme val="minor"/>
    </font>
    <font>
      <sz val="10"/>
      <name val="Arial"/>
      <family val="2"/>
    </font>
    <font>
      <sz val="10"/>
      <name val="Arial"/>
      <family val="2"/>
    </font>
    <font>
      <sz val="11"/>
      <name val="Arial"/>
      <family val="2"/>
    </font>
    <font>
      <b/>
      <sz val="11"/>
      <color rgb="FF0070C0"/>
      <name val="Arial"/>
      <family val="2"/>
    </font>
    <font>
      <sz val="10"/>
      <color theme="6" tint="-0.249977111117893"/>
      <name val="Arial"/>
      <family val="2"/>
    </font>
    <font>
      <u/>
      <sz val="16"/>
      <color theme="5"/>
      <name val="Arial"/>
      <family val="2"/>
    </font>
    <font>
      <b/>
      <sz val="11"/>
      <color theme="6"/>
      <name val="Arial"/>
      <family val="2"/>
    </font>
    <font>
      <b/>
      <u/>
      <sz val="27"/>
      <color theme="5"/>
      <name val="Arial"/>
      <family val="2"/>
      <scheme val="minor"/>
    </font>
    <font>
      <sz val="11"/>
      <color theme="5"/>
      <name val="Arial"/>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color theme="1"/>
      <name val="Arial"/>
      <family val="2"/>
      <scheme val="minor"/>
    </font>
    <font>
      <sz val="11"/>
      <color theme="1"/>
      <name val="Arial"/>
      <family val="2"/>
    </font>
    <font>
      <b/>
      <sz val="18"/>
      <color rgb="FF00539F"/>
      <name val="Arial"/>
      <family val="2"/>
    </font>
    <font>
      <sz val="10"/>
      <color theme="1"/>
      <name val="Arial"/>
      <family val="2"/>
    </font>
    <font>
      <u/>
      <sz val="10"/>
      <color theme="1"/>
      <name val="Arial"/>
      <family val="2"/>
    </font>
    <font>
      <b/>
      <sz val="11"/>
      <color theme="5"/>
      <name val="Arial"/>
      <family val="2"/>
      <scheme val="minor"/>
    </font>
    <font>
      <sz val="8"/>
      <color theme="1"/>
      <name val="Arial"/>
      <family val="2"/>
      <scheme val="minor"/>
    </font>
    <font>
      <vertAlign val="superscript"/>
      <sz val="11"/>
      <color theme="1"/>
      <name val="Arial"/>
      <family val="2"/>
      <scheme val="minor"/>
    </font>
    <font>
      <sz val="18"/>
      <color theme="5"/>
      <name val="Arial"/>
      <family val="2"/>
      <scheme val="minor"/>
    </font>
    <font>
      <b/>
      <u/>
      <sz val="18"/>
      <color theme="5"/>
      <name val="Arial"/>
      <family val="2"/>
      <scheme val="minor"/>
    </font>
    <font>
      <b/>
      <sz val="18"/>
      <color theme="5"/>
      <name val="Arial"/>
      <family val="2"/>
      <scheme val="minor"/>
    </font>
    <font>
      <sz val="16"/>
      <color theme="5"/>
      <name val="Arial"/>
      <family val="2"/>
    </font>
    <font>
      <sz val="11"/>
      <name val="Arial"/>
      <family val="2"/>
      <scheme val="minor"/>
    </font>
    <font>
      <sz val="11"/>
      <name val="Calibri"/>
      <family val="2"/>
    </font>
    <font>
      <b/>
      <sz val="11"/>
      <name val="Calibri"/>
      <family val="2"/>
    </font>
    <font>
      <sz val="9"/>
      <color theme="1"/>
      <name val="Arial"/>
      <family val="2"/>
    </font>
    <font>
      <sz val="11"/>
      <color rgb="FFFF0000"/>
      <name val="Calibri"/>
      <family val="2"/>
    </font>
    <font>
      <vertAlign val="subscript"/>
      <sz val="11"/>
      <color theme="1"/>
      <name val="Arial"/>
      <family val="2"/>
      <scheme val="minor"/>
    </font>
    <font>
      <b/>
      <vertAlign val="subscript"/>
      <sz val="11"/>
      <color theme="1"/>
      <name val="Arial"/>
      <family val="2"/>
      <scheme val="minor"/>
    </font>
    <font>
      <sz val="9"/>
      <color rgb="FF000000"/>
      <name val="Arial"/>
      <family val="2"/>
    </font>
    <font>
      <b/>
      <sz val="11"/>
      <color theme="1"/>
      <name val="Calibri"/>
      <family val="2"/>
    </font>
    <font>
      <b/>
      <sz val="7.7"/>
      <color theme="1"/>
      <name val="Arial"/>
      <family val="2"/>
    </font>
    <font>
      <b/>
      <sz val="14"/>
      <color theme="5"/>
      <name val="Arial"/>
      <family val="2"/>
      <scheme val="minor"/>
    </font>
    <font>
      <sz val="11"/>
      <color theme="0" tint="-0.34998626667073579"/>
      <name val="Calibri"/>
      <family val="2"/>
    </font>
    <font>
      <b/>
      <sz val="22"/>
      <color rgb="FF003387"/>
      <name val="Calibri"/>
      <family val="2"/>
    </font>
    <font>
      <sz val="16"/>
      <name val="Calibri"/>
      <family val="2"/>
    </font>
    <font>
      <sz val="12"/>
      <name val="Calibri"/>
      <family val="2"/>
    </font>
    <font>
      <sz val="14"/>
      <name val="Calibri"/>
      <family val="2"/>
    </font>
    <font>
      <sz val="10"/>
      <name val="Calibri"/>
      <family val="2"/>
    </font>
    <font>
      <b/>
      <sz val="10"/>
      <name val="Calibri"/>
      <family val="2"/>
    </font>
    <font>
      <b/>
      <sz val="10"/>
      <color rgb="FFFFFFFF"/>
      <name val="Calibri"/>
      <family val="2"/>
    </font>
    <font>
      <sz val="11"/>
      <color theme="1"/>
      <name val="Calibri"/>
      <family val="2"/>
    </font>
    <font>
      <b/>
      <sz val="11"/>
      <color rgb="FF05854B"/>
      <name val="Calibri"/>
      <family val="2"/>
    </font>
    <font>
      <sz val="9"/>
      <name val="Calibri"/>
      <family val="2"/>
    </font>
    <font>
      <sz val="16"/>
      <color rgb="FF05854B"/>
      <name val="Calibri"/>
      <family val="2"/>
    </font>
    <font>
      <b/>
      <u/>
      <sz val="11"/>
      <color rgb="FF6A6A6A"/>
      <name val="Calibri"/>
      <family val="2"/>
    </font>
    <font>
      <b/>
      <sz val="16"/>
      <color rgb="FF0070C0"/>
      <name val="Calibri"/>
      <family val="2"/>
    </font>
    <font>
      <sz val="9"/>
      <color rgb="FF6A6A6A"/>
      <name val="Calibri"/>
      <family val="2"/>
    </font>
    <font>
      <sz val="10"/>
      <color theme="1"/>
      <name val="Calibri"/>
      <family val="2"/>
    </font>
    <font>
      <sz val="8"/>
      <color rgb="FF05854B"/>
      <name val="Calibri"/>
      <family val="2"/>
    </font>
    <font>
      <b/>
      <sz val="10"/>
      <color theme="0"/>
      <name val="Calibri"/>
      <family val="2"/>
    </font>
    <font>
      <sz val="10"/>
      <color theme="0" tint="-0.34998626667073579"/>
      <name val="Calibri"/>
      <family val="2"/>
    </font>
    <font>
      <b/>
      <sz val="10"/>
      <color theme="1"/>
      <name val="Calibri"/>
      <family val="2"/>
    </font>
    <font>
      <b/>
      <sz val="10"/>
      <color theme="0" tint="-0.34998626667073579"/>
      <name val="Calibri"/>
      <family val="2"/>
    </font>
    <font>
      <sz val="8"/>
      <name val="Arial"/>
      <family val="2"/>
      <scheme val="minor"/>
    </font>
    <font>
      <u/>
      <sz val="11"/>
      <color theme="10"/>
      <name val="Arial"/>
      <family val="2"/>
      <scheme val="minor"/>
    </font>
    <font>
      <sz val="12"/>
      <color theme="1"/>
      <name val="Arial"/>
      <family val="2"/>
      <scheme val="minor"/>
    </font>
    <font>
      <b/>
      <sz val="10"/>
      <color theme="1"/>
      <name val="Arial"/>
      <family val="2"/>
      <scheme val="minor"/>
    </font>
    <font>
      <b/>
      <sz val="10"/>
      <color rgb="FF000000"/>
      <name val="Calibri"/>
      <family val="2"/>
    </font>
    <font>
      <sz val="14"/>
      <color rgb="FFFF0000"/>
      <name val="Arial"/>
      <family val="2"/>
      <scheme val="minor"/>
    </font>
    <font>
      <b/>
      <sz val="11"/>
      <color rgb="FFFF0000"/>
      <name val="Arial"/>
      <family val="2"/>
      <scheme val="minor"/>
    </font>
    <font>
      <sz val="9"/>
      <color rgb="FFFF0000"/>
      <name val="Arial"/>
      <family val="2"/>
    </font>
    <font>
      <sz val="11"/>
      <color theme="4"/>
      <name val="Arial"/>
      <family val="2"/>
      <scheme val="minor"/>
    </font>
    <font>
      <sz val="14"/>
      <color theme="4"/>
      <name val="Arial"/>
      <family val="2"/>
      <scheme val="minor"/>
    </font>
    <font>
      <b/>
      <sz val="11"/>
      <color theme="4"/>
      <name val="Arial"/>
      <family val="2"/>
      <scheme val="minor"/>
    </font>
    <font>
      <sz val="9"/>
      <color rgb="FFFF0000"/>
      <name val="Arial"/>
      <family val="2"/>
      <scheme val="minor"/>
    </font>
    <font>
      <b/>
      <sz val="11"/>
      <color theme="5"/>
      <name val="Aptos Narrow"/>
      <family val="2"/>
    </font>
    <font>
      <i/>
      <sz val="11"/>
      <color theme="1"/>
      <name val="Arial"/>
      <family val="2"/>
      <scheme val="minor"/>
    </font>
    <font>
      <sz val="11"/>
      <color rgb="FF000000"/>
      <name val="Arial"/>
      <family val="2"/>
      <scheme val="minor"/>
    </font>
    <font>
      <b/>
      <sz val="12"/>
      <color theme="1"/>
      <name val="Arial"/>
      <family val="2"/>
      <scheme val="minor"/>
    </font>
    <font>
      <sz val="11"/>
      <color rgb="FF000000"/>
      <name val="Arial"/>
      <family val="2"/>
    </font>
    <font>
      <sz val="11"/>
      <color rgb="FF000000"/>
      <name val="Arial"/>
      <family val="2"/>
    </font>
    <font>
      <sz val="14"/>
      <color theme="0"/>
      <name val="Arial"/>
      <family val="2"/>
      <scheme val="minor"/>
    </font>
    <font>
      <b/>
      <u/>
      <sz val="11"/>
      <color theme="0"/>
      <name val="Arial"/>
      <family val="2"/>
      <scheme val="minor"/>
    </font>
    <font>
      <b/>
      <sz val="18"/>
      <color rgb="FF001489"/>
      <name val="Arial"/>
      <family val="2"/>
      <scheme val="minor"/>
    </font>
    <font>
      <b/>
      <u/>
      <sz val="27"/>
      <color rgb="FF001489"/>
      <name val="Arial"/>
      <family val="2"/>
      <scheme val="minor"/>
    </font>
    <font>
      <sz val="11"/>
      <color rgb="FF001489"/>
      <name val="Arial"/>
      <family val="2"/>
      <scheme val="minor"/>
    </font>
    <font>
      <b/>
      <u/>
      <sz val="18"/>
      <color rgb="FF001489"/>
      <name val="Arial"/>
      <family val="2"/>
      <scheme val="minor"/>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539F"/>
        <bgColor indexed="64"/>
      </patternFill>
    </fill>
    <fill>
      <patternFill patternType="solid">
        <fgColor rgb="FF6A6A6A"/>
        <bgColor indexed="64"/>
      </patternFill>
    </fill>
    <fill>
      <patternFill patternType="solid">
        <fgColor theme="5" tint="0.79998168889431442"/>
        <bgColor indexed="64"/>
      </patternFill>
    </fill>
    <fill>
      <patternFill patternType="solid">
        <fgColor rgb="FFFFFF00"/>
        <bgColor indexed="64"/>
      </patternFill>
    </fill>
    <fill>
      <patternFill patternType="solid">
        <fgColor theme="7"/>
        <bgColor indexed="64"/>
      </patternFill>
    </fill>
    <fill>
      <patternFill patternType="solid">
        <fgColor rgb="FF003387"/>
        <bgColor indexed="64"/>
      </patternFill>
    </fill>
    <fill>
      <patternFill patternType="solid">
        <fgColor rgb="FFFFFFFF"/>
        <bgColor indexed="64"/>
      </patternFill>
    </fill>
    <fill>
      <patternFill patternType="solid">
        <fgColor theme="8" tint="0.59999389629810485"/>
        <bgColor indexed="64"/>
      </patternFill>
    </fill>
    <fill>
      <patternFill patternType="solid">
        <fgColor rgb="FF92D050"/>
        <bgColor indexed="64"/>
      </patternFill>
    </fill>
    <fill>
      <patternFill patternType="solid">
        <fgColor theme="0" tint="-0.249977111117893"/>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rgb="FF1E427C"/>
        <bgColor indexed="64"/>
      </patternFill>
    </fill>
    <fill>
      <patternFill patternType="solid">
        <fgColor rgb="FFFFF8CA"/>
        <bgColor indexed="64"/>
      </patternFill>
    </fill>
    <fill>
      <patternFill patternType="solid">
        <fgColor rgb="FFFFFFCC"/>
        <bgColor indexed="64"/>
      </patternFill>
    </fill>
    <fill>
      <patternFill patternType="solid">
        <fgColor rgb="FF7030A0"/>
        <bgColor indexed="64"/>
      </patternFill>
    </fill>
    <fill>
      <patternFill patternType="solid">
        <fgColor rgb="FF001489"/>
        <bgColor indexed="64"/>
      </patternFill>
    </fill>
  </fills>
  <borders count="10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auto="1"/>
      </right>
      <top/>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right style="thin">
        <color indexed="64"/>
      </right>
      <top style="medium">
        <color indexed="64"/>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right style="thin">
        <color auto="1"/>
      </right>
      <top style="thin">
        <color auto="1"/>
      </top>
      <bottom style="thin">
        <color auto="1"/>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bottom style="medium">
        <color indexed="64"/>
      </bottom>
      <diagonal/>
    </border>
  </borders>
  <cellStyleXfs count="200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0" fontId="21" fillId="0" borderId="0"/>
    <xf numFmtId="0" fontId="21" fillId="0" borderId="0"/>
    <xf numFmtId="0" fontId="21" fillId="0" borderId="0"/>
    <xf numFmtId="0" fontId="1" fillId="0" borderId="0"/>
    <xf numFmtId="9" fontId="21" fillId="0" borderId="0" applyFont="0" applyFill="0" applyBorder="0" applyAlignment="0" applyProtection="0"/>
    <xf numFmtId="9" fontId="21" fillId="0" borderId="0" applyFont="0" applyFill="0" applyBorder="0" applyAlignment="0" applyProtection="0"/>
    <xf numFmtId="0" fontId="20" fillId="0" borderId="0"/>
    <xf numFmtId="0" fontId="29" fillId="37" borderId="0" applyNumberFormat="0" applyBorder="0" applyAlignment="0" applyProtection="0"/>
    <xf numFmtId="0" fontId="29" fillId="38" borderId="0" applyNumberFormat="0" applyBorder="0" applyAlignment="0" applyProtection="0"/>
    <xf numFmtId="0" fontId="29"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9" fillId="46" borderId="0" applyNumberFormat="0" applyBorder="0" applyAlignment="0" applyProtection="0"/>
    <xf numFmtId="0" fontId="30" fillId="47" borderId="0" applyNumberFormat="0" applyBorder="0" applyAlignment="0" applyProtection="0"/>
    <xf numFmtId="0" fontId="30" fillId="44" borderId="0" applyNumberFormat="0" applyBorder="0" applyAlignment="0" applyProtection="0"/>
    <xf numFmtId="0" fontId="30" fillId="45" borderId="0" applyNumberFormat="0" applyBorder="0" applyAlignment="0" applyProtection="0"/>
    <xf numFmtId="0" fontId="30" fillId="48" borderId="0" applyNumberFormat="0" applyBorder="0" applyAlignment="0" applyProtection="0"/>
    <xf numFmtId="0" fontId="30" fillId="49" borderId="0" applyNumberFormat="0" applyBorder="0" applyAlignment="0" applyProtection="0"/>
    <xf numFmtId="0" fontId="30" fillId="50" borderId="0" applyNumberFormat="0" applyBorder="0" applyAlignment="0" applyProtection="0"/>
    <xf numFmtId="0" fontId="30" fillId="51" borderId="0" applyNumberFormat="0" applyBorder="0" applyAlignment="0" applyProtection="0"/>
    <xf numFmtId="0" fontId="30" fillId="52" borderId="0" applyNumberFormat="0" applyBorder="0" applyAlignment="0" applyProtection="0"/>
    <xf numFmtId="0" fontId="30" fillId="53" borderId="0" applyNumberFormat="0" applyBorder="0" applyAlignment="0" applyProtection="0"/>
    <xf numFmtId="0" fontId="30" fillId="48" borderId="0" applyNumberFormat="0" applyBorder="0" applyAlignment="0" applyProtection="0"/>
    <xf numFmtId="0" fontId="30" fillId="49" borderId="0" applyNumberFormat="0" applyBorder="0" applyAlignment="0" applyProtection="0"/>
    <xf numFmtId="0" fontId="30" fillId="54" borderId="0" applyNumberFormat="0" applyBorder="0" applyAlignment="0" applyProtection="0"/>
    <xf numFmtId="0" fontId="31" fillId="38" borderId="0" applyNumberFormat="0" applyBorder="0" applyAlignment="0" applyProtection="0"/>
    <xf numFmtId="0" fontId="32" fillId="55" borderId="22" applyNumberFormat="0" applyAlignment="0" applyProtection="0"/>
    <xf numFmtId="0" fontId="33" fillId="56" borderId="23" applyNumberFormat="0" applyAlignment="0" applyProtection="0"/>
    <xf numFmtId="44" fontId="20" fillId="0" borderId="0" applyFont="0" applyFill="0" applyBorder="0" applyAlignment="0" applyProtection="0"/>
    <xf numFmtId="44" fontId="29" fillId="0" borderId="0" applyFont="0" applyFill="0" applyBorder="0" applyAlignment="0" applyProtection="0"/>
    <xf numFmtId="0" fontId="34" fillId="0" borderId="0" applyNumberFormat="0" applyFill="0" applyBorder="0" applyAlignment="0" applyProtection="0"/>
    <xf numFmtId="0" fontId="35" fillId="39" borderId="0" applyNumberFormat="0" applyBorder="0" applyAlignment="0" applyProtection="0"/>
    <xf numFmtId="0" fontId="36" fillId="0" borderId="24" applyNumberFormat="0" applyFill="0" applyAlignment="0" applyProtection="0"/>
    <xf numFmtId="0" fontId="37" fillId="0" borderId="25" applyNumberFormat="0" applyFill="0" applyAlignment="0" applyProtection="0"/>
    <xf numFmtId="0" fontId="38" fillId="0" borderId="26" applyNumberFormat="0" applyFill="0" applyAlignment="0" applyProtection="0"/>
    <xf numFmtId="0" fontId="38" fillId="0" borderId="0" applyNumberFormat="0" applyFill="0" applyBorder="0" applyAlignment="0" applyProtection="0"/>
    <xf numFmtId="0" fontId="39" fillId="42" borderId="22" applyNumberFormat="0" applyAlignment="0" applyProtection="0"/>
    <xf numFmtId="0" fontId="40" fillId="0" borderId="27" applyNumberFormat="0" applyFill="0" applyAlignment="0" applyProtection="0"/>
    <xf numFmtId="0" fontId="41" fillId="57"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58" borderId="28" applyNumberFormat="0" applyFont="0" applyAlignment="0" applyProtection="0"/>
    <xf numFmtId="0" fontId="42" fillId="55" borderId="29" applyNumberFormat="0" applyAlignment="0" applyProtection="0"/>
    <xf numFmtId="9" fontId="20" fillId="0" borderId="0" applyFont="0" applyFill="0" applyBorder="0" applyAlignment="0" applyProtection="0"/>
    <xf numFmtId="0" fontId="43" fillId="0" borderId="0" applyNumberFormat="0" applyFill="0" applyBorder="0" applyAlignment="0" applyProtection="0"/>
    <xf numFmtId="0" fontId="44" fillId="0" borderId="30" applyNumberFormat="0" applyFill="0" applyAlignment="0" applyProtection="0"/>
    <xf numFmtId="0" fontId="45"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20" fillId="0" borderId="0"/>
    <xf numFmtId="0" fontId="91" fillId="0" borderId="0" applyNumberFormat="0" applyFill="0" applyBorder="0" applyAlignment="0" applyProtection="0"/>
    <xf numFmtId="0" fontId="92" fillId="0" borderId="0"/>
  </cellStyleXfs>
  <cellXfs count="971">
    <xf numFmtId="0" fontId="0" fillId="0" borderId="0" xfId="0"/>
    <xf numFmtId="0" fontId="0" fillId="34" borderId="0" xfId="0" applyFill="1"/>
    <xf numFmtId="0" fontId="19" fillId="34" borderId="0" xfId="0" applyFont="1" applyFill="1"/>
    <xf numFmtId="0" fontId="23" fillId="34" borderId="0" xfId="42" applyFont="1" applyFill="1" applyAlignment="1" applyProtection="1">
      <alignment horizontal="left" vertical="center" wrapText="1" indent="2"/>
      <protection hidden="1"/>
    </xf>
    <xf numFmtId="0" fontId="16" fillId="34" borderId="0" xfId="0" applyFont="1" applyFill="1" applyAlignment="1">
      <alignment horizontal="left"/>
    </xf>
    <xf numFmtId="0" fontId="24" fillId="0" borderId="0" xfId="42" applyFont="1" applyAlignment="1">
      <alignment vertical="center"/>
    </xf>
    <xf numFmtId="0" fontId="24" fillId="34" borderId="0" xfId="42" applyFont="1" applyFill="1" applyAlignment="1">
      <alignment vertical="center"/>
    </xf>
    <xf numFmtId="0" fontId="18" fillId="34" borderId="0" xfId="0" applyFont="1" applyFill="1"/>
    <xf numFmtId="0" fontId="0" fillId="34" borderId="0" xfId="0" applyFill="1" applyAlignment="1">
      <alignment vertical="top"/>
    </xf>
    <xf numFmtId="0" fontId="0" fillId="34" borderId="0" xfId="0" applyFill="1" applyAlignment="1">
      <alignment vertical="top" wrapText="1"/>
    </xf>
    <xf numFmtId="0" fontId="16" fillId="34" borderId="0" xfId="0" applyFont="1" applyFill="1" applyAlignment="1">
      <alignment vertical="top"/>
    </xf>
    <xf numFmtId="0" fontId="16" fillId="34" borderId="0" xfId="0" applyFont="1" applyFill="1"/>
    <xf numFmtId="0" fontId="16" fillId="34" borderId="32" xfId="0" applyFont="1" applyFill="1" applyBorder="1" applyAlignment="1">
      <alignment horizontal="center" vertical="center"/>
    </xf>
    <xf numFmtId="0" fontId="16" fillId="34" borderId="11" xfId="0" applyFont="1" applyFill="1" applyBorder="1" applyAlignment="1">
      <alignment horizontal="center" vertical="center"/>
    </xf>
    <xf numFmtId="0" fontId="16" fillId="34" borderId="11" xfId="0" applyFont="1" applyFill="1" applyBorder="1" applyAlignment="1">
      <alignment horizontal="center" vertical="center" wrapText="1"/>
    </xf>
    <xf numFmtId="0" fontId="16" fillId="34" borderId="33" xfId="0" applyFont="1" applyFill="1" applyBorder="1" applyAlignment="1">
      <alignment horizontal="center" vertical="center"/>
    </xf>
    <xf numFmtId="14" fontId="0" fillId="34" borderId="10" xfId="0" applyNumberFormat="1" applyFill="1" applyBorder="1" applyAlignment="1">
      <alignment horizontal="left" vertical="center" indent="1"/>
    </xf>
    <xf numFmtId="0" fontId="0" fillId="34" borderId="10" xfId="0" applyFill="1" applyBorder="1" applyAlignment="1">
      <alignment horizontal="left" vertical="center" wrapText="1" indent="1"/>
    </xf>
    <xf numFmtId="0" fontId="0" fillId="34" borderId="16" xfId="0" applyFill="1" applyBorder="1" applyAlignment="1">
      <alignment horizontal="left" vertical="center" indent="1"/>
    </xf>
    <xf numFmtId="0" fontId="0" fillId="34" borderId="10" xfId="0" applyFill="1" applyBorder="1" applyAlignment="1">
      <alignment horizontal="left" vertical="center" indent="1"/>
    </xf>
    <xf numFmtId="0" fontId="0" fillId="34" borderId="34" xfId="0" applyFill="1" applyBorder="1" applyAlignment="1">
      <alignment horizontal="left" vertical="center" indent="1"/>
    </xf>
    <xf numFmtId="0" fontId="0" fillId="34" borderId="34" xfId="0" applyFill="1" applyBorder="1" applyAlignment="1">
      <alignment horizontal="left" vertical="center" wrapText="1" indent="1"/>
    </xf>
    <xf numFmtId="0" fontId="0" fillId="34" borderId="35" xfId="0" applyFill="1" applyBorder="1" applyAlignment="1">
      <alignment horizontal="left" vertical="center" indent="1"/>
    </xf>
    <xf numFmtId="0" fontId="22" fillId="34" borderId="0" xfId="42" applyFont="1" applyFill="1" applyAlignment="1" applyProtection="1">
      <alignment horizontal="left" vertical="center" wrapText="1"/>
      <protection hidden="1"/>
    </xf>
    <xf numFmtId="0" fontId="22" fillId="34" borderId="0" xfId="42" applyFont="1" applyFill="1" applyAlignment="1" applyProtection="1">
      <alignment horizontal="left" vertical="center" wrapText="1" indent="2"/>
      <protection hidden="1"/>
    </xf>
    <xf numFmtId="0" fontId="16" fillId="34" borderId="0" xfId="0" applyFont="1" applyFill="1" applyAlignment="1">
      <alignment horizontal="left" vertical="top"/>
    </xf>
    <xf numFmtId="0" fontId="0" fillId="34" borderId="21" xfId="0" applyFill="1" applyBorder="1" applyAlignment="1">
      <alignment vertical="top"/>
    </xf>
    <xf numFmtId="0" fontId="16" fillId="34" borderId="0" xfId="0" applyFont="1" applyFill="1" applyAlignment="1">
      <alignment horizontal="left" vertical="top" indent="18"/>
    </xf>
    <xf numFmtId="0" fontId="0" fillId="34" borderId="36" xfId="0" applyFill="1" applyBorder="1" applyAlignment="1">
      <alignment vertical="top"/>
    </xf>
    <xf numFmtId="0" fontId="16" fillId="34" borderId="0" xfId="0" applyFont="1" applyFill="1" applyAlignment="1">
      <alignment horizontal="left" vertical="top" wrapText="1" indent="18"/>
    </xf>
    <xf numFmtId="0" fontId="0" fillId="0" borderId="0" xfId="0" applyProtection="1">
      <protection locked="0"/>
    </xf>
    <xf numFmtId="0" fontId="0" fillId="0" borderId="0" xfId="0" applyAlignment="1" applyProtection="1">
      <alignment wrapText="1"/>
      <protection locked="0"/>
    </xf>
    <xf numFmtId="0" fontId="0" fillId="60" borderId="0" xfId="0" applyFill="1" applyAlignment="1" applyProtection="1">
      <alignment vertical="center"/>
      <protection locked="0"/>
    </xf>
    <xf numFmtId="0" fontId="0" fillId="0" borderId="0" xfId="0" applyAlignment="1" applyProtection="1">
      <alignment vertical="center"/>
      <protection locked="0"/>
    </xf>
    <xf numFmtId="0" fontId="0" fillId="60" borderId="0" xfId="0" applyFill="1" applyProtection="1">
      <protection locked="0"/>
    </xf>
    <xf numFmtId="0" fontId="13" fillId="60" borderId="0" xfId="0" applyFont="1" applyFill="1" applyAlignment="1" applyProtection="1">
      <alignment vertical="center"/>
      <protection locked="0"/>
    </xf>
    <xf numFmtId="0" fontId="0" fillId="34" borderId="10" xfId="0" applyFill="1" applyBorder="1"/>
    <xf numFmtId="0" fontId="0" fillId="34" borderId="11" xfId="0" applyFill="1" applyBorder="1"/>
    <xf numFmtId="0" fontId="0" fillId="34" borderId="38" xfId="0" applyFill="1" applyBorder="1"/>
    <xf numFmtId="0" fontId="0" fillId="34" borderId="39" xfId="0" applyFill="1" applyBorder="1"/>
    <xf numFmtId="0" fontId="0" fillId="34" borderId="40" xfId="0" applyFill="1" applyBorder="1"/>
    <xf numFmtId="0" fontId="0" fillId="34" borderId="15" xfId="0" applyFill="1" applyBorder="1"/>
    <xf numFmtId="0" fontId="0" fillId="34" borderId="17" xfId="0" applyFill="1" applyBorder="1"/>
    <xf numFmtId="0" fontId="0" fillId="34" borderId="18" xfId="0" applyFill="1" applyBorder="1"/>
    <xf numFmtId="0" fontId="0" fillId="34" borderId="19" xfId="0" applyFill="1" applyBorder="1"/>
    <xf numFmtId="0" fontId="0" fillId="34" borderId="20" xfId="0" applyFill="1" applyBorder="1"/>
    <xf numFmtId="0" fontId="0" fillId="34" borderId="41" xfId="0" applyFill="1" applyBorder="1"/>
    <xf numFmtId="0" fontId="0" fillId="34" borderId="42" xfId="0" applyFill="1" applyBorder="1"/>
    <xf numFmtId="0" fontId="18" fillId="36" borderId="37" xfId="0" applyFont="1" applyFill="1" applyBorder="1"/>
    <xf numFmtId="0" fontId="28" fillId="36" borderId="11" xfId="0" applyFont="1" applyFill="1" applyBorder="1"/>
    <xf numFmtId="0" fontId="28" fillId="36" borderId="42" xfId="0" applyFont="1" applyFill="1" applyBorder="1"/>
    <xf numFmtId="0" fontId="0" fillId="35" borderId="10" xfId="0" applyFill="1" applyBorder="1"/>
    <xf numFmtId="0" fontId="0" fillId="35" borderId="15" xfId="0" applyFill="1" applyBorder="1"/>
    <xf numFmtId="0" fontId="0" fillId="35" borderId="17" xfId="0" applyFill="1" applyBorder="1"/>
    <xf numFmtId="0" fontId="0" fillId="35" borderId="18" xfId="0" applyFill="1" applyBorder="1"/>
    <xf numFmtId="0" fontId="0" fillId="35" borderId="19" xfId="0" applyFill="1" applyBorder="1"/>
    <xf numFmtId="0" fontId="0" fillId="35" borderId="20" xfId="0" applyFill="1" applyBorder="1"/>
    <xf numFmtId="0" fontId="0" fillId="35" borderId="41" xfId="0" applyFill="1" applyBorder="1"/>
    <xf numFmtId="0" fontId="0" fillId="35" borderId="11" xfId="0" applyFill="1" applyBorder="1"/>
    <xf numFmtId="0" fontId="0" fillId="35" borderId="42" xfId="0" applyFill="1" applyBorder="1"/>
    <xf numFmtId="0" fontId="0" fillId="36" borderId="12" xfId="0" applyFill="1" applyBorder="1"/>
    <xf numFmtId="0" fontId="28" fillId="36" borderId="13" xfId="0" applyFont="1" applyFill="1" applyBorder="1"/>
    <xf numFmtId="0" fontId="0" fillId="36" borderId="14" xfId="0" applyFill="1" applyBorder="1"/>
    <xf numFmtId="0" fontId="28" fillId="36" borderId="18" xfId="0" applyFont="1" applyFill="1" applyBorder="1"/>
    <xf numFmtId="0" fontId="28" fillId="36" borderId="19" xfId="0" applyFont="1" applyFill="1" applyBorder="1"/>
    <xf numFmtId="0" fontId="28" fillId="36" borderId="20" xfId="0" applyFont="1" applyFill="1" applyBorder="1"/>
    <xf numFmtId="0" fontId="28" fillId="36" borderId="32" xfId="0" applyFont="1" applyFill="1" applyBorder="1"/>
    <xf numFmtId="0" fontId="28" fillId="36" borderId="49" xfId="0" applyFont="1" applyFill="1" applyBorder="1"/>
    <xf numFmtId="0" fontId="28" fillId="36" borderId="12" xfId="0" applyFont="1" applyFill="1" applyBorder="1"/>
    <xf numFmtId="0" fontId="28" fillId="36" borderId="14" xfId="0" applyFont="1" applyFill="1" applyBorder="1"/>
    <xf numFmtId="0" fontId="28" fillId="36" borderId="43" xfId="0" applyFont="1" applyFill="1" applyBorder="1"/>
    <xf numFmtId="0" fontId="28" fillId="36" borderId="45" xfId="0" applyFont="1" applyFill="1" applyBorder="1"/>
    <xf numFmtId="0" fontId="28" fillId="36" borderId="44" xfId="0" applyFont="1" applyFill="1" applyBorder="1"/>
    <xf numFmtId="0" fontId="0" fillId="35" borderId="32" xfId="0" applyFill="1" applyBorder="1"/>
    <xf numFmtId="49" fontId="0" fillId="34" borderId="59" xfId="0" applyNumberFormat="1" applyFill="1" applyBorder="1"/>
    <xf numFmtId="0" fontId="0" fillId="35" borderId="12" xfId="0" applyFill="1" applyBorder="1"/>
    <xf numFmtId="0" fontId="0" fillId="35" borderId="13" xfId="0" applyFill="1" applyBorder="1"/>
    <xf numFmtId="0" fontId="0" fillId="35" borderId="14" xfId="0" applyFill="1" applyBorder="1"/>
    <xf numFmtId="0" fontId="0" fillId="35" borderId="66" xfId="0" applyFill="1" applyBorder="1"/>
    <xf numFmtId="0" fontId="22" fillId="34" borderId="0" xfId="42" applyFont="1" applyFill="1" applyAlignment="1" applyProtection="1">
      <alignment vertical="center" wrapText="1"/>
      <protection hidden="1"/>
    </xf>
    <xf numFmtId="0" fontId="26" fillId="34" borderId="0" xfId="42" applyFont="1" applyFill="1" applyAlignment="1" applyProtection="1">
      <alignment vertical="center"/>
      <protection hidden="1"/>
    </xf>
    <xf numFmtId="0" fontId="23" fillId="34" borderId="0" xfId="42" applyFont="1" applyFill="1" applyAlignment="1" applyProtection="1">
      <alignment vertical="center" wrapText="1"/>
      <protection hidden="1"/>
    </xf>
    <xf numFmtId="0" fontId="0" fillId="33" borderId="10" xfId="0" applyFill="1" applyBorder="1" applyAlignment="1">
      <alignment vertical="center"/>
    </xf>
    <xf numFmtId="0" fontId="0" fillId="35" borderId="10" xfId="0" applyFill="1" applyBorder="1" applyAlignment="1">
      <alignment vertical="center" wrapText="1"/>
    </xf>
    <xf numFmtId="0" fontId="51" fillId="34" borderId="0" xfId="0" applyFont="1" applyFill="1" applyAlignment="1">
      <alignment vertical="center" wrapText="1"/>
    </xf>
    <xf numFmtId="0" fontId="54" fillId="34" borderId="0" xfId="0" applyFont="1" applyFill="1"/>
    <xf numFmtId="0" fontId="0" fillId="0" borderId="21" xfId="0" applyBorder="1" applyAlignment="1">
      <alignment wrapText="1"/>
    </xf>
    <xf numFmtId="0" fontId="59" fillId="0" borderId="34" xfId="0" applyFont="1" applyBorder="1" applyAlignment="1">
      <alignment horizontal="left"/>
    </xf>
    <xf numFmtId="0" fontId="60" fillId="0" borderId="34" xfId="0" applyFont="1" applyBorder="1" applyAlignment="1">
      <alignment horizontal="left"/>
    </xf>
    <xf numFmtId="0" fontId="0" fillId="0" borderId="34" xfId="0" applyBorder="1" applyAlignment="1" applyProtection="1">
      <alignment vertical="center"/>
      <protection locked="0"/>
    </xf>
    <xf numFmtId="0" fontId="59" fillId="61" borderId="10" xfId="0" applyFont="1" applyFill="1" applyBorder="1" applyAlignment="1">
      <alignment horizontal="left"/>
    </xf>
    <xf numFmtId="0" fontId="60" fillId="61" borderId="10" xfId="0" applyFont="1" applyFill="1" applyBorder="1" applyAlignment="1">
      <alignment horizontal="left"/>
    </xf>
    <xf numFmtId="0" fontId="59" fillId="0" borderId="11" xfId="0" applyFont="1" applyBorder="1" applyAlignment="1">
      <alignment horizontal="left"/>
    </xf>
    <xf numFmtId="0" fontId="60" fillId="0" borderId="11" xfId="0" applyFont="1" applyBorder="1" applyAlignment="1">
      <alignment horizontal="left"/>
    </xf>
    <xf numFmtId="0" fontId="59" fillId="0" borderId="10" xfId="0" applyFont="1" applyBorder="1" applyAlignment="1">
      <alignment horizontal="left"/>
    </xf>
    <xf numFmtId="0" fontId="60" fillId="0" borderId="10" xfId="0" applyFont="1" applyBorder="1" applyAlignment="1">
      <alignment horizontal="left"/>
    </xf>
    <xf numFmtId="0" fontId="60" fillId="61" borderId="32" xfId="0" applyFont="1" applyFill="1" applyBorder="1" applyAlignment="1">
      <alignment wrapText="1"/>
    </xf>
    <xf numFmtId="0" fontId="59" fillId="61" borderId="32" xfId="0" applyFont="1" applyFill="1" applyBorder="1" applyAlignment="1">
      <alignment wrapText="1"/>
    </xf>
    <xf numFmtId="0" fontId="0" fillId="0" borderId="10" xfId="0" applyBorder="1" applyAlignment="1" applyProtection="1">
      <alignment vertical="center"/>
      <protection locked="0"/>
    </xf>
    <xf numFmtId="0" fontId="18" fillId="36" borderId="71" xfId="0" applyFont="1" applyFill="1" applyBorder="1"/>
    <xf numFmtId="0" fontId="61" fillId="0" borderId="59" xfId="0" applyFont="1" applyBorder="1" applyAlignment="1">
      <alignment horizontal="left" vertical="center" wrapText="1"/>
    </xf>
    <xf numFmtId="0" fontId="61" fillId="0" borderId="39" xfId="0" applyFont="1" applyBorder="1" applyAlignment="1">
      <alignment horizontal="left" vertical="center" wrapText="1"/>
    </xf>
    <xf numFmtId="0" fontId="61" fillId="0" borderId="40" xfId="0" applyFont="1" applyBorder="1" applyAlignment="1">
      <alignment horizontal="left" vertical="center" wrapText="1"/>
    </xf>
    <xf numFmtId="0" fontId="18" fillId="36" borderId="43" xfId="0" applyFont="1" applyFill="1" applyBorder="1" applyAlignment="1">
      <alignment horizontal="left"/>
    </xf>
    <xf numFmtId="0" fontId="62" fillId="61" borderId="10" xfId="0" applyFont="1" applyFill="1" applyBorder="1" applyAlignment="1">
      <alignment horizontal="left"/>
    </xf>
    <xf numFmtId="0" fontId="0" fillId="34" borderId="59" xfId="0" applyFill="1" applyBorder="1"/>
    <xf numFmtId="0" fontId="16" fillId="63" borderId="71" xfId="0" applyFont="1" applyFill="1" applyBorder="1"/>
    <xf numFmtId="0" fontId="0" fillId="63" borderId="71" xfId="0" applyFill="1" applyBorder="1"/>
    <xf numFmtId="0" fontId="0" fillId="34" borderId="12" xfId="0" applyFill="1" applyBorder="1"/>
    <xf numFmtId="0" fontId="0" fillId="34" borderId="13" xfId="0" applyFill="1" applyBorder="1"/>
    <xf numFmtId="0" fontId="0" fillId="34" borderId="14" xfId="0" applyFill="1" applyBorder="1"/>
    <xf numFmtId="167" fontId="0" fillId="34" borderId="10" xfId="1998" applyNumberFormat="1" applyFont="1" applyFill="1" applyBorder="1"/>
    <xf numFmtId="167" fontId="0" fillId="34" borderId="19" xfId="1998" applyNumberFormat="1" applyFont="1" applyFill="1" applyBorder="1"/>
    <xf numFmtId="167" fontId="0" fillId="34" borderId="10" xfId="0" applyNumberFormat="1" applyFill="1" applyBorder="1"/>
    <xf numFmtId="167" fontId="0" fillId="34" borderId="13" xfId="0" applyNumberFormat="1" applyFill="1" applyBorder="1"/>
    <xf numFmtId="167" fontId="0" fillId="34" borderId="19" xfId="0" applyNumberFormat="1" applyFill="1" applyBorder="1"/>
    <xf numFmtId="0" fontId="0" fillId="34" borderId="0" xfId="1998" applyNumberFormat="1" applyFont="1" applyFill="1" applyBorder="1"/>
    <xf numFmtId="0" fontId="0" fillId="34" borderId="51" xfId="0" applyFill="1" applyBorder="1"/>
    <xf numFmtId="0" fontId="0" fillId="34" borderId="64" xfId="0" applyFill="1" applyBorder="1"/>
    <xf numFmtId="0" fontId="18" fillId="36" borderId="46" xfId="0" applyFont="1" applyFill="1" applyBorder="1"/>
    <xf numFmtId="0" fontId="16" fillId="63" borderId="71" xfId="0" applyFont="1" applyFill="1" applyBorder="1" applyAlignment="1">
      <alignment wrapText="1"/>
    </xf>
    <xf numFmtId="3" fontId="61" fillId="0" borderId="10" xfId="0" applyNumberFormat="1" applyFont="1" applyBorder="1" applyAlignment="1">
      <alignment horizontal="center" vertical="center" wrapText="1"/>
    </xf>
    <xf numFmtId="3" fontId="65" fillId="0" borderId="10" xfId="0" applyNumberFormat="1" applyFont="1" applyBorder="1" applyAlignment="1">
      <alignment horizontal="center" vertical="center" wrapText="1"/>
    </xf>
    <xf numFmtId="0" fontId="65" fillId="0" borderId="10" xfId="0" applyFont="1" applyBorder="1" applyAlignment="1">
      <alignment horizontal="center" vertical="center" wrapText="1"/>
    </xf>
    <xf numFmtId="0" fontId="61" fillId="0" borderId="12" xfId="0" applyFont="1" applyBorder="1" applyAlignment="1">
      <alignment horizontal="left" vertical="center" wrapText="1"/>
    </xf>
    <xf numFmtId="3" fontId="61" fillId="0" borderId="13" xfId="0" applyNumberFormat="1" applyFont="1" applyBorder="1" applyAlignment="1">
      <alignment horizontal="center" vertical="center" wrapText="1"/>
    </xf>
    <xf numFmtId="0" fontId="61" fillId="0" borderId="14" xfId="0" applyFont="1" applyBorder="1" applyAlignment="1">
      <alignment horizontal="center" vertical="center" wrapText="1"/>
    </xf>
    <xf numFmtId="0" fontId="61" fillId="0" borderId="15" xfId="0" applyFont="1" applyBorder="1" applyAlignment="1">
      <alignment horizontal="left" vertical="center" wrapText="1"/>
    </xf>
    <xf numFmtId="0" fontId="61" fillId="0" borderId="17" xfId="0" applyFont="1" applyBorder="1" applyAlignment="1">
      <alignment horizontal="center" vertical="center" wrapText="1"/>
    </xf>
    <xf numFmtId="0" fontId="65" fillId="0" borderId="17" xfId="0" applyFont="1" applyBorder="1" applyAlignment="1">
      <alignment horizontal="center" vertical="center" wrapText="1"/>
    </xf>
    <xf numFmtId="0" fontId="61" fillId="0" borderId="18" xfId="0" applyFont="1" applyBorder="1" applyAlignment="1">
      <alignment horizontal="left" vertical="center" wrapText="1"/>
    </xf>
    <xf numFmtId="3" fontId="65" fillId="0" borderId="19" xfId="0" applyNumberFormat="1" applyFont="1" applyBorder="1" applyAlignment="1">
      <alignment horizontal="center" vertical="center" wrapText="1"/>
    </xf>
    <xf numFmtId="0" fontId="65" fillId="0" borderId="20" xfId="0" applyFont="1" applyBorder="1" applyAlignment="1">
      <alignment horizontal="center" vertical="center" wrapText="1"/>
    </xf>
    <xf numFmtId="0" fontId="61" fillId="0" borderId="0" xfId="0" applyFont="1" applyAlignment="1">
      <alignment horizontal="left" vertical="center" wrapText="1"/>
    </xf>
    <xf numFmtId="3" fontId="65" fillId="0" borderId="0" xfId="0" applyNumberFormat="1" applyFont="1" applyAlignment="1">
      <alignment horizontal="center" vertical="center" wrapText="1"/>
    </xf>
    <xf numFmtId="0" fontId="65" fillId="0" borderId="0" xfId="0" applyFont="1" applyAlignment="1">
      <alignment horizontal="center" vertical="center" wrapText="1"/>
    </xf>
    <xf numFmtId="0" fontId="61" fillId="0" borderId="12" xfId="0" applyFont="1" applyBorder="1" applyAlignment="1">
      <alignment horizontal="justify" vertical="center" wrapText="1"/>
    </xf>
    <xf numFmtId="3" fontId="65" fillId="0" borderId="13" xfId="0" applyNumberFormat="1" applyFont="1" applyBorder="1" applyAlignment="1">
      <alignment horizontal="center" vertical="center" wrapText="1"/>
    </xf>
    <xf numFmtId="0" fontId="65" fillId="0" borderId="13" xfId="0" applyFont="1" applyBorder="1" applyAlignment="1">
      <alignment horizontal="center" vertical="center" wrapText="1"/>
    </xf>
    <xf numFmtId="0" fontId="65" fillId="0" borderId="14" xfId="0" applyFont="1" applyBorder="1" applyAlignment="1">
      <alignment horizontal="center" vertical="center" wrapText="1"/>
    </xf>
    <xf numFmtId="0" fontId="61" fillId="0" borderId="15" xfId="0" applyFont="1" applyBorder="1" applyAlignment="1">
      <alignment horizontal="justify" vertical="center" wrapText="1"/>
    </xf>
    <xf numFmtId="3" fontId="65" fillId="0" borderId="17" xfId="0" applyNumberFormat="1" applyFont="1" applyBorder="1" applyAlignment="1">
      <alignment horizontal="center" vertical="center" wrapText="1"/>
    </xf>
    <xf numFmtId="0" fontId="61" fillId="0" borderId="18" xfId="0" applyFont="1" applyBorder="1" applyAlignment="1">
      <alignment horizontal="justify" vertical="center" wrapText="1"/>
    </xf>
    <xf numFmtId="0" fontId="65" fillId="0" borderId="19" xfId="0" applyFont="1" applyBorder="1" applyAlignment="1">
      <alignment horizontal="center" vertical="center" wrapText="1"/>
    </xf>
    <xf numFmtId="0" fontId="46" fillId="34" borderId="0" xfId="0" applyFont="1" applyFill="1" applyAlignment="1" applyProtection="1">
      <alignment vertical="center"/>
      <protection hidden="1"/>
    </xf>
    <xf numFmtId="0" fontId="0" fillId="34" borderId="0" xfId="0" applyFill="1" applyProtection="1">
      <protection hidden="1"/>
    </xf>
    <xf numFmtId="0" fontId="55" fillId="34" borderId="0" xfId="0" applyFont="1" applyFill="1" applyProtection="1">
      <protection hidden="1"/>
    </xf>
    <xf numFmtId="0" fontId="27" fillId="34" borderId="0" xfId="0" applyFont="1" applyFill="1" applyProtection="1">
      <protection hidden="1"/>
    </xf>
    <xf numFmtId="0" fontId="16" fillId="34" borderId="0" xfId="0" applyFont="1" applyFill="1" applyAlignment="1" applyProtection="1">
      <alignment horizontal="center"/>
      <protection hidden="1"/>
    </xf>
    <xf numFmtId="0" fontId="0" fillId="34" borderId="0" xfId="0" applyFill="1" applyAlignment="1" applyProtection="1">
      <alignment vertical="center"/>
      <protection hidden="1"/>
    </xf>
    <xf numFmtId="0" fontId="0" fillId="34" borderId="0" xfId="0" applyFill="1" applyAlignment="1" applyProtection="1">
      <alignment vertical="center" wrapText="1"/>
      <protection hidden="1"/>
    </xf>
    <xf numFmtId="0" fontId="51" fillId="36" borderId="18" xfId="0" applyFont="1" applyFill="1" applyBorder="1" applyAlignment="1" applyProtection="1">
      <alignment vertical="center" wrapText="1"/>
      <protection hidden="1"/>
    </xf>
    <xf numFmtId="0" fontId="51" fillId="36" borderId="49" xfId="0" applyFont="1" applyFill="1" applyBorder="1" applyAlignment="1" applyProtection="1">
      <alignment vertical="center" wrapText="1"/>
      <protection hidden="1"/>
    </xf>
    <xf numFmtId="0" fontId="51" fillId="36" borderId="19" xfId="0" applyFont="1" applyFill="1" applyBorder="1" applyAlignment="1" applyProtection="1">
      <alignment vertical="center" wrapText="1"/>
      <protection hidden="1"/>
    </xf>
    <xf numFmtId="0" fontId="51" fillId="36" borderId="20" xfId="0" applyFont="1" applyFill="1" applyBorder="1" applyAlignment="1" applyProtection="1">
      <alignment vertical="center" wrapText="1"/>
      <protection hidden="1"/>
    </xf>
    <xf numFmtId="0" fontId="0" fillId="35" borderId="38" xfId="0" applyFill="1" applyBorder="1" applyAlignment="1" applyProtection="1">
      <alignment vertical="center" wrapText="1"/>
      <protection hidden="1"/>
    </xf>
    <xf numFmtId="0" fontId="0" fillId="35" borderId="11" xfId="0" applyFill="1" applyBorder="1" applyAlignment="1" applyProtection="1">
      <alignment vertical="center" wrapText="1"/>
      <protection hidden="1"/>
    </xf>
    <xf numFmtId="165" fontId="0" fillId="35" borderId="38" xfId="0" applyNumberFormat="1" applyFill="1" applyBorder="1" applyAlignment="1" applyProtection="1">
      <alignment vertical="center" wrapText="1"/>
      <protection hidden="1"/>
    </xf>
    <xf numFmtId="0" fontId="0" fillId="35" borderId="39" xfId="0" applyFill="1" applyBorder="1" applyAlignment="1" applyProtection="1">
      <alignment vertical="center" wrapText="1"/>
      <protection hidden="1"/>
    </xf>
    <xf numFmtId="0" fontId="0" fillId="35" borderId="15" xfId="0" applyFill="1" applyBorder="1" applyAlignment="1" applyProtection="1">
      <alignment vertical="center" wrapText="1"/>
      <protection hidden="1"/>
    </xf>
    <xf numFmtId="0" fontId="0" fillId="35" borderId="10" xfId="0" applyFill="1" applyBorder="1" applyAlignment="1" applyProtection="1">
      <alignment vertical="center" wrapText="1"/>
      <protection hidden="1"/>
    </xf>
    <xf numFmtId="165" fontId="0" fillId="35" borderId="39" xfId="0" applyNumberFormat="1" applyFill="1" applyBorder="1" applyAlignment="1" applyProtection="1">
      <alignment vertical="center" wrapText="1"/>
      <protection hidden="1"/>
    </xf>
    <xf numFmtId="0" fontId="0" fillId="35" borderId="40" xfId="0" applyFill="1" applyBorder="1" applyAlignment="1" applyProtection="1">
      <alignment vertical="center" wrapText="1"/>
      <protection hidden="1"/>
    </xf>
    <xf numFmtId="0" fontId="0" fillId="35" borderId="18" xfId="0" applyFill="1" applyBorder="1" applyAlignment="1" applyProtection="1">
      <alignment vertical="center" wrapText="1"/>
      <protection hidden="1"/>
    </xf>
    <xf numFmtId="0" fontId="0" fillId="35" borderId="19" xfId="0" applyFill="1" applyBorder="1" applyAlignment="1" applyProtection="1">
      <alignment vertical="center" wrapText="1"/>
      <protection hidden="1"/>
    </xf>
    <xf numFmtId="165" fontId="0" fillId="35" borderId="40" xfId="0" applyNumberFormat="1" applyFill="1" applyBorder="1" applyAlignment="1" applyProtection="1">
      <alignment vertical="center" wrapText="1"/>
      <protection hidden="1"/>
    </xf>
    <xf numFmtId="0" fontId="0" fillId="33" borderId="12" xfId="0" applyFill="1" applyBorder="1" applyAlignment="1" applyProtection="1">
      <alignment vertical="center" wrapText="1"/>
      <protection locked="0"/>
    </xf>
    <xf numFmtId="0" fontId="0" fillId="33" borderId="60" xfId="0" applyFill="1" applyBorder="1" applyAlignment="1" applyProtection="1">
      <alignment vertical="center" wrapText="1"/>
      <protection locked="0"/>
    </xf>
    <xf numFmtId="0" fontId="0" fillId="33" borderId="13" xfId="0" applyFill="1" applyBorder="1" applyAlignment="1" applyProtection="1">
      <alignment vertical="center" wrapText="1"/>
      <protection locked="0"/>
    </xf>
    <xf numFmtId="0" fontId="0" fillId="33" borderId="14" xfId="0" applyFill="1" applyBorder="1" applyAlignment="1" applyProtection="1">
      <alignment vertical="center" wrapText="1"/>
      <protection locked="0"/>
    </xf>
    <xf numFmtId="0" fontId="0" fillId="33" borderId="15" xfId="0" applyFill="1" applyBorder="1" applyAlignment="1" applyProtection="1">
      <alignment vertical="center" wrapText="1"/>
      <protection locked="0"/>
    </xf>
    <xf numFmtId="0" fontId="0" fillId="33" borderId="10" xfId="0" applyFill="1" applyBorder="1" applyAlignment="1" applyProtection="1">
      <alignment vertical="center" wrapText="1"/>
      <protection locked="0"/>
    </xf>
    <xf numFmtId="0" fontId="0" fillId="33" borderId="17" xfId="0" applyFill="1" applyBorder="1" applyAlignment="1" applyProtection="1">
      <alignment vertical="center" wrapText="1"/>
      <protection locked="0"/>
    </xf>
    <xf numFmtId="0" fontId="0" fillId="33" borderId="11" xfId="0" applyFill="1" applyBorder="1" applyAlignment="1" applyProtection="1">
      <alignment vertical="center" wrapText="1"/>
      <protection locked="0"/>
    </xf>
    <xf numFmtId="0" fontId="0" fillId="33" borderId="18" xfId="0" applyFill="1" applyBorder="1" applyAlignment="1" applyProtection="1">
      <alignment vertical="center" wrapText="1"/>
      <protection locked="0"/>
    </xf>
    <xf numFmtId="0" fontId="0" fillId="33" borderId="49" xfId="0" applyFill="1" applyBorder="1" applyAlignment="1" applyProtection="1">
      <alignment vertical="center" wrapText="1"/>
      <protection locked="0"/>
    </xf>
    <xf numFmtId="0" fontId="0" fillId="33" borderId="66" xfId="0" applyFill="1" applyBorder="1" applyAlignment="1" applyProtection="1">
      <alignment vertical="center" wrapText="1"/>
      <protection locked="0"/>
    </xf>
    <xf numFmtId="0" fontId="0" fillId="33" borderId="19" xfId="0" applyFill="1" applyBorder="1" applyAlignment="1" applyProtection="1">
      <alignment vertical="center" wrapText="1"/>
      <protection locked="0"/>
    </xf>
    <xf numFmtId="0" fontId="0" fillId="33" borderId="20" xfId="0" applyFill="1" applyBorder="1" applyAlignment="1" applyProtection="1">
      <alignment vertical="center" wrapText="1"/>
      <protection locked="0"/>
    </xf>
    <xf numFmtId="0" fontId="51" fillId="36" borderId="68" xfId="0" applyFont="1" applyFill="1" applyBorder="1" applyAlignment="1" applyProtection="1">
      <alignment vertical="center" wrapText="1"/>
      <protection hidden="1"/>
    </xf>
    <xf numFmtId="3" fontId="0" fillId="35" borderId="12" xfId="0" applyNumberFormat="1" applyFill="1" applyBorder="1" applyAlignment="1" applyProtection="1">
      <alignment vertical="center" wrapText="1"/>
      <protection hidden="1"/>
    </xf>
    <xf numFmtId="4" fontId="0" fillId="35" borderId="14" xfId="0" applyNumberFormat="1" applyFill="1" applyBorder="1" applyAlignment="1" applyProtection="1">
      <alignment vertical="center" wrapText="1"/>
      <protection hidden="1"/>
    </xf>
    <xf numFmtId="3" fontId="0" fillId="35" borderId="15" xfId="0" applyNumberFormat="1" applyFill="1" applyBorder="1" applyAlignment="1" applyProtection="1">
      <alignment vertical="center" wrapText="1"/>
      <protection hidden="1"/>
    </xf>
    <xf numFmtId="4" fontId="0" fillId="35" borderId="17" xfId="0" applyNumberFormat="1" applyFill="1" applyBorder="1" applyAlignment="1" applyProtection="1">
      <alignment vertical="center" wrapText="1"/>
      <protection hidden="1"/>
    </xf>
    <xf numFmtId="3" fontId="0" fillId="35" borderId="18" xfId="0" applyNumberFormat="1" applyFill="1" applyBorder="1" applyAlignment="1" applyProtection="1">
      <alignment vertical="center" wrapText="1"/>
      <protection hidden="1"/>
    </xf>
    <xf numFmtId="4" fontId="0" fillId="35" borderId="20" xfId="0" applyNumberFormat="1" applyFill="1" applyBorder="1" applyAlignment="1" applyProtection="1">
      <alignment vertical="center" wrapText="1"/>
      <protection hidden="1"/>
    </xf>
    <xf numFmtId="0" fontId="0" fillId="33" borderId="73" xfId="0" applyFill="1" applyBorder="1" applyAlignment="1" applyProtection="1">
      <alignment vertical="center" wrapText="1"/>
      <protection locked="0"/>
    </xf>
    <xf numFmtId="0" fontId="0" fillId="33" borderId="16" xfId="0" applyFill="1" applyBorder="1" applyAlignment="1" applyProtection="1">
      <alignment vertical="center" wrapText="1"/>
      <protection locked="0"/>
    </xf>
    <xf numFmtId="0" fontId="56" fillId="34" borderId="0" xfId="0" applyFont="1" applyFill="1" applyProtection="1">
      <protection hidden="1"/>
    </xf>
    <xf numFmtId="0" fontId="28" fillId="34" borderId="0" xfId="0" applyFont="1" applyFill="1" applyAlignment="1" applyProtection="1">
      <alignment vertical="center"/>
      <protection hidden="1"/>
    </xf>
    <xf numFmtId="0" fontId="28" fillId="34" borderId="0" xfId="0" applyFont="1" applyFill="1" applyAlignment="1" applyProtection="1">
      <alignment vertical="center" wrapText="1"/>
      <protection hidden="1"/>
    </xf>
    <xf numFmtId="165" fontId="0" fillId="35" borderId="59" xfId="0" applyNumberFormat="1" applyFill="1" applyBorder="1" applyAlignment="1" applyProtection="1">
      <alignment vertical="center" wrapText="1"/>
      <protection hidden="1"/>
    </xf>
    <xf numFmtId="0" fontId="0" fillId="35" borderId="12" xfId="0" applyFill="1" applyBorder="1" applyAlignment="1" applyProtection="1">
      <alignment vertical="center" wrapText="1"/>
      <protection hidden="1"/>
    </xf>
    <xf numFmtId="0" fontId="0" fillId="35" borderId="13" xfId="0" applyFill="1" applyBorder="1" applyAlignment="1" applyProtection="1">
      <alignment vertical="center" wrapText="1"/>
      <protection hidden="1"/>
    </xf>
    <xf numFmtId="3" fontId="0" fillId="35" borderId="13" xfId="0" applyNumberFormat="1" applyFill="1" applyBorder="1" applyAlignment="1" applyProtection="1">
      <alignment vertical="center" wrapText="1"/>
      <protection hidden="1"/>
    </xf>
    <xf numFmtId="0" fontId="0" fillId="33" borderId="41" xfId="0" applyFill="1" applyBorder="1" applyAlignment="1" applyProtection="1">
      <alignment vertical="center" wrapText="1"/>
      <protection locked="0"/>
    </xf>
    <xf numFmtId="0" fontId="0" fillId="33" borderId="32" xfId="0" applyFill="1" applyBorder="1" applyAlignment="1" applyProtection="1">
      <alignment vertical="center" wrapText="1"/>
      <protection locked="0"/>
    </xf>
    <xf numFmtId="0" fontId="0" fillId="33" borderId="42" xfId="0" applyFill="1" applyBorder="1" applyAlignment="1" applyProtection="1">
      <alignment vertical="center" wrapText="1"/>
      <protection locked="0"/>
    </xf>
    <xf numFmtId="0" fontId="51" fillId="36" borderId="69" xfId="0" applyFont="1" applyFill="1" applyBorder="1" applyAlignment="1" applyProtection="1">
      <alignment vertical="center" wrapText="1"/>
      <protection hidden="1"/>
    </xf>
    <xf numFmtId="0" fontId="51" fillId="36" borderId="34" xfId="0" applyFont="1" applyFill="1" applyBorder="1" applyAlignment="1" applyProtection="1">
      <alignment vertical="center" wrapText="1"/>
      <protection hidden="1"/>
    </xf>
    <xf numFmtId="0" fontId="51" fillId="36" borderId="70" xfId="0" applyFont="1" applyFill="1" applyBorder="1" applyAlignment="1" applyProtection="1">
      <alignment vertical="center" wrapText="1"/>
      <protection hidden="1"/>
    </xf>
    <xf numFmtId="3" fontId="0" fillId="35" borderId="10" xfId="0" applyNumberFormat="1" applyFill="1" applyBorder="1" applyAlignment="1" applyProtection="1">
      <alignment vertical="center" wrapText="1"/>
      <protection hidden="1"/>
    </xf>
    <xf numFmtId="3" fontId="0" fillId="35" borderId="19" xfId="0" applyNumberFormat="1" applyFill="1" applyBorder="1" applyAlignment="1" applyProtection="1">
      <alignment vertical="center" wrapText="1"/>
      <protection hidden="1"/>
    </xf>
    <xf numFmtId="0" fontId="0" fillId="33" borderId="33" xfId="0" applyFill="1" applyBorder="1" applyAlignment="1" applyProtection="1">
      <alignment vertical="center" wrapText="1"/>
      <protection locked="0"/>
    </xf>
    <xf numFmtId="0" fontId="0" fillId="33" borderId="68" xfId="0" applyFill="1" applyBorder="1" applyAlignment="1" applyProtection="1">
      <alignment vertical="center" wrapText="1"/>
      <protection locked="0"/>
    </xf>
    <xf numFmtId="0" fontId="51" fillId="36" borderId="31" xfId="0" applyFont="1" applyFill="1" applyBorder="1" applyAlignment="1" applyProtection="1">
      <alignment vertical="center" wrapText="1"/>
      <protection hidden="1"/>
    </xf>
    <xf numFmtId="0" fontId="0" fillId="33" borderId="81" xfId="0" applyFill="1" applyBorder="1" applyAlignment="1" applyProtection="1">
      <alignment vertical="center" wrapText="1"/>
      <protection locked="0"/>
    </xf>
    <xf numFmtId="0" fontId="28" fillId="34" borderId="0" xfId="0" applyFont="1" applyFill="1" applyAlignment="1" applyProtection="1">
      <alignment horizontal="left" vertical="center" wrapText="1"/>
      <protection hidden="1"/>
    </xf>
    <xf numFmtId="0" fontId="51" fillId="36" borderId="35" xfId="0" applyFont="1" applyFill="1" applyBorder="1" applyAlignment="1" applyProtection="1">
      <alignment vertical="center" wrapText="1"/>
      <protection hidden="1"/>
    </xf>
    <xf numFmtId="0" fontId="51" fillId="36" borderId="78" xfId="0" applyFont="1" applyFill="1" applyBorder="1" applyAlignment="1" applyProtection="1">
      <alignment vertical="center" wrapText="1"/>
      <protection hidden="1"/>
    </xf>
    <xf numFmtId="0" fontId="51" fillId="36" borderId="79" xfId="0" applyFont="1" applyFill="1" applyBorder="1" applyAlignment="1" applyProtection="1">
      <alignment vertical="center" wrapText="1"/>
      <protection hidden="1"/>
    </xf>
    <xf numFmtId="0" fontId="51" fillId="36" borderId="80" xfId="0" applyFont="1" applyFill="1" applyBorder="1" applyAlignment="1" applyProtection="1">
      <alignment vertical="center" wrapText="1"/>
      <protection hidden="1"/>
    </xf>
    <xf numFmtId="9" fontId="0" fillId="35" borderId="13" xfId="0" applyNumberFormat="1" applyFill="1" applyBorder="1" applyAlignment="1" applyProtection="1">
      <alignment vertical="center" wrapText="1"/>
      <protection hidden="1"/>
    </xf>
    <xf numFmtId="9" fontId="0" fillId="35" borderId="10" xfId="0" applyNumberFormat="1" applyFill="1" applyBorder="1" applyAlignment="1" applyProtection="1">
      <alignment vertical="center" wrapText="1"/>
      <protection hidden="1"/>
    </xf>
    <xf numFmtId="9" fontId="0" fillId="35" borderId="19" xfId="0" applyNumberFormat="1" applyFill="1" applyBorder="1" applyAlignment="1" applyProtection="1">
      <alignment vertical="center" wrapText="1"/>
      <protection hidden="1"/>
    </xf>
    <xf numFmtId="0" fontId="0" fillId="33" borderId="82" xfId="0" applyFill="1" applyBorder="1" applyAlignment="1" applyProtection="1">
      <alignment vertical="center" wrapText="1"/>
      <protection locked="0"/>
    </xf>
    <xf numFmtId="0" fontId="0" fillId="33" borderId="79" xfId="0" applyFill="1" applyBorder="1" applyAlignment="1" applyProtection="1">
      <alignment vertical="center" wrapText="1"/>
      <protection locked="0"/>
    </xf>
    <xf numFmtId="0" fontId="0" fillId="33" borderId="34" xfId="0" applyFill="1" applyBorder="1" applyAlignment="1" applyProtection="1">
      <alignment vertical="center" wrapText="1"/>
      <protection locked="0"/>
    </xf>
    <xf numFmtId="0" fontId="0" fillId="33" borderId="35" xfId="0" applyFill="1" applyBorder="1" applyAlignment="1" applyProtection="1">
      <alignment vertical="center" wrapText="1"/>
      <protection locked="0"/>
    </xf>
    <xf numFmtId="0" fontId="0" fillId="33" borderId="70" xfId="0" applyFill="1" applyBorder="1" applyAlignment="1" applyProtection="1">
      <alignment vertical="center" wrapText="1"/>
      <protection locked="0"/>
    </xf>
    <xf numFmtId="0" fontId="0" fillId="34" borderId="21" xfId="0" applyFill="1" applyBorder="1" applyProtection="1">
      <protection hidden="1"/>
    </xf>
    <xf numFmtId="14" fontId="0" fillId="34" borderId="21" xfId="0" applyNumberFormat="1" applyFill="1" applyBorder="1" applyProtection="1">
      <protection hidden="1"/>
    </xf>
    <xf numFmtId="0" fontId="27" fillId="34" borderId="0" xfId="0" applyFont="1" applyFill="1" applyAlignment="1" applyProtection="1">
      <alignment horizontal="left"/>
      <protection hidden="1"/>
    </xf>
    <xf numFmtId="0" fontId="0" fillId="34" borderId="0" xfId="0" applyFill="1" applyAlignment="1" applyProtection="1">
      <alignment horizontal="left" vertical="center" indent="1"/>
      <protection hidden="1"/>
    </xf>
    <xf numFmtId="166" fontId="1" fillId="34" borderId="0" xfId="1997" applyNumberFormat="1" applyFont="1" applyFill="1" applyBorder="1" applyAlignment="1" applyProtection="1">
      <alignment horizontal="left" vertical="center" indent="1"/>
      <protection hidden="1"/>
    </xf>
    <xf numFmtId="166" fontId="1" fillId="35" borderId="12" xfId="1997" applyNumberFormat="1" applyFont="1" applyFill="1" applyBorder="1" applyAlignment="1" applyProtection="1">
      <alignment horizontal="right" vertical="center" indent="1"/>
      <protection hidden="1"/>
    </xf>
    <xf numFmtId="168" fontId="1" fillId="35" borderId="13" xfId="1997" applyNumberFormat="1" applyFont="1" applyFill="1" applyBorder="1" applyAlignment="1" applyProtection="1">
      <alignment horizontal="right" vertical="center" indent="1"/>
      <protection hidden="1"/>
    </xf>
    <xf numFmtId="7" fontId="0" fillId="35" borderId="59" xfId="0" applyNumberFormat="1" applyFill="1" applyBorder="1" applyAlignment="1" applyProtection="1">
      <alignment horizontal="right" vertical="center"/>
      <protection hidden="1"/>
    </xf>
    <xf numFmtId="166" fontId="1" fillId="35" borderId="15" xfId="1997" applyNumberFormat="1" applyFont="1" applyFill="1" applyBorder="1" applyAlignment="1" applyProtection="1">
      <alignment horizontal="right" vertical="center" indent="1"/>
      <protection hidden="1"/>
    </xf>
    <xf numFmtId="7" fontId="0" fillId="35" borderId="39" xfId="0" applyNumberFormat="1" applyFill="1" applyBorder="1" applyAlignment="1" applyProtection="1">
      <alignment horizontal="right" vertical="center"/>
      <protection hidden="1"/>
    </xf>
    <xf numFmtId="168" fontId="1" fillId="35" borderId="10" xfId="1997" applyNumberFormat="1" applyFont="1" applyFill="1" applyBorder="1" applyAlignment="1" applyProtection="1">
      <alignment horizontal="right" vertical="center" indent="1"/>
      <protection hidden="1"/>
    </xf>
    <xf numFmtId="166" fontId="1" fillId="35" borderId="18" xfId="1997" applyNumberFormat="1" applyFont="1" applyFill="1" applyBorder="1" applyAlignment="1" applyProtection="1">
      <alignment horizontal="right" vertical="center" indent="1"/>
      <protection hidden="1"/>
    </xf>
    <xf numFmtId="168" fontId="1" fillId="35" borderId="19" xfId="1997" applyNumberFormat="1" applyFont="1" applyFill="1" applyBorder="1" applyAlignment="1" applyProtection="1">
      <alignment horizontal="right" vertical="center" indent="1"/>
      <protection hidden="1"/>
    </xf>
    <xf numFmtId="7" fontId="0" fillId="35" borderId="40" xfId="0" applyNumberFormat="1" applyFill="1" applyBorder="1" applyAlignment="1" applyProtection="1">
      <alignment horizontal="right" vertical="center"/>
      <protection hidden="1"/>
    </xf>
    <xf numFmtId="0" fontId="52" fillId="34" borderId="0" xfId="0" applyFont="1" applyFill="1" applyAlignment="1" applyProtection="1">
      <alignment horizontal="left"/>
      <protection hidden="1"/>
    </xf>
    <xf numFmtId="0" fontId="59" fillId="34" borderId="0" xfId="0" applyFont="1" applyFill="1" applyAlignment="1">
      <alignment horizontal="center" vertical="center"/>
    </xf>
    <xf numFmtId="0" fontId="59" fillId="34" borderId="0" xfId="0" applyFont="1" applyFill="1" applyAlignment="1">
      <alignment horizontal="left" vertical="center" wrapText="1"/>
    </xf>
    <xf numFmtId="1" fontId="59" fillId="34" borderId="0" xfId="0" applyNumberFormat="1" applyFont="1" applyFill="1" applyAlignment="1">
      <alignment horizontal="center" vertical="center"/>
    </xf>
    <xf numFmtId="165" fontId="59" fillId="34" borderId="0" xfId="0" applyNumberFormat="1" applyFont="1" applyFill="1" applyAlignment="1">
      <alignment horizontal="center" vertical="center"/>
    </xf>
    <xf numFmtId="3" fontId="59" fillId="34" borderId="0" xfId="0" applyNumberFormat="1" applyFont="1" applyFill="1" applyAlignment="1">
      <alignment horizontal="center" vertical="center"/>
    </xf>
    <xf numFmtId="169" fontId="59" fillId="34" borderId="0" xfId="0" applyNumberFormat="1" applyFont="1" applyFill="1" applyAlignment="1">
      <alignment horizontal="center" vertical="center"/>
    </xf>
    <xf numFmtId="0" fontId="59" fillId="34" borderId="0" xfId="0" applyFont="1" applyFill="1" applyAlignment="1">
      <alignment vertical="center"/>
    </xf>
    <xf numFmtId="0" fontId="69" fillId="34" borderId="0" xfId="0" applyFont="1" applyFill="1" applyAlignment="1">
      <alignment horizontal="center" vertical="center"/>
    </xf>
    <xf numFmtId="0" fontId="59" fillId="34" borderId="0" xfId="0" applyFont="1" applyFill="1" applyAlignment="1">
      <alignment horizontal="centerContinuous" vertical="center"/>
    </xf>
    <xf numFmtId="0" fontId="69" fillId="34" borderId="0" xfId="0" applyFont="1" applyFill="1" applyAlignment="1">
      <alignment horizontal="centerContinuous" vertical="center"/>
    </xf>
    <xf numFmtId="0" fontId="59" fillId="34" borderId="0" xfId="0" quotePrefix="1" applyFont="1" applyFill="1" applyAlignment="1">
      <alignment horizontal="centerContinuous" vertical="center"/>
    </xf>
    <xf numFmtId="0" fontId="72" fillId="34" borderId="0" xfId="0" applyFont="1" applyFill="1" applyAlignment="1">
      <alignment horizontal="centerContinuous" vertical="center" wrapText="1"/>
    </xf>
    <xf numFmtId="1" fontId="73" fillId="34" borderId="0" xfId="0" applyNumberFormat="1" applyFont="1" applyFill="1" applyAlignment="1">
      <alignment horizontal="centerContinuous" vertical="center"/>
    </xf>
    <xf numFmtId="0" fontId="73" fillId="34" borderId="0" xfId="0" applyFont="1" applyFill="1" applyAlignment="1">
      <alignment horizontal="centerContinuous" vertical="center"/>
    </xf>
    <xf numFmtId="165" fontId="73" fillId="34" borderId="0" xfId="0" applyNumberFormat="1" applyFont="1" applyFill="1" applyAlignment="1">
      <alignment horizontal="centerContinuous" vertical="center"/>
    </xf>
    <xf numFmtId="3" fontId="73" fillId="34" borderId="0" xfId="0" applyNumberFormat="1" applyFont="1" applyFill="1" applyAlignment="1">
      <alignment horizontal="centerContinuous" vertical="center"/>
    </xf>
    <xf numFmtId="169" fontId="73" fillId="34" borderId="0" xfId="0" applyNumberFormat="1" applyFont="1" applyFill="1" applyAlignment="1">
      <alignment horizontal="centerContinuous" vertical="center"/>
    </xf>
    <xf numFmtId="0" fontId="0" fillId="0" borderId="0" xfId="0" applyAlignment="1">
      <alignment vertical="top" wrapText="1"/>
    </xf>
    <xf numFmtId="0" fontId="74" fillId="34" borderId="0" xfId="0" applyFont="1" applyFill="1" applyAlignment="1">
      <alignment vertical="center" wrapText="1"/>
    </xf>
    <xf numFmtId="0" fontId="59" fillId="34" borderId="0" xfId="0" applyFont="1" applyFill="1" applyAlignment="1">
      <alignment vertical="center" wrapText="1"/>
    </xf>
    <xf numFmtId="0" fontId="69" fillId="34" borderId="0" xfId="0" applyFont="1" applyFill="1" applyAlignment="1">
      <alignment horizontal="center" vertical="center" wrapText="1"/>
    </xf>
    <xf numFmtId="0" fontId="77" fillId="34" borderId="0" xfId="0" applyFont="1" applyFill="1"/>
    <xf numFmtId="0" fontId="79" fillId="34" borderId="10" xfId="0" applyFont="1" applyFill="1" applyBorder="1" applyAlignment="1">
      <alignment horizontal="right" vertical="center" wrapText="1"/>
    </xf>
    <xf numFmtId="165" fontId="79" fillId="34" borderId="10" xfId="0" applyNumberFormat="1" applyFont="1" applyFill="1" applyBorder="1" applyAlignment="1">
      <alignment horizontal="left" vertical="center" wrapText="1"/>
    </xf>
    <xf numFmtId="3" fontId="79" fillId="34" borderId="10" xfId="0" applyNumberFormat="1" applyFont="1" applyFill="1" applyBorder="1" applyAlignment="1">
      <alignment horizontal="left" vertical="center" wrapText="1"/>
    </xf>
    <xf numFmtId="0" fontId="79" fillId="0" borderId="10" xfId="0" applyFont="1" applyBorder="1" applyAlignment="1">
      <alignment horizontal="right" vertical="center" wrapText="1"/>
    </xf>
    <xf numFmtId="164" fontId="79" fillId="34" borderId="10" xfId="0" applyNumberFormat="1" applyFont="1" applyFill="1" applyBorder="1" applyAlignment="1">
      <alignment horizontal="left" vertical="center"/>
    </xf>
    <xf numFmtId="0" fontId="79" fillId="34" borderId="0" xfId="0" applyFont="1" applyFill="1" applyAlignment="1">
      <alignment vertical="center"/>
    </xf>
    <xf numFmtId="0" fontId="81" fillId="34" borderId="0" xfId="0" applyFont="1" applyFill="1" applyAlignment="1">
      <alignment vertical="center"/>
    </xf>
    <xf numFmtId="0" fontId="83" fillId="34" borderId="83" xfId="0" applyFont="1" applyFill="1" applyBorder="1" applyAlignment="1">
      <alignment horizontal="center" vertical="center"/>
    </xf>
    <xf numFmtId="0" fontId="84" fillId="34" borderId="0" xfId="0" applyFont="1" applyFill="1" applyAlignment="1">
      <alignment horizontal="right" vertical="center" wrapText="1"/>
    </xf>
    <xf numFmtId="1" fontId="84" fillId="34" borderId="0" xfId="0" applyNumberFormat="1" applyFont="1" applyFill="1" applyAlignment="1">
      <alignment horizontal="center" vertical="center"/>
    </xf>
    <xf numFmtId="0" fontId="74" fillId="34" borderId="0" xfId="0" applyFont="1" applyFill="1" applyAlignment="1">
      <alignment horizontal="left" vertical="center" wrapText="1"/>
    </xf>
    <xf numFmtId="165" fontId="85" fillId="34" borderId="0" xfId="0" applyNumberFormat="1" applyFont="1" applyFill="1" applyAlignment="1">
      <alignment horizontal="center" vertical="top"/>
    </xf>
    <xf numFmtId="0" fontId="84" fillId="34" borderId="0" xfId="0" applyFont="1" applyFill="1" applyAlignment="1">
      <alignment vertical="center"/>
    </xf>
    <xf numFmtId="0" fontId="86" fillId="64" borderId="32" xfId="0" applyFont="1" applyFill="1" applyBorder="1" applyAlignment="1">
      <alignment horizontal="left" vertical="center" wrapText="1"/>
    </xf>
    <xf numFmtId="165" fontId="86" fillId="64" borderId="11" xfId="0" applyNumberFormat="1" applyFont="1" applyFill="1" applyBorder="1" applyAlignment="1">
      <alignment horizontal="center" vertical="center" wrapText="1"/>
    </xf>
    <xf numFmtId="3" fontId="86" fillId="64" borderId="11" xfId="0" applyNumberFormat="1" applyFont="1" applyFill="1" applyBorder="1" applyAlignment="1">
      <alignment horizontal="center" vertical="center" wrapText="1"/>
    </xf>
    <xf numFmtId="169" fontId="86" fillId="64" borderId="11" xfId="0" applyNumberFormat="1" applyFont="1" applyFill="1" applyBorder="1" applyAlignment="1">
      <alignment horizontal="center" vertical="center" wrapText="1"/>
    </xf>
    <xf numFmtId="165" fontId="86" fillId="64" borderId="33" xfId="0" applyNumberFormat="1" applyFont="1" applyFill="1" applyBorder="1" applyAlignment="1">
      <alignment horizontal="center" vertical="center" wrapText="1"/>
    </xf>
    <xf numFmtId="0" fontId="87" fillId="34" borderId="0" xfId="0" applyFont="1" applyFill="1" applyAlignment="1">
      <alignment horizontal="center" vertical="center"/>
    </xf>
    <xf numFmtId="2" fontId="84" fillId="34" borderId="0" xfId="0" quotePrefix="1" applyNumberFormat="1" applyFont="1" applyFill="1" applyAlignment="1">
      <alignment vertical="center"/>
    </xf>
    <xf numFmtId="2" fontId="84" fillId="34" borderId="32" xfId="0" applyNumberFormat="1" applyFont="1" applyFill="1" applyBorder="1" applyAlignment="1">
      <alignment horizontal="left" vertical="center" wrapText="1" indent="1"/>
    </xf>
    <xf numFmtId="0" fontId="84" fillId="34" borderId="32" xfId="0" applyFont="1" applyFill="1" applyBorder="1" applyAlignment="1">
      <alignment horizontal="left" vertical="center" wrapText="1" indent="1"/>
    </xf>
    <xf numFmtId="1" fontId="84" fillId="34" borderId="11" xfId="0" applyNumberFormat="1" applyFont="1" applyFill="1" applyBorder="1" applyAlignment="1">
      <alignment horizontal="center" vertical="center"/>
    </xf>
    <xf numFmtId="0" fontId="84" fillId="34" borderId="11" xfId="0" applyFont="1" applyFill="1" applyBorder="1" applyAlignment="1">
      <alignment horizontal="center" vertical="center"/>
    </xf>
    <xf numFmtId="4" fontId="84" fillId="34" borderId="11" xfId="0" applyNumberFormat="1" applyFont="1" applyFill="1" applyBorder="1" applyAlignment="1">
      <alignment horizontal="center" vertical="center"/>
    </xf>
    <xf numFmtId="3" fontId="84" fillId="34" borderId="11" xfId="0" applyNumberFormat="1" applyFont="1" applyFill="1" applyBorder="1" applyAlignment="1">
      <alignment horizontal="center" vertical="center"/>
    </xf>
    <xf numFmtId="4" fontId="84" fillId="34" borderId="11" xfId="1999" applyNumberFormat="1" applyFont="1" applyFill="1" applyBorder="1" applyAlignment="1">
      <alignment horizontal="center" vertical="center"/>
    </xf>
    <xf numFmtId="4" fontId="84" fillId="34" borderId="33" xfId="1999" applyNumberFormat="1" applyFont="1" applyFill="1" applyBorder="1" applyAlignment="1">
      <alignment horizontal="center" vertical="center"/>
    </xf>
    <xf numFmtId="0" fontId="88" fillId="34" borderId="0" xfId="0" applyFont="1" applyFill="1" applyAlignment="1">
      <alignment vertical="center"/>
    </xf>
    <xf numFmtId="0" fontId="89" fillId="34" borderId="0" xfId="0" applyFont="1" applyFill="1" applyAlignment="1">
      <alignment horizontal="center" vertical="center"/>
    </xf>
    <xf numFmtId="0" fontId="77" fillId="65" borderId="0" xfId="0" applyFont="1" applyFill="1"/>
    <xf numFmtId="0" fontId="84" fillId="34" borderId="0" xfId="0" applyFont="1" applyFill="1" applyAlignment="1">
      <alignment horizontal="center" vertical="center"/>
    </xf>
    <xf numFmtId="4" fontId="77" fillId="65" borderId="0" xfId="0" applyNumberFormat="1" applyFont="1" applyFill="1"/>
    <xf numFmtId="0" fontId="84" fillId="34" borderId="0" xfId="0" applyFont="1" applyFill="1" applyAlignment="1">
      <alignment horizontal="left" vertical="center" wrapText="1"/>
    </xf>
    <xf numFmtId="165" fontId="84" fillId="34" borderId="0" xfId="0" applyNumberFormat="1" applyFont="1" applyFill="1" applyAlignment="1">
      <alignment horizontal="center" vertical="center"/>
    </xf>
    <xf numFmtId="3" fontId="84" fillId="34" borderId="0" xfId="0" applyNumberFormat="1" applyFont="1" applyFill="1" applyAlignment="1">
      <alignment horizontal="center" vertical="center"/>
    </xf>
    <xf numFmtId="169" fontId="84" fillId="34" borderId="0" xfId="0" applyNumberFormat="1" applyFont="1" applyFill="1" applyAlignment="1">
      <alignment horizontal="center" vertical="center"/>
    </xf>
    <xf numFmtId="0" fontId="87" fillId="34" borderId="0" xfId="0" applyFont="1" applyFill="1" applyAlignment="1">
      <alignment vertical="center"/>
    </xf>
    <xf numFmtId="0" fontId="0" fillId="0" borderId="0" xfId="0" applyAlignment="1">
      <alignment wrapText="1"/>
    </xf>
    <xf numFmtId="3" fontId="0" fillId="0" borderId="0" xfId="0" applyNumberFormat="1"/>
    <xf numFmtId="0" fontId="16" fillId="0" borderId="21" xfId="0" applyFont="1" applyBorder="1" applyAlignment="1">
      <alignment horizontal="center" wrapText="1"/>
    </xf>
    <xf numFmtId="1" fontId="84" fillId="34" borderId="0" xfId="0" quotePrefix="1" applyNumberFormat="1" applyFont="1" applyFill="1" applyAlignment="1">
      <alignment vertical="center"/>
    </xf>
    <xf numFmtId="165" fontId="84" fillId="34" borderId="11" xfId="0" applyNumberFormat="1" applyFont="1" applyFill="1" applyBorder="1" applyAlignment="1">
      <alignment horizontal="center" vertical="center"/>
    </xf>
    <xf numFmtId="14" fontId="0" fillId="34" borderId="0" xfId="0" applyNumberFormat="1" applyFill="1" applyAlignment="1" applyProtection="1">
      <alignment horizontal="left" vertical="center"/>
      <protection hidden="1"/>
    </xf>
    <xf numFmtId="0" fontId="0" fillId="34" borderId="0" xfId="0" applyFill="1" applyAlignment="1" applyProtection="1">
      <alignment horizontal="left" vertical="center"/>
      <protection hidden="1"/>
    </xf>
    <xf numFmtId="165" fontId="0" fillId="34" borderId="0" xfId="0" applyNumberFormat="1" applyFill="1" applyAlignment="1" applyProtection="1">
      <alignment horizontal="left" vertical="center"/>
      <protection hidden="1"/>
    </xf>
    <xf numFmtId="172" fontId="0" fillId="0" borderId="0" xfId="0" applyNumberFormat="1"/>
    <xf numFmtId="165" fontId="0" fillId="35" borderId="74" xfId="0" applyNumberFormat="1" applyFill="1" applyBorder="1" applyAlignment="1" applyProtection="1">
      <alignment vertical="center" wrapText="1"/>
      <protection hidden="1"/>
    </xf>
    <xf numFmtId="0" fontId="16" fillId="34" borderId="0" xfId="0" applyFont="1" applyFill="1" applyProtection="1">
      <protection hidden="1"/>
    </xf>
    <xf numFmtId="14" fontId="0" fillId="34" borderId="0" xfId="0" applyNumberFormat="1" applyFill="1"/>
    <xf numFmtId="4" fontId="0" fillId="35" borderId="10" xfId="0" applyNumberFormat="1" applyFill="1" applyBorder="1" applyAlignment="1" applyProtection="1">
      <alignment vertical="center" wrapText="1"/>
      <protection hidden="1"/>
    </xf>
    <xf numFmtId="4" fontId="0" fillId="35" borderId="19" xfId="0" applyNumberFormat="1" applyFill="1" applyBorder="1" applyAlignment="1" applyProtection="1">
      <alignment vertical="center" wrapText="1"/>
      <protection hidden="1"/>
    </xf>
    <xf numFmtId="0" fontId="60" fillId="61" borderId="32" xfId="0" applyFont="1" applyFill="1" applyBorder="1"/>
    <xf numFmtId="0" fontId="0" fillId="34" borderId="10" xfId="0" applyFill="1" applyBorder="1" applyAlignment="1" applyProtection="1">
      <alignment vertical="center"/>
      <protection hidden="1"/>
    </xf>
    <xf numFmtId="165" fontId="0" fillId="34" borderId="10" xfId="0" applyNumberFormat="1" applyFill="1" applyBorder="1" applyAlignment="1" applyProtection="1">
      <alignment vertical="center"/>
      <protection hidden="1"/>
    </xf>
    <xf numFmtId="0" fontId="0" fillId="66" borderId="10" xfId="0" applyFill="1" applyBorder="1" applyAlignment="1" applyProtection="1">
      <alignment horizontal="center" vertical="center"/>
      <protection hidden="1"/>
    </xf>
    <xf numFmtId="165" fontId="0" fillId="34" borderId="10" xfId="0" applyNumberFormat="1" applyFill="1" applyBorder="1" applyAlignment="1" applyProtection="1">
      <alignment horizontal="center" vertical="center"/>
      <protection hidden="1"/>
    </xf>
    <xf numFmtId="0" fontId="0" fillId="34" borderId="0" xfId="0" applyFill="1" applyAlignment="1" applyProtection="1">
      <alignment horizontal="right" vertical="center"/>
      <protection hidden="1"/>
    </xf>
    <xf numFmtId="4" fontId="0" fillId="35" borderId="14" xfId="0" applyNumberFormat="1" applyFill="1" applyBorder="1" applyAlignment="1" applyProtection="1">
      <alignment horizontal="right" vertical="center"/>
      <protection hidden="1"/>
    </xf>
    <xf numFmtId="4" fontId="0" fillId="35" borderId="17" xfId="0" applyNumberFormat="1" applyFill="1" applyBorder="1" applyAlignment="1" applyProtection="1">
      <alignment horizontal="right" vertical="center"/>
      <protection hidden="1"/>
    </xf>
    <xf numFmtId="4" fontId="0" fillId="35" borderId="20" xfId="0" applyNumberFormat="1" applyFill="1" applyBorder="1" applyAlignment="1" applyProtection="1">
      <alignment horizontal="right" vertical="center"/>
      <protection hidden="1"/>
    </xf>
    <xf numFmtId="0" fontId="91" fillId="34" borderId="0" xfId="2001" applyFill="1" applyProtection="1">
      <protection hidden="1"/>
    </xf>
    <xf numFmtId="0" fontId="0" fillId="35" borderId="73" xfId="0" applyFill="1" applyBorder="1" applyAlignment="1" applyProtection="1">
      <alignment vertical="center" wrapText="1"/>
      <protection hidden="1"/>
    </xf>
    <xf numFmtId="0" fontId="0" fillId="35" borderId="16" xfId="0" applyFill="1" applyBorder="1" applyAlignment="1" applyProtection="1">
      <alignment vertical="center" wrapText="1"/>
      <protection hidden="1"/>
    </xf>
    <xf numFmtId="0" fontId="0" fillId="35" borderId="68" xfId="0" applyFill="1" applyBorder="1" applyAlignment="1" applyProtection="1">
      <alignment vertical="center" wrapText="1"/>
      <protection hidden="1"/>
    </xf>
    <xf numFmtId="0" fontId="0" fillId="35" borderId="33" xfId="0" applyFill="1" applyBorder="1" applyAlignment="1" applyProtection="1">
      <alignment vertical="center" wrapText="1"/>
      <protection hidden="1"/>
    </xf>
    <xf numFmtId="4" fontId="0" fillId="35" borderId="49" xfId="0" applyNumberFormat="1" applyFill="1" applyBorder="1" applyAlignment="1" applyProtection="1">
      <alignment vertical="center" wrapText="1"/>
      <protection hidden="1"/>
    </xf>
    <xf numFmtId="4" fontId="0" fillId="35" borderId="62" xfId="0" applyNumberFormat="1" applyFill="1" applyBorder="1" applyAlignment="1" applyProtection="1">
      <alignment vertical="center" wrapText="1"/>
      <protection hidden="1"/>
    </xf>
    <xf numFmtId="4" fontId="0" fillId="35" borderId="84" xfId="0" applyNumberFormat="1" applyFill="1" applyBorder="1" applyAlignment="1" applyProtection="1">
      <alignment vertical="center" wrapText="1"/>
      <protection hidden="1"/>
    </xf>
    <xf numFmtId="0" fontId="0" fillId="35" borderId="51" xfId="0" applyFill="1" applyBorder="1" applyAlignment="1" applyProtection="1">
      <alignment vertical="center" wrapText="1"/>
      <protection hidden="1"/>
    </xf>
    <xf numFmtId="0" fontId="0" fillId="35" borderId="61" xfId="0" applyFill="1" applyBorder="1" applyAlignment="1" applyProtection="1">
      <alignment vertical="center" wrapText="1"/>
      <protection hidden="1"/>
    </xf>
    <xf numFmtId="0" fontId="0" fillId="35" borderId="64" xfId="0" applyFill="1" applyBorder="1" applyAlignment="1" applyProtection="1">
      <alignment vertical="center" wrapText="1"/>
      <protection hidden="1"/>
    </xf>
    <xf numFmtId="3" fontId="0" fillId="35" borderId="12" xfId="0" applyNumberFormat="1" applyFill="1" applyBorder="1" applyAlignment="1" applyProtection="1">
      <alignment horizontal="right" vertical="center"/>
      <protection hidden="1"/>
    </xf>
    <xf numFmtId="3" fontId="0" fillId="35" borderId="15" xfId="0" applyNumberFormat="1" applyFill="1" applyBorder="1" applyAlignment="1" applyProtection="1">
      <alignment horizontal="right" vertical="center"/>
      <protection hidden="1"/>
    </xf>
    <xf numFmtId="3" fontId="0" fillId="35" borderId="18" xfId="0" applyNumberFormat="1" applyFill="1" applyBorder="1" applyAlignment="1" applyProtection="1">
      <alignment horizontal="right" vertical="center"/>
      <protection hidden="1"/>
    </xf>
    <xf numFmtId="0" fontId="51" fillId="36" borderId="34" xfId="0" applyFont="1" applyFill="1" applyBorder="1" applyAlignment="1" applyProtection="1">
      <alignment horizontal="center" vertical="center" wrapText="1"/>
      <protection hidden="1"/>
    </xf>
    <xf numFmtId="0" fontId="51" fillId="36" borderId="70" xfId="0" applyFont="1" applyFill="1" applyBorder="1" applyAlignment="1" applyProtection="1">
      <alignment horizontal="center" vertical="center" wrapText="1"/>
      <protection hidden="1"/>
    </xf>
    <xf numFmtId="10" fontId="0" fillId="34" borderId="10" xfId="0" applyNumberFormat="1" applyFill="1" applyBorder="1" applyAlignment="1" applyProtection="1">
      <alignment horizontal="center" vertical="center"/>
      <protection hidden="1"/>
    </xf>
    <xf numFmtId="0" fontId="0" fillId="35" borderId="49" xfId="0" applyFill="1" applyBorder="1"/>
    <xf numFmtId="0" fontId="28" fillId="36" borderId="60" xfId="0" applyFont="1" applyFill="1" applyBorder="1"/>
    <xf numFmtId="0" fontId="0" fillId="36" borderId="73" xfId="0" applyFill="1" applyBorder="1"/>
    <xf numFmtId="0" fontId="28" fillId="36" borderId="68" xfId="0" applyFont="1" applyFill="1" applyBorder="1"/>
    <xf numFmtId="0" fontId="0" fillId="35" borderId="33" xfId="0" applyFill="1" applyBorder="1"/>
    <xf numFmtId="0" fontId="0" fillId="35" borderId="16" xfId="0" applyFill="1" applyBorder="1"/>
    <xf numFmtId="0" fontId="0" fillId="35" borderId="68" xfId="0" applyFill="1" applyBorder="1"/>
    <xf numFmtId="0" fontId="28" fillId="36" borderId="41" xfId="0" applyFont="1" applyFill="1" applyBorder="1"/>
    <xf numFmtId="0" fontId="28" fillId="36" borderId="33" xfId="0" applyFont="1" applyFill="1" applyBorder="1"/>
    <xf numFmtId="0" fontId="28" fillId="36" borderId="69" xfId="0" applyFont="1" applyFill="1" applyBorder="1"/>
    <xf numFmtId="0" fontId="28" fillId="36" borderId="35" xfId="0" applyFont="1" applyFill="1" applyBorder="1"/>
    <xf numFmtId="0" fontId="28" fillId="36" borderId="34" xfId="0" applyFont="1" applyFill="1" applyBorder="1"/>
    <xf numFmtId="0" fontId="28" fillId="36" borderId="70" xfId="0" applyFont="1" applyFill="1" applyBorder="1"/>
    <xf numFmtId="0" fontId="28" fillId="36" borderId="31" xfId="0" applyFont="1" applyFill="1" applyBorder="1"/>
    <xf numFmtId="0" fontId="28" fillId="36" borderId="89" xfId="0" applyFont="1" applyFill="1" applyBorder="1"/>
    <xf numFmtId="0" fontId="28" fillId="36" borderId="51" xfId="0" applyFont="1" applyFill="1" applyBorder="1"/>
    <xf numFmtId="0" fontId="28" fillId="36" borderId="52" xfId="0" applyFont="1" applyFill="1" applyBorder="1"/>
    <xf numFmtId="0" fontId="28" fillId="36" borderId="53" xfId="0" applyFont="1" applyFill="1" applyBorder="1"/>
    <xf numFmtId="0" fontId="18" fillId="36" borderId="56" xfId="0" applyFont="1" applyFill="1" applyBorder="1"/>
    <xf numFmtId="0" fontId="18" fillId="36" borderId="57" xfId="0" applyFont="1" applyFill="1" applyBorder="1"/>
    <xf numFmtId="0" fontId="28" fillId="36" borderId="55" xfId="0" applyFont="1" applyFill="1" applyBorder="1" applyAlignment="1">
      <alignment vertical="center"/>
    </xf>
    <xf numFmtId="0" fontId="28" fillId="36" borderId="56" xfId="0" applyFont="1" applyFill="1" applyBorder="1" applyAlignment="1">
      <alignment vertical="center"/>
    </xf>
    <xf numFmtId="0" fontId="28" fillId="36" borderId="57" xfId="0" applyFont="1" applyFill="1" applyBorder="1" applyAlignment="1">
      <alignment vertical="center"/>
    </xf>
    <xf numFmtId="0" fontId="28" fillId="36" borderId="54" xfId="0" applyFont="1" applyFill="1" applyBorder="1" applyAlignment="1">
      <alignment vertical="center"/>
    </xf>
    <xf numFmtId="0" fontId="28" fillId="36" borderId="21" xfId="0" applyFont="1" applyFill="1" applyBorder="1" applyAlignment="1">
      <alignment vertical="center"/>
    </xf>
    <xf numFmtId="0" fontId="28" fillId="36" borderId="58" xfId="0" applyFont="1" applyFill="1" applyBorder="1" applyAlignment="1">
      <alignment vertical="center"/>
    </xf>
    <xf numFmtId="0" fontId="0" fillId="35" borderId="51" xfId="0" applyFill="1" applyBorder="1"/>
    <xf numFmtId="0" fontId="0" fillId="35" borderId="73" xfId="0" applyFill="1" applyBorder="1"/>
    <xf numFmtId="0" fontId="0" fillId="35" borderId="54" xfId="0" applyFill="1" applyBorder="1"/>
    <xf numFmtId="0" fontId="0" fillId="35" borderId="90" xfId="0" applyFill="1" applyBorder="1"/>
    <xf numFmtId="0" fontId="0" fillId="35" borderId="81" xfId="0" applyFill="1" applyBorder="1"/>
    <xf numFmtId="0" fontId="28" fillId="36" borderId="64" xfId="0" applyFont="1" applyFill="1" applyBorder="1"/>
    <xf numFmtId="0" fontId="28" fillId="36" borderId="59" xfId="0" applyFont="1" applyFill="1" applyBorder="1"/>
    <xf numFmtId="0" fontId="28" fillId="36" borderId="40" xfId="0" applyFont="1" applyFill="1" applyBorder="1"/>
    <xf numFmtId="0" fontId="0" fillId="35" borderId="59" xfId="0" applyFill="1" applyBorder="1"/>
    <xf numFmtId="0" fontId="0" fillId="35" borderId="38" xfId="0" applyFill="1" applyBorder="1"/>
    <xf numFmtId="0" fontId="0" fillId="35" borderId="74" xfId="0" applyFill="1" applyBorder="1"/>
    <xf numFmtId="0" fontId="28" fillId="36" borderId="91" xfId="0" applyFont="1" applyFill="1" applyBorder="1"/>
    <xf numFmtId="0" fontId="28" fillId="36" borderId="59" xfId="0" applyFont="1" applyFill="1" applyBorder="1" applyAlignment="1">
      <alignment vertical="center"/>
    </xf>
    <xf numFmtId="2" fontId="0" fillId="34" borderId="0" xfId="0" applyNumberFormat="1" applyFill="1" applyAlignment="1" applyProtection="1">
      <alignment vertical="center"/>
      <protection hidden="1"/>
    </xf>
    <xf numFmtId="0" fontId="28" fillId="36" borderId="50" xfId="0" applyFont="1" applyFill="1" applyBorder="1"/>
    <xf numFmtId="0" fontId="0" fillId="35" borderId="54" xfId="0" applyFill="1" applyBorder="1" applyAlignment="1" applyProtection="1">
      <alignment vertical="center" wrapText="1"/>
      <protection hidden="1"/>
    </xf>
    <xf numFmtId="8" fontId="0" fillId="34" borderId="10" xfId="0" applyNumberFormat="1" applyFill="1" applyBorder="1" applyAlignment="1" applyProtection="1">
      <alignment vertical="center"/>
      <protection hidden="1"/>
    </xf>
    <xf numFmtId="9" fontId="0" fillId="34" borderId="10" xfId="0" applyNumberFormat="1" applyFill="1" applyBorder="1" applyAlignment="1" applyProtection="1">
      <alignment vertical="center"/>
      <protection hidden="1"/>
    </xf>
    <xf numFmtId="0" fontId="0" fillId="34" borderId="0" xfId="0" applyFill="1" applyAlignment="1" applyProtection="1">
      <alignment wrapText="1"/>
      <protection hidden="1"/>
    </xf>
    <xf numFmtId="0" fontId="0" fillId="34" borderId="0" xfId="0" applyFill="1" applyAlignment="1" applyProtection="1">
      <alignment vertical="top" wrapText="1"/>
      <protection hidden="1"/>
    </xf>
    <xf numFmtId="0" fontId="0" fillId="34" borderId="0" xfId="0" applyFill="1" applyAlignment="1" applyProtection="1">
      <alignment vertical="top"/>
      <protection hidden="1"/>
    </xf>
    <xf numFmtId="2" fontId="0" fillId="34" borderId="21" xfId="0" applyNumberFormat="1" applyFill="1" applyBorder="1" applyProtection="1">
      <protection hidden="1"/>
    </xf>
    <xf numFmtId="0" fontId="0" fillId="34" borderId="85" xfId="0" applyFill="1" applyBorder="1" applyAlignment="1" applyProtection="1">
      <alignment vertical="center" wrapText="1"/>
      <protection hidden="1"/>
    </xf>
    <xf numFmtId="0" fontId="0" fillId="34" borderId="74" xfId="0" applyFill="1" applyBorder="1" applyAlignment="1" applyProtection="1">
      <alignment vertical="center" wrapText="1"/>
      <protection hidden="1"/>
    </xf>
    <xf numFmtId="2" fontId="0" fillId="33" borderId="13" xfId="0" applyNumberFormat="1" applyFill="1" applyBorder="1" applyAlignment="1" applyProtection="1">
      <alignment vertical="center" wrapText="1"/>
      <protection locked="0"/>
    </xf>
    <xf numFmtId="2" fontId="0" fillId="33" borderId="10" xfId="0" applyNumberFormat="1" applyFill="1" applyBorder="1" applyAlignment="1" applyProtection="1">
      <alignment vertical="center" wrapText="1"/>
      <protection locked="0"/>
    </xf>
    <xf numFmtId="3" fontId="0" fillId="35" borderId="60" xfId="0" applyNumberFormat="1" applyFill="1" applyBorder="1" applyAlignment="1" applyProtection="1">
      <alignment vertical="center" wrapText="1"/>
      <protection hidden="1"/>
    </xf>
    <xf numFmtId="3" fontId="0" fillId="35" borderId="49" xfId="0" applyNumberFormat="1" applyFill="1" applyBorder="1" applyAlignment="1" applyProtection="1">
      <alignment vertical="center" wrapText="1"/>
      <protection hidden="1"/>
    </xf>
    <xf numFmtId="14" fontId="0" fillId="34" borderId="34" xfId="0" applyNumberFormat="1" applyFill="1" applyBorder="1" applyAlignment="1">
      <alignment horizontal="left" vertical="center" indent="1"/>
    </xf>
    <xf numFmtId="2" fontId="0" fillId="34" borderId="10" xfId="0" applyNumberFormat="1" applyFill="1" applyBorder="1" applyAlignment="1">
      <alignment horizontal="left" vertical="center"/>
    </xf>
    <xf numFmtId="0" fontId="0" fillId="34" borderId="10" xfId="0" applyFill="1" applyBorder="1" applyAlignment="1">
      <alignment horizontal="left" vertical="top"/>
    </xf>
    <xf numFmtId="14" fontId="0" fillId="34" borderId="10" xfId="0" applyNumberFormat="1" applyFill="1" applyBorder="1" applyAlignment="1">
      <alignment horizontal="left" vertical="top"/>
    </xf>
    <xf numFmtId="0" fontId="0" fillId="34" borderId="10" xfId="0" applyFill="1" applyBorder="1" applyAlignment="1">
      <alignment horizontal="left" vertical="top" wrapText="1"/>
    </xf>
    <xf numFmtId="0" fontId="0" fillId="34" borderId="10" xfId="0" applyFill="1" applyBorder="1" applyAlignment="1">
      <alignment vertical="top"/>
    </xf>
    <xf numFmtId="14" fontId="0" fillId="34" borderId="10" xfId="0" applyNumberFormat="1" applyFill="1" applyBorder="1" applyAlignment="1">
      <alignment vertical="top"/>
    </xf>
    <xf numFmtId="0" fontId="0" fillId="34" borderId="10" xfId="0" applyFill="1" applyBorder="1" applyAlignment="1">
      <alignment vertical="top" wrapText="1"/>
    </xf>
    <xf numFmtId="164" fontId="0" fillId="34" borderId="31" xfId="0" applyNumberFormat="1" applyFill="1" applyBorder="1" applyAlignment="1">
      <alignment horizontal="center" vertical="center"/>
    </xf>
    <xf numFmtId="0" fontId="93" fillId="68" borderId="10" xfId="48" applyFont="1" applyFill="1" applyBorder="1" applyAlignment="1">
      <alignment horizontal="left" vertical="center"/>
    </xf>
    <xf numFmtId="0" fontId="94" fillId="69" borderId="48" xfId="48" applyFont="1" applyFill="1" applyBorder="1" applyAlignment="1">
      <alignment horizontal="left" vertical="center" wrapText="1"/>
    </xf>
    <xf numFmtId="14" fontId="51" fillId="36" borderId="12" xfId="0" applyNumberFormat="1" applyFont="1" applyFill="1" applyBorder="1" applyAlignment="1" applyProtection="1">
      <alignment horizontal="left" vertical="center"/>
      <protection hidden="1"/>
    </xf>
    <xf numFmtId="0" fontId="14" fillId="34" borderId="18" xfId="0" applyFont="1" applyFill="1" applyBorder="1"/>
    <xf numFmtId="0" fontId="14" fillId="34" borderId="20" xfId="0" applyFont="1" applyFill="1" applyBorder="1"/>
    <xf numFmtId="4" fontId="0" fillId="35" borderId="13" xfId="0" applyNumberFormat="1" applyFill="1" applyBorder="1" applyAlignment="1" applyProtection="1">
      <alignment vertical="center" wrapText="1"/>
      <protection hidden="1"/>
    </xf>
    <xf numFmtId="0" fontId="16" fillId="63" borderId="18" xfId="0" applyFont="1" applyFill="1" applyBorder="1" applyAlignment="1">
      <alignment horizontal="center" vertical="center" wrapText="1"/>
    </xf>
    <xf numFmtId="0" fontId="16" fillId="63" borderId="20" xfId="0" applyFont="1" applyFill="1" applyBorder="1" applyAlignment="1">
      <alignment horizontal="center" vertical="center" wrapText="1"/>
    </xf>
    <xf numFmtId="0" fontId="16" fillId="63" borderId="49" xfId="0" applyFont="1" applyFill="1" applyBorder="1" applyAlignment="1">
      <alignment horizontal="center" vertical="center" wrapText="1"/>
    </xf>
    <xf numFmtId="0" fontId="14" fillId="34" borderId="14" xfId="0" applyFont="1" applyFill="1" applyBorder="1"/>
    <xf numFmtId="0" fontId="14" fillId="34" borderId="17" xfId="0" applyFont="1" applyFill="1" applyBorder="1"/>
    <xf numFmtId="0" fontId="96" fillId="63" borderId="71" xfId="0" applyFont="1" applyFill="1" applyBorder="1"/>
    <xf numFmtId="0" fontId="14" fillId="34" borderId="13" xfId="0" applyFont="1" applyFill="1" applyBorder="1"/>
    <xf numFmtId="0" fontId="14" fillId="34" borderId="10" xfId="0" applyFont="1" applyFill="1" applyBorder="1"/>
    <xf numFmtId="0" fontId="14" fillId="34" borderId="19" xfId="0" applyFont="1" applyFill="1" applyBorder="1"/>
    <xf numFmtId="165" fontId="0" fillId="35" borderId="14" xfId="0" applyNumberFormat="1" applyFill="1" applyBorder="1" applyAlignment="1" applyProtection="1">
      <alignment vertical="center" wrapText="1"/>
      <protection hidden="1"/>
    </xf>
    <xf numFmtId="165" fontId="0" fillId="35" borderId="17" xfId="0" applyNumberFormat="1" applyFill="1" applyBorder="1" applyAlignment="1" applyProtection="1">
      <alignment vertical="center" wrapText="1"/>
      <protection hidden="1"/>
    </xf>
    <xf numFmtId="0" fontId="0" fillId="35" borderId="66" xfId="0" applyFill="1" applyBorder="1" applyAlignment="1" applyProtection="1">
      <alignment vertical="center" wrapText="1"/>
      <protection hidden="1"/>
    </xf>
    <xf numFmtId="0" fontId="0" fillId="35" borderId="81" xfId="0" applyFill="1" applyBorder="1" applyAlignment="1" applyProtection="1">
      <alignment vertical="center" wrapText="1"/>
      <protection hidden="1"/>
    </xf>
    <xf numFmtId="165" fontId="0" fillId="35" borderId="20" xfId="0" applyNumberFormat="1" applyFill="1" applyBorder="1" applyAlignment="1" applyProtection="1">
      <alignment vertical="center" wrapText="1"/>
      <protection hidden="1"/>
    </xf>
    <xf numFmtId="0" fontId="14" fillId="36" borderId="43" xfId="0" applyFont="1" applyFill="1" applyBorder="1"/>
    <xf numFmtId="0" fontId="14" fillId="35" borderId="41" xfId="0" applyFont="1" applyFill="1" applyBorder="1"/>
    <xf numFmtId="0" fontId="14" fillId="35" borderId="12" xfId="0" applyFont="1" applyFill="1" applyBorder="1"/>
    <xf numFmtId="0" fontId="14" fillId="35" borderId="65" xfId="0" applyFont="1" applyFill="1" applyBorder="1"/>
    <xf numFmtId="0" fontId="0" fillId="35" borderId="60" xfId="0" applyFill="1" applyBorder="1"/>
    <xf numFmtId="0" fontId="0" fillId="35" borderId="65" xfId="0" applyFill="1" applyBorder="1"/>
    <xf numFmtId="0" fontId="0" fillId="35" borderId="92" xfId="0" applyFill="1" applyBorder="1"/>
    <xf numFmtId="0" fontId="0" fillId="35" borderId="67" xfId="0" applyFill="1" applyBorder="1"/>
    <xf numFmtId="0" fontId="0" fillId="35" borderId="60" xfId="0" applyFill="1" applyBorder="1" applyAlignment="1" applyProtection="1">
      <alignment vertical="center" wrapText="1"/>
      <protection hidden="1"/>
    </xf>
    <xf numFmtId="0" fontId="0" fillId="35" borderId="32" xfId="0" applyFill="1" applyBorder="1" applyAlignment="1" applyProtection="1">
      <alignment vertical="center" wrapText="1"/>
      <protection hidden="1"/>
    </xf>
    <xf numFmtId="0" fontId="0" fillId="35" borderId="92" xfId="0" applyFill="1" applyBorder="1" applyAlignment="1" applyProtection="1">
      <alignment vertical="center" wrapText="1"/>
      <protection hidden="1"/>
    </xf>
    <xf numFmtId="49" fontId="0" fillId="34" borderId="0" xfId="0" applyNumberFormat="1" applyFill="1"/>
    <xf numFmtId="0" fontId="14" fillId="34" borderId="0" xfId="0" applyFont="1" applyFill="1"/>
    <xf numFmtId="167" fontId="0" fillId="34" borderId="0" xfId="1998" applyNumberFormat="1" applyFont="1" applyFill="1" applyBorder="1"/>
    <xf numFmtId="9" fontId="0" fillId="34" borderId="0" xfId="0" applyNumberFormat="1" applyFill="1"/>
    <xf numFmtId="167" fontId="0" fillId="34" borderId="0" xfId="0" applyNumberFormat="1" applyFill="1"/>
    <xf numFmtId="0" fontId="59" fillId="34" borderId="0" xfId="0" applyFont="1" applyFill="1" applyAlignment="1">
      <alignment horizontal="left"/>
    </xf>
    <xf numFmtId="0" fontId="60" fillId="34" borderId="0" xfId="0" applyFont="1" applyFill="1" applyAlignment="1">
      <alignment horizontal="left"/>
    </xf>
    <xf numFmtId="0" fontId="0" fillId="34" borderId="0" xfId="0" applyFill="1" applyAlignment="1" applyProtection="1">
      <alignment vertical="center"/>
      <protection locked="0"/>
    </xf>
    <xf numFmtId="0" fontId="28" fillId="34" borderId="0" xfId="0" applyFont="1" applyFill="1"/>
    <xf numFmtId="0" fontId="28" fillId="34" borderId="0" xfId="0" applyFont="1" applyFill="1" applyAlignment="1">
      <alignment vertical="center"/>
    </xf>
    <xf numFmtId="0" fontId="18" fillId="34" borderId="0" xfId="0" applyFont="1" applyFill="1" applyAlignment="1">
      <alignment horizontal="left"/>
    </xf>
    <xf numFmtId="0" fontId="60" fillId="34" borderId="0" xfId="0" applyFont="1" applyFill="1" applyAlignment="1">
      <alignment wrapText="1"/>
    </xf>
    <xf numFmtId="0" fontId="59" fillId="34" borderId="0" xfId="0" applyFont="1" applyFill="1" applyAlignment="1">
      <alignment wrapText="1"/>
    </xf>
    <xf numFmtId="0" fontId="60" fillId="34" borderId="0" xfId="0" applyFont="1" applyFill="1"/>
    <xf numFmtId="0" fontId="61" fillId="34" borderId="0" xfId="0" applyFont="1" applyFill="1" applyAlignment="1">
      <alignment horizontal="left" vertical="center" wrapText="1"/>
    </xf>
    <xf numFmtId="0" fontId="62" fillId="34" borderId="0" xfId="0" applyFont="1" applyFill="1" applyAlignment="1">
      <alignment horizontal="left"/>
    </xf>
    <xf numFmtId="0" fontId="96" fillId="34" borderId="0" xfId="0" applyFont="1" applyFill="1"/>
    <xf numFmtId="0" fontId="16" fillId="34" borderId="0" xfId="0" applyFont="1" applyFill="1" applyAlignment="1">
      <alignment wrapText="1"/>
    </xf>
    <xf numFmtId="3" fontId="61" fillId="34" borderId="0" xfId="0" applyNumberFormat="1" applyFont="1" applyFill="1" applyAlignment="1">
      <alignment horizontal="center" vertical="center" wrapText="1"/>
    </xf>
    <xf numFmtId="0" fontId="61" fillId="34" borderId="0" xfId="0" applyFont="1" applyFill="1" applyAlignment="1">
      <alignment horizontal="center" vertical="center" wrapText="1"/>
    </xf>
    <xf numFmtId="3" fontId="65" fillId="34" borderId="0" xfId="0" applyNumberFormat="1" applyFont="1" applyFill="1" applyAlignment="1">
      <alignment horizontal="center" vertical="center" wrapText="1"/>
    </xf>
    <xf numFmtId="0" fontId="65" fillId="34" borderId="0" xfId="0" applyFont="1" applyFill="1" applyAlignment="1">
      <alignment horizontal="center" vertical="center" wrapText="1"/>
    </xf>
    <xf numFmtId="0" fontId="61" fillId="34" borderId="0" xfId="0" applyFont="1" applyFill="1" applyAlignment="1">
      <alignment horizontal="justify" vertical="center" wrapText="1"/>
    </xf>
    <xf numFmtId="0" fontId="16" fillId="34" borderId="0" xfId="0" applyFont="1" applyFill="1" applyAlignment="1">
      <alignment horizontal="center" vertical="center" wrapText="1"/>
    </xf>
    <xf numFmtId="0" fontId="68" fillId="34" borderId="0" xfId="0" applyFont="1" applyFill="1"/>
    <xf numFmtId="0" fontId="95" fillId="34" borderId="0" xfId="0" applyFont="1" applyFill="1"/>
    <xf numFmtId="0" fontId="18" fillId="34" borderId="0" xfId="0" applyFont="1" applyFill="1" applyAlignment="1">
      <alignment vertical="center"/>
    </xf>
    <xf numFmtId="0" fontId="16" fillId="34" borderId="0" xfId="0" applyFont="1" applyFill="1" applyAlignment="1">
      <alignment vertical="center"/>
    </xf>
    <xf numFmtId="2" fontId="0" fillId="34" borderId="60" xfId="0" applyNumberFormat="1" applyFill="1" applyBorder="1" applyAlignment="1" applyProtection="1">
      <alignment horizontal="left" vertical="center"/>
      <protection hidden="1"/>
    </xf>
    <xf numFmtId="2" fontId="0" fillId="34" borderId="49" xfId="0" applyNumberFormat="1" applyFill="1" applyBorder="1" applyAlignment="1" applyProtection="1">
      <alignment horizontal="left" vertical="center"/>
      <protection hidden="1"/>
    </xf>
    <xf numFmtId="0" fontId="97" fillId="0" borderId="41" xfId="0" applyFont="1" applyBorder="1" applyAlignment="1">
      <alignment horizontal="center" vertical="center" wrapText="1"/>
    </xf>
    <xf numFmtId="0" fontId="97" fillId="0" borderId="33" xfId="0" applyFont="1" applyBorder="1" applyAlignment="1">
      <alignment horizontal="left" vertical="center" wrapText="1"/>
    </xf>
    <xf numFmtId="3" fontId="97" fillId="0" borderId="41" xfId="0" applyNumberFormat="1" applyFont="1" applyBorder="1" applyAlignment="1">
      <alignment horizontal="center" vertical="center" wrapText="1"/>
    </xf>
    <xf numFmtId="0" fontId="97" fillId="0" borderId="42" xfId="0" applyFont="1" applyBorder="1" applyAlignment="1">
      <alignment horizontal="center" vertical="center" wrapText="1"/>
    </xf>
    <xf numFmtId="3" fontId="97" fillId="0" borderId="32" xfId="0" applyNumberFormat="1" applyFont="1" applyBorder="1" applyAlignment="1">
      <alignment horizontal="center" vertical="center" wrapText="1"/>
    </xf>
    <xf numFmtId="0" fontId="97" fillId="0" borderId="15" xfId="0" applyFont="1" applyBorder="1" applyAlignment="1">
      <alignment horizontal="center" vertical="center" wrapText="1"/>
    </xf>
    <xf numFmtId="0" fontId="97" fillId="0" borderId="16" xfId="0" applyFont="1" applyBorder="1" applyAlignment="1">
      <alignment horizontal="left" vertical="center" wrapText="1"/>
    </xf>
    <xf numFmtId="3" fontId="97" fillId="0" borderId="15" xfId="0" applyNumberFormat="1" applyFont="1" applyBorder="1" applyAlignment="1">
      <alignment horizontal="center" vertical="center" wrapText="1"/>
    </xf>
    <xf numFmtId="0" fontId="97" fillId="0" borderId="17" xfId="0" applyFont="1" applyBorder="1" applyAlignment="1">
      <alignment horizontal="center" vertical="center" wrapText="1"/>
    </xf>
    <xf numFmtId="0" fontId="97" fillId="0" borderId="18" xfId="0" applyFont="1" applyBorder="1" applyAlignment="1">
      <alignment horizontal="center" vertical="center" wrapText="1"/>
    </xf>
    <xf numFmtId="0" fontId="97" fillId="0" borderId="68" xfId="0" applyFont="1" applyBorder="1" applyAlignment="1">
      <alignment horizontal="left" vertical="center" wrapText="1"/>
    </xf>
    <xf numFmtId="3" fontId="97" fillId="0" borderId="18" xfId="0" applyNumberFormat="1" applyFont="1" applyBorder="1" applyAlignment="1">
      <alignment horizontal="center" vertical="center" wrapText="1"/>
    </xf>
    <xf numFmtId="0" fontId="97" fillId="0" borderId="20" xfId="0" applyFont="1" applyBorder="1" applyAlignment="1">
      <alignment horizontal="center" vertical="center" wrapText="1"/>
    </xf>
    <xf numFmtId="3" fontId="97" fillId="0" borderId="49" xfId="0" applyNumberFormat="1" applyFont="1" applyBorder="1" applyAlignment="1">
      <alignment horizontal="center" vertical="center" wrapText="1"/>
    </xf>
    <xf numFmtId="0" fontId="95" fillId="36" borderId="75" xfId="0" applyFont="1" applyFill="1" applyBorder="1"/>
    <xf numFmtId="0" fontId="95" fillId="36" borderId="77" xfId="0" applyFont="1" applyFill="1" applyBorder="1"/>
    <xf numFmtId="0" fontId="14" fillId="34" borderId="12" xfId="0" applyFont="1" applyFill="1" applyBorder="1"/>
    <xf numFmtId="0" fontId="14" fillId="34" borderId="15" xfId="0" applyFont="1" applyFill="1" applyBorder="1"/>
    <xf numFmtId="0" fontId="14" fillId="34" borderId="17" xfId="1998" applyNumberFormat="1" applyFont="1" applyFill="1" applyBorder="1"/>
    <xf numFmtId="0" fontId="14" fillId="34" borderId="20" xfId="1998" applyNumberFormat="1" applyFont="1" applyFill="1" applyBorder="1"/>
    <xf numFmtId="173" fontId="14" fillId="34" borderId="14" xfId="0" applyNumberFormat="1" applyFont="1" applyFill="1" applyBorder="1"/>
    <xf numFmtId="173" fontId="14" fillId="34" borderId="17" xfId="0" applyNumberFormat="1" applyFont="1" applyFill="1" applyBorder="1"/>
    <xf numFmtId="173" fontId="14" fillId="34" borderId="20" xfId="0" applyNumberFormat="1" applyFont="1" applyFill="1" applyBorder="1"/>
    <xf numFmtId="172" fontId="14" fillId="34" borderId="13" xfId="0" applyNumberFormat="1" applyFont="1" applyFill="1" applyBorder="1"/>
    <xf numFmtId="172" fontId="14" fillId="34" borderId="10" xfId="0" applyNumberFormat="1" applyFont="1" applyFill="1" applyBorder="1"/>
    <xf numFmtId="172" fontId="14" fillId="34" borderId="19" xfId="0" applyNumberFormat="1" applyFont="1" applyFill="1" applyBorder="1"/>
    <xf numFmtId="0" fontId="0" fillId="33" borderId="65" xfId="0" applyFill="1" applyBorder="1" applyAlignment="1" applyProtection="1">
      <alignment vertical="center" wrapText="1"/>
      <protection locked="0"/>
    </xf>
    <xf numFmtId="0" fontId="0" fillId="33" borderId="92" xfId="0" applyFill="1" applyBorder="1" applyAlignment="1" applyProtection="1">
      <alignment vertical="center" wrapText="1"/>
      <protection locked="0"/>
    </xf>
    <xf numFmtId="9" fontId="14" fillId="34" borderId="10" xfId="0" applyNumberFormat="1" applyFont="1" applyFill="1" applyBorder="1"/>
    <xf numFmtId="9" fontId="14" fillId="34" borderId="19" xfId="0" applyNumberFormat="1" applyFont="1" applyFill="1" applyBorder="1"/>
    <xf numFmtId="0" fontId="14" fillId="34" borderId="11" xfId="0" applyFont="1" applyFill="1" applyBorder="1"/>
    <xf numFmtId="165" fontId="0" fillId="35" borderId="53" xfId="0" applyNumberFormat="1" applyFill="1" applyBorder="1" applyAlignment="1" applyProtection="1">
      <alignment vertical="center" wrapText="1"/>
      <protection hidden="1"/>
    </xf>
    <xf numFmtId="165" fontId="0" fillId="35" borderId="58" xfId="0" applyNumberFormat="1" applyFill="1" applyBorder="1" applyAlignment="1" applyProtection="1">
      <alignment vertical="center" wrapText="1"/>
      <protection hidden="1"/>
    </xf>
    <xf numFmtId="165" fontId="0" fillId="35" borderId="86" xfId="0" applyNumberFormat="1" applyFill="1" applyBorder="1" applyAlignment="1" applyProtection="1">
      <alignment vertical="center" wrapText="1"/>
      <protection hidden="1"/>
    </xf>
    <xf numFmtId="0" fontId="98" fillId="34" borderId="10" xfId="1998" applyNumberFormat="1" applyFont="1" applyFill="1" applyBorder="1"/>
    <xf numFmtId="0" fontId="98" fillId="34" borderId="10" xfId="0" applyFont="1" applyFill="1" applyBorder="1"/>
    <xf numFmtId="0" fontId="98" fillId="34" borderId="0" xfId="0" applyFont="1" applyFill="1"/>
    <xf numFmtId="174" fontId="0" fillId="35" borderId="13" xfId="0" applyNumberFormat="1" applyFill="1" applyBorder="1" applyAlignment="1" applyProtection="1">
      <alignment vertical="center" wrapText="1"/>
      <protection hidden="1"/>
    </xf>
    <xf numFmtId="4" fontId="0" fillId="35" borderId="60" xfId="0" applyNumberFormat="1" applyFill="1" applyBorder="1" applyAlignment="1" applyProtection="1">
      <alignment vertical="center" wrapText="1"/>
      <protection hidden="1"/>
    </xf>
    <xf numFmtId="174" fontId="0" fillId="35" borderId="10" xfId="0" applyNumberFormat="1" applyFill="1" applyBorder="1" applyAlignment="1" applyProtection="1">
      <alignment vertical="center" wrapText="1"/>
      <protection hidden="1"/>
    </xf>
    <xf numFmtId="174" fontId="0" fillId="35" borderId="19" xfId="0" applyNumberFormat="1" applyFill="1" applyBorder="1" applyAlignment="1" applyProtection="1">
      <alignment vertical="center" wrapText="1"/>
      <protection hidden="1"/>
    </xf>
    <xf numFmtId="174" fontId="0" fillId="35" borderId="14" xfId="0" applyNumberFormat="1" applyFill="1" applyBorder="1" applyAlignment="1" applyProtection="1">
      <alignment vertical="center"/>
      <protection hidden="1"/>
    </xf>
    <xf numFmtId="174" fontId="0" fillId="35" borderId="17" xfId="0" applyNumberFormat="1" applyFill="1" applyBorder="1" applyAlignment="1" applyProtection="1">
      <alignment vertical="center"/>
      <protection hidden="1"/>
    </xf>
    <xf numFmtId="174" fontId="0" fillId="35" borderId="20" xfId="0" applyNumberFormat="1" applyFill="1" applyBorder="1" applyAlignment="1" applyProtection="1">
      <alignment vertical="center"/>
      <protection hidden="1"/>
    </xf>
    <xf numFmtId="174" fontId="0" fillId="35" borderId="14" xfId="0" applyNumberFormat="1" applyFill="1" applyBorder="1" applyAlignment="1" applyProtection="1">
      <alignment vertical="center" wrapText="1"/>
      <protection hidden="1"/>
    </xf>
    <xf numFmtId="174" fontId="0" fillId="35" borderId="17" xfId="0" applyNumberFormat="1" applyFill="1" applyBorder="1" applyAlignment="1" applyProtection="1">
      <alignment vertical="center" wrapText="1"/>
      <protection hidden="1"/>
    </xf>
    <xf numFmtId="174" fontId="0" fillId="35" borderId="20" xfId="0" applyNumberFormat="1" applyFill="1" applyBorder="1" applyAlignment="1" applyProtection="1">
      <alignment vertical="center" wrapText="1"/>
      <protection hidden="1"/>
    </xf>
    <xf numFmtId="174" fontId="0" fillId="35" borderId="11" xfId="0" applyNumberFormat="1" applyFill="1" applyBorder="1" applyAlignment="1" applyProtection="1">
      <alignment vertical="center" wrapText="1"/>
      <protection hidden="1"/>
    </xf>
    <xf numFmtId="0" fontId="98" fillId="34" borderId="12" xfId="0" applyFont="1" applyFill="1" applyBorder="1"/>
    <xf numFmtId="0" fontId="98" fillId="34" borderId="13" xfId="0" applyFont="1" applyFill="1" applyBorder="1"/>
    <xf numFmtId="0" fontId="98" fillId="34" borderId="15" xfId="0" applyFont="1" applyFill="1" applyBorder="1"/>
    <xf numFmtId="0" fontId="98" fillId="34" borderId="17" xfId="0" applyFont="1" applyFill="1" applyBorder="1"/>
    <xf numFmtId="0" fontId="98" fillId="34" borderId="18" xfId="0" applyFont="1" applyFill="1" applyBorder="1"/>
    <xf numFmtId="0" fontId="98" fillId="34" borderId="19" xfId="0" applyFont="1" applyFill="1" applyBorder="1"/>
    <xf numFmtId="0" fontId="98" fillId="34" borderId="20" xfId="0" applyFont="1" applyFill="1" applyBorder="1"/>
    <xf numFmtId="0" fontId="98" fillId="34" borderId="14" xfId="0" applyFont="1" applyFill="1" applyBorder="1"/>
    <xf numFmtId="0" fontId="100" fillId="63" borderId="75" xfId="0" applyFont="1" applyFill="1" applyBorder="1"/>
    <xf numFmtId="0" fontId="100" fillId="63" borderId="76" xfId="0" applyFont="1" applyFill="1" applyBorder="1"/>
    <xf numFmtId="0" fontId="100" fillId="63" borderId="77" xfId="0" applyFont="1" applyFill="1" applyBorder="1"/>
    <xf numFmtId="4" fontId="0" fillId="35" borderId="58" xfId="0" applyNumberFormat="1" applyFill="1" applyBorder="1" applyAlignment="1" applyProtection="1">
      <alignment vertical="center" wrapText="1"/>
      <protection hidden="1"/>
    </xf>
    <xf numFmtId="0" fontId="14" fillId="34" borderId="40" xfId="0" applyFont="1" applyFill="1" applyBorder="1"/>
    <xf numFmtId="0" fontId="14" fillId="63" borderId="75" xfId="0" applyFont="1" applyFill="1" applyBorder="1"/>
    <xf numFmtId="0" fontId="14" fillId="63" borderId="77" xfId="0" applyFont="1" applyFill="1" applyBorder="1"/>
    <xf numFmtId="0" fontId="0" fillId="35" borderId="51" xfId="0" applyFill="1" applyBorder="1" applyAlignment="1" applyProtection="1">
      <alignment vertical="center" wrapText="1"/>
      <protection locked="0"/>
    </xf>
    <xf numFmtId="0" fontId="0" fillId="35" borderId="61" xfId="0" applyFill="1" applyBorder="1" applyAlignment="1" applyProtection="1">
      <alignment vertical="center" wrapText="1"/>
      <protection locked="0"/>
    </xf>
    <xf numFmtId="0" fontId="0" fillId="35" borderId="64" xfId="0" applyFill="1" applyBorder="1" applyAlignment="1" applyProtection="1">
      <alignment vertical="center" wrapText="1"/>
      <protection locked="0"/>
    </xf>
    <xf numFmtId="0" fontId="51" fillId="36" borderId="35" xfId="0" applyFont="1" applyFill="1" applyBorder="1" applyAlignment="1" applyProtection="1">
      <alignment horizontal="center" vertical="center" wrapText="1"/>
      <protection hidden="1"/>
    </xf>
    <xf numFmtId="174" fontId="0" fillId="35" borderId="66" xfId="0" applyNumberFormat="1" applyFill="1" applyBorder="1" applyAlignment="1" applyProtection="1">
      <alignment vertical="center" wrapText="1"/>
      <protection hidden="1"/>
    </xf>
    <xf numFmtId="0" fontId="97" fillId="0" borderId="38" xfId="0" applyFont="1" applyBorder="1" applyAlignment="1">
      <alignment horizontal="left" vertical="center" wrapText="1"/>
    </xf>
    <xf numFmtId="0" fontId="97" fillId="0" borderId="39" xfId="0" applyFont="1" applyBorder="1" applyAlignment="1">
      <alignment horizontal="left" vertical="center" wrapText="1"/>
    </xf>
    <xf numFmtId="0" fontId="97" fillId="0" borderId="40" xfId="0" applyFont="1" applyBorder="1" applyAlignment="1">
      <alignment horizontal="left" vertical="center" wrapText="1"/>
    </xf>
    <xf numFmtId="170" fontId="97" fillId="0" borderId="41" xfId="0" applyNumberFormat="1" applyFont="1" applyBorder="1" applyAlignment="1">
      <alignment horizontal="center" vertical="center" wrapText="1"/>
    </xf>
    <xf numFmtId="170" fontId="97" fillId="0" borderId="58" xfId="0" applyNumberFormat="1" applyFont="1" applyBorder="1" applyAlignment="1">
      <alignment horizontal="center" vertical="center" wrapText="1"/>
    </xf>
    <xf numFmtId="170" fontId="97" fillId="0" borderId="15" xfId="0" applyNumberFormat="1" applyFont="1" applyBorder="1" applyAlignment="1">
      <alignment horizontal="center" vertical="center" wrapText="1"/>
    </xf>
    <xf numFmtId="170" fontId="97" fillId="0" borderId="62" xfId="0" applyNumberFormat="1" applyFont="1" applyBorder="1" applyAlignment="1">
      <alignment horizontal="center" vertical="center" wrapText="1"/>
    </xf>
    <xf numFmtId="170" fontId="97" fillId="0" borderId="18" xfId="0" applyNumberFormat="1" applyFont="1" applyBorder="1" applyAlignment="1">
      <alignment horizontal="center" vertical="center" wrapText="1"/>
    </xf>
    <xf numFmtId="170" fontId="97" fillId="0" borderId="84" xfId="0" applyNumberFormat="1" applyFont="1" applyBorder="1" applyAlignment="1">
      <alignment horizontal="center" vertical="center" wrapText="1"/>
    </xf>
    <xf numFmtId="0" fontId="16" fillId="63" borderId="71" xfId="0" applyFont="1" applyFill="1" applyBorder="1" applyAlignment="1">
      <alignment vertical="center"/>
    </xf>
    <xf numFmtId="0" fontId="0" fillId="34" borderId="0" xfId="0" quotePrefix="1" applyFill="1" applyAlignment="1" applyProtection="1">
      <alignment vertical="center" wrapText="1"/>
      <protection hidden="1"/>
    </xf>
    <xf numFmtId="0" fontId="0" fillId="35" borderId="52" xfId="0" applyFill="1" applyBorder="1" applyAlignment="1" applyProtection="1">
      <alignment vertical="center" wrapText="1"/>
      <protection hidden="1"/>
    </xf>
    <xf numFmtId="0" fontId="97" fillId="0" borderId="10" xfId="0" applyFont="1" applyBorder="1" applyAlignment="1">
      <alignment horizontal="left" vertical="center" wrapText="1"/>
    </xf>
    <xf numFmtId="3" fontId="97" fillId="0" borderId="10" xfId="0" applyNumberFormat="1" applyFont="1" applyBorder="1" applyAlignment="1">
      <alignment horizontal="center" vertical="center" wrapText="1"/>
    </xf>
    <xf numFmtId="0" fontId="97" fillId="0" borderId="10" xfId="0" applyFont="1" applyBorder="1" applyAlignment="1">
      <alignment horizontal="left" vertical="center"/>
    </xf>
    <xf numFmtId="3" fontId="97" fillId="0" borderId="10" xfId="0" applyNumberFormat="1" applyFont="1" applyBorder="1" applyAlignment="1">
      <alignment horizontal="center" vertical="center"/>
    </xf>
    <xf numFmtId="0" fontId="97" fillId="0" borderId="10" xfId="0" applyFont="1" applyBorder="1" applyAlignment="1">
      <alignment horizontal="center" vertical="center"/>
    </xf>
    <xf numFmtId="0" fontId="97" fillId="0" borderId="10" xfId="0" applyFont="1" applyBorder="1" applyAlignment="1">
      <alignment horizontal="center" vertical="center" wrapText="1"/>
    </xf>
    <xf numFmtId="0" fontId="101" fillId="0" borderId="10" xfId="0" applyFont="1" applyBorder="1"/>
    <xf numFmtId="0" fontId="14" fillId="63" borderId="71" xfId="0" applyFont="1" applyFill="1" applyBorder="1"/>
    <xf numFmtId="0" fontId="14" fillId="63" borderId="59" xfId="0" applyFont="1" applyFill="1" applyBorder="1"/>
    <xf numFmtId="0" fontId="101" fillId="0" borderId="39" xfId="0" applyFont="1" applyBorder="1"/>
    <xf numFmtId="0" fontId="101" fillId="0" borderId="40" xfId="0" applyFont="1" applyBorder="1"/>
    <xf numFmtId="0" fontId="99" fillId="36" borderId="46" xfId="0" applyFont="1" applyFill="1" applyBorder="1"/>
    <xf numFmtId="0" fontId="99" fillId="36" borderId="47" xfId="0" applyFont="1" applyFill="1" applyBorder="1"/>
    <xf numFmtId="2" fontId="0" fillId="35" borderId="60" xfId="0" applyNumberFormat="1" applyFill="1" applyBorder="1" applyAlignment="1" applyProtection="1">
      <alignment vertical="center" wrapText="1"/>
      <protection hidden="1"/>
    </xf>
    <xf numFmtId="2" fontId="0" fillId="35" borderId="13" xfId="0" applyNumberFormat="1" applyFill="1" applyBorder="1" applyAlignment="1" applyProtection="1">
      <alignment vertical="center" wrapText="1"/>
      <protection hidden="1"/>
    </xf>
    <xf numFmtId="2" fontId="0" fillId="35" borderId="10" xfId="0" applyNumberFormat="1" applyFill="1" applyBorder="1" applyAlignment="1" applyProtection="1">
      <alignment vertical="center" wrapText="1"/>
      <protection hidden="1"/>
    </xf>
    <xf numFmtId="2" fontId="0" fillId="35" borderId="49" xfId="0" applyNumberFormat="1" applyFill="1" applyBorder="1" applyAlignment="1" applyProtection="1">
      <alignment vertical="center" wrapText="1"/>
      <protection hidden="1"/>
    </xf>
    <xf numFmtId="2" fontId="0" fillId="35" borderId="19" xfId="0" applyNumberFormat="1" applyFill="1" applyBorder="1" applyAlignment="1" applyProtection="1">
      <alignment vertical="center" wrapText="1"/>
      <protection hidden="1"/>
    </xf>
    <xf numFmtId="170" fontId="97" fillId="0" borderId="10" xfId="0" applyNumberFormat="1" applyFont="1" applyBorder="1" applyAlignment="1">
      <alignment horizontal="center" vertical="center"/>
    </xf>
    <xf numFmtId="170" fontId="97" fillId="63" borderId="10" xfId="0" applyNumberFormat="1" applyFont="1" applyFill="1" applyBorder="1" applyAlignment="1">
      <alignment horizontal="center" vertical="center"/>
    </xf>
    <xf numFmtId="3" fontId="97" fillId="63" borderId="10" xfId="0" applyNumberFormat="1" applyFont="1" applyFill="1" applyBorder="1" applyAlignment="1">
      <alignment horizontal="center" vertical="center"/>
    </xf>
    <xf numFmtId="0" fontId="97" fillId="63" borderId="10" xfId="0" applyFont="1" applyFill="1" applyBorder="1" applyAlignment="1">
      <alignment horizontal="center" vertical="center"/>
    </xf>
    <xf numFmtId="0" fontId="14" fillId="34" borderId="42" xfId="0" applyFont="1" applyFill="1" applyBorder="1"/>
    <xf numFmtId="0" fontId="0" fillId="34" borderId="43" xfId="0" applyFill="1" applyBorder="1"/>
    <xf numFmtId="0" fontId="0" fillId="34" borderId="44" xfId="0" applyFill="1" applyBorder="1"/>
    <xf numFmtId="0" fontId="14" fillId="34" borderId="44" xfId="0" applyFont="1" applyFill="1" applyBorder="1"/>
    <xf numFmtId="0" fontId="14" fillId="34" borderId="45" xfId="0" applyFont="1" applyFill="1" applyBorder="1"/>
    <xf numFmtId="0" fontId="0" fillId="35" borderId="13" xfId="0" quotePrefix="1" applyFill="1" applyBorder="1" applyAlignment="1" applyProtection="1">
      <alignment vertical="center" wrapText="1"/>
      <protection hidden="1"/>
    </xf>
    <xf numFmtId="0" fontId="96" fillId="36" borderId="59" xfId="0" applyFont="1" applyFill="1" applyBorder="1" applyAlignment="1" applyProtection="1">
      <alignment vertical="center" wrapText="1"/>
      <protection hidden="1"/>
    </xf>
    <xf numFmtId="0" fontId="14" fillId="34" borderId="39" xfId="0" applyFont="1" applyFill="1" applyBorder="1"/>
    <xf numFmtId="0" fontId="99" fillId="36" borderId="55" xfId="0" applyFont="1" applyFill="1" applyBorder="1"/>
    <xf numFmtId="0" fontId="99" fillId="36" borderId="56" xfId="0" applyFont="1" applyFill="1" applyBorder="1"/>
    <xf numFmtId="0" fontId="96" fillId="36" borderId="12" xfId="0" applyFont="1" applyFill="1" applyBorder="1" applyAlignment="1" applyProtection="1">
      <alignment vertical="center" wrapText="1"/>
      <protection hidden="1"/>
    </xf>
    <xf numFmtId="0" fontId="96" fillId="36" borderId="13" xfId="0" applyFont="1" applyFill="1" applyBorder="1" applyAlignment="1" applyProtection="1">
      <alignment vertical="center" wrapText="1"/>
      <protection hidden="1"/>
    </xf>
    <xf numFmtId="0" fontId="96" fillId="36" borderId="14" xfId="0" applyFont="1" applyFill="1" applyBorder="1" applyAlignment="1" applyProtection="1">
      <alignment vertical="center" wrapText="1"/>
      <protection hidden="1"/>
    </xf>
    <xf numFmtId="0" fontId="99" fillId="36" borderId="37" xfId="0" applyFont="1" applyFill="1" applyBorder="1"/>
    <xf numFmtId="4" fontId="97" fillId="0" borderId="10" xfId="0" applyNumberFormat="1" applyFont="1" applyBorder="1" applyAlignment="1">
      <alignment horizontal="center" vertical="center"/>
    </xf>
    <xf numFmtId="4" fontId="97" fillId="0" borderId="17" xfId="0" applyNumberFormat="1" applyFont="1" applyBorder="1" applyAlignment="1">
      <alignment horizontal="center" vertical="center"/>
    </xf>
    <xf numFmtId="4" fontId="97" fillId="0" borderId="19" xfId="0" applyNumberFormat="1" applyFont="1" applyBorder="1" applyAlignment="1">
      <alignment horizontal="center" vertical="center"/>
    </xf>
    <xf numFmtId="4" fontId="97" fillId="0" borderId="20" xfId="0" applyNumberFormat="1" applyFont="1" applyBorder="1" applyAlignment="1">
      <alignment horizontal="center" vertical="center"/>
    </xf>
    <xf numFmtId="0" fontId="51" fillId="36" borderId="87" xfId="0" applyFont="1" applyFill="1" applyBorder="1" applyAlignment="1" applyProtection="1">
      <alignment vertical="center" wrapText="1"/>
      <protection hidden="1"/>
    </xf>
    <xf numFmtId="164" fontId="97" fillId="0" borderId="10" xfId="0" applyNumberFormat="1" applyFont="1" applyBorder="1" applyAlignment="1">
      <alignment horizontal="center" vertical="center"/>
    </xf>
    <xf numFmtId="4" fontId="0" fillId="35" borderId="12" xfId="0" applyNumberFormat="1" applyFill="1" applyBorder="1" applyAlignment="1" applyProtection="1">
      <alignment horizontal="right" vertical="center" wrapText="1"/>
      <protection hidden="1"/>
    </xf>
    <xf numFmtId="4" fontId="0" fillId="35" borderId="15" xfId="0" applyNumberFormat="1" applyFill="1" applyBorder="1" applyAlignment="1" applyProtection="1">
      <alignment horizontal="right" vertical="center" wrapText="1"/>
      <protection hidden="1"/>
    </xf>
    <xf numFmtId="4" fontId="0" fillId="35" borderId="18" xfId="0" applyNumberFormat="1" applyFill="1" applyBorder="1" applyAlignment="1" applyProtection="1">
      <alignment horizontal="right" vertical="center" wrapText="1"/>
      <protection hidden="1"/>
    </xf>
    <xf numFmtId="2" fontId="98" fillId="34" borderId="10" xfId="0" applyNumberFormat="1" applyFont="1" applyFill="1" applyBorder="1"/>
    <xf numFmtId="2" fontId="98" fillId="34" borderId="19" xfId="0" applyNumberFormat="1" applyFont="1" applyFill="1" applyBorder="1"/>
    <xf numFmtId="175" fontId="98" fillId="34" borderId="10" xfId="0" applyNumberFormat="1" applyFont="1" applyFill="1" applyBorder="1"/>
    <xf numFmtId="4" fontId="0" fillId="35" borderId="12" xfId="0" applyNumberFormat="1" applyFill="1" applyBorder="1" applyAlignment="1" applyProtection="1">
      <alignment vertical="center" wrapText="1"/>
      <protection hidden="1"/>
    </xf>
    <xf numFmtId="4" fontId="0" fillId="35" borderId="15" xfId="0" applyNumberFormat="1" applyFill="1" applyBorder="1" applyAlignment="1" applyProtection="1">
      <alignment vertical="center" wrapText="1"/>
      <protection hidden="1"/>
    </xf>
    <xf numFmtId="0" fontId="0" fillId="35" borderId="10" xfId="0" quotePrefix="1" applyFill="1" applyBorder="1" applyAlignment="1" applyProtection="1">
      <alignment vertical="center" wrapText="1"/>
      <protection hidden="1"/>
    </xf>
    <xf numFmtId="0" fontId="0" fillId="35" borderId="19" xfId="0" quotePrefix="1" applyFill="1" applyBorder="1" applyAlignment="1" applyProtection="1">
      <alignment vertical="center" wrapText="1"/>
      <protection hidden="1"/>
    </xf>
    <xf numFmtId="4" fontId="0" fillId="35" borderId="60" xfId="0" applyNumberFormat="1" applyFill="1" applyBorder="1" applyAlignment="1" applyProtection="1">
      <alignment horizontal="right" vertical="center" wrapText="1"/>
      <protection hidden="1"/>
    </xf>
    <xf numFmtId="4" fontId="0" fillId="35" borderId="49" xfId="0" applyNumberFormat="1" applyFill="1" applyBorder="1" applyAlignment="1" applyProtection="1">
      <alignment horizontal="right" vertical="center" wrapText="1"/>
      <protection hidden="1"/>
    </xf>
    <xf numFmtId="0" fontId="0" fillId="35" borderId="14" xfId="0" applyFill="1" applyBorder="1" applyAlignment="1" applyProtection="1">
      <alignment vertical="center" wrapText="1"/>
      <protection hidden="1"/>
    </xf>
    <xf numFmtId="0" fontId="0" fillId="35" borderId="17" xfId="0" applyFill="1" applyBorder="1" applyAlignment="1" applyProtection="1">
      <alignment vertical="center" wrapText="1"/>
      <protection hidden="1"/>
    </xf>
    <xf numFmtId="0" fontId="0" fillId="35" borderId="20" xfId="0" applyFill="1" applyBorder="1" applyAlignment="1" applyProtection="1">
      <alignment vertical="center" wrapText="1"/>
      <protection hidden="1"/>
    </xf>
    <xf numFmtId="0" fontId="0" fillId="35" borderId="10" xfId="0" applyFill="1" applyBorder="1" applyAlignment="1" applyProtection="1">
      <alignment vertical="center" wrapText="1"/>
      <protection locked="0"/>
    </xf>
    <xf numFmtId="0" fontId="0" fillId="35" borderId="12" xfId="0" applyFill="1" applyBorder="1" applyAlignment="1" applyProtection="1">
      <alignment vertical="center" wrapText="1"/>
      <protection locked="0"/>
    </xf>
    <xf numFmtId="0" fontId="0" fillId="35" borderId="13" xfId="0" applyFill="1" applyBorder="1" applyAlignment="1" applyProtection="1">
      <alignment vertical="center" wrapText="1"/>
      <protection locked="0"/>
    </xf>
    <xf numFmtId="0" fontId="0" fillId="35" borderId="15" xfId="0" applyFill="1" applyBorder="1" applyAlignment="1" applyProtection="1">
      <alignment vertical="center" wrapText="1"/>
      <protection locked="0"/>
    </xf>
    <xf numFmtId="0" fontId="0" fillId="35" borderId="18" xfId="0" applyFill="1" applyBorder="1" applyAlignment="1" applyProtection="1">
      <alignment vertical="center" wrapText="1"/>
      <protection locked="0"/>
    </xf>
    <xf numFmtId="0" fontId="0" fillId="35" borderId="19" xfId="0" applyFill="1" applyBorder="1" applyAlignment="1" applyProtection="1">
      <alignment vertical="center" wrapText="1"/>
      <protection locked="0"/>
    </xf>
    <xf numFmtId="0" fontId="0" fillId="35" borderId="73" xfId="0" applyFill="1" applyBorder="1" applyAlignment="1" applyProtection="1">
      <alignment vertical="center" wrapText="1"/>
      <protection locked="0"/>
    </xf>
    <xf numFmtId="0" fontId="0" fillId="35" borderId="16" xfId="0" applyFill="1" applyBorder="1" applyAlignment="1" applyProtection="1">
      <alignment vertical="center" wrapText="1"/>
      <protection locked="0"/>
    </xf>
    <xf numFmtId="0" fontId="0" fillId="35" borderId="68" xfId="0" applyFill="1" applyBorder="1" applyAlignment="1" applyProtection="1">
      <alignment vertical="center" wrapText="1"/>
      <protection locked="0"/>
    </xf>
    <xf numFmtId="4" fontId="0" fillId="35" borderId="18" xfId="0" applyNumberFormat="1" applyFill="1" applyBorder="1" applyAlignment="1" applyProtection="1">
      <alignment vertical="center" wrapText="1"/>
      <protection hidden="1"/>
    </xf>
    <xf numFmtId="0" fontId="97" fillId="0" borderId="15" xfId="0" applyFont="1" applyBorder="1" applyAlignment="1">
      <alignment horizontal="left" vertical="center" wrapText="1"/>
    </xf>
    <xf numFmtId="0" fontId="18" fillId="36" borderId="47" xfId="0" applyFont="1" applyFill="1" applyBorder="1"/>
    <xf numFmtId="0" fontId="18" fillId="36" borderId="48" xfId="0" applyFont="1" applyFill="1" applyBorder="1"/>
    <xf numFmtId="0" fontId="18" fillId="36" borderId="45" xfId="0" applyFont="1" applyFill="1" applyBorder="1" applyAlignment="1">
      <alignment horizontal="center"/>
    </xf>
    <xf numFmtId="4" fontId="0" fillId="35" borderId="41" xfId="0" applyNumberFormat="1" applyFill="1" applyBorder="1" applyAlignment="1" applyProtection="1">
      <alignment vertical="center" wrapText="1"/>
      <protection hidden="1"/>
    </xf>
    <xf numFmtId="4" fontId="0" fillId="35" borderId="65" xfId="0" applyNumberFormat="1" applyFill="1" applyBorder="1" applyAlignment="1" applyProtection="1">
      <alignment vertical="center" wrapText="1"/>
      <protection hidden="1"/>
    </xf>
    <xf numFmtId="0" fontId="58" fillId="35" borderId="10" xfId="0" applyFont="1" applyFill="1" applyBorder="1" applyAlignment="1">
      <alignment horizontal="center" vertical="center" wrapText="1"/>
    </xf>
    <xf numFmtId="0" fontId="104" fillId="35" borderId="10" xfId="0" applyFont="1" applyFill="1" applyBorder="1" applyAlignment="1">
      <alignment vertical="center" wrapText="1"/>
    </xf>
    <xf numFmtId="0" fontId="0" fillId="0" borderId="10" xfId="0" applyBorder="1"/>
    <xf numFmtId="14" fontId="0" fillId="0" borderId="10" xfId="0" applyNumberFormat="1" applyBorder="1"/>
    <xf numFmtId="0" fontId="0" fillId="67" borderId="10" xfId="0" applyFill="1" applyBorder="1"/>
    <xf numFmtId="0" fontId="0" fillId="62" borderId="10" xfId="0" applyFill="1" applyBorder="1"/>
    <xf numFmtId="0" fontId="0" fillId="70" borderId="10" xfId="0" applyFill="1" applyBorder="1"/>
    <xf numFmtId="0" fontId="0" fillId="71" borderId="10" xfId="0" applyFill="1" applyBorder="1" applyAlignment="1">
      <alignment vertical="center" wrapText="1"/>
    </xf>
    <xf numFmtId="0" fontId="0" fillId="70" borderId="11" xfId="0" applyFill="1" applyBorder="1"/>
    <xf numFmtId="0" fontId="0" fillId="0" borderId="11" xfId="0" applyBorder="1"/>
    <xf numFmtId="14" fontId="0" fillId="0" borderId="11" xfId="0" applyNumberFormat="1" applyBorder="1"/>
    <xf numFmtId="0" fontId="0" fillId="67" borderId="11" xfId="0" applyFill="1" applyBorder="1"/>
    <xf numFmtId="0" fontId="0" fillId="62" borderId="11" xfId="0" applyFill="1" applyBorder="1"/>
    <xf numFmtId="0" fontId="0" fillId="70" borderId="94" xfId="0" applyFill="1" applyBorder="1"/>
    <xf numFmtId="0" fontId="0" fillId="0" borderId="94" xfId="0" applyBorder="1"/>
    <xf numFmtId="14" fontId="0" fillId="0" borderId="94" xfId="0" applyNumberFormat="1" applyBorder="1"/>
    <xf numFmtId="0" fontId="0" fillId="67" borderId="94" xfId="0" applyFill="1" applyBorder="1"/>
    <xf numFmtId="0" fontId="0" fillId="62" borderId="94" xfId="0" applyFill="1" applyBorder="1"/>
    <xf numFmtId="0" fontId="0" fillId="72" borderId="10" xfId="0" applyFill="1" applyBorder="1"/>
    <xf numFmtId="0" fontId="0" fillId="72" borderId="94" xfId="0" applyFill="1" applyBorder="1"/>
    <xf numFmtId="0" fontId="0" fillId="72" borderId="11" xfId="0" applyFill="1" applyBorder="1"/>
    <xf numFmtId="176" fontId="0" fillId="72" borderId="10" xfId="0" applyNumberFormat="1" applyFill="1" applyBorder="1"/>
    <xf numFmtId="176" fontId="0" fillId="72" borderId="94" xfId="0" applyNumberFormat="1" applyFill="1" applyBorder="1"/>
    <xf numFmtId="177" fontId="0" fillId="72" borderId="10" xfId="0" applyNumberFormat="1" applyFill="1" applyBorder="1"/>
    <xf numFmtId="2" fontId="0" fillId="72" borderId="10" xfId="0" applyNumberFormat="1" applyFill="1" applyBorder="1"/>
    <xf numFmtId="2" fontId="0" fillId="72" borderId="11" xfId="0" applyNumberFormat="1" applyFill="1" applyBorder="1"/>
    <xf numFmtId="2" fontId="0" fillId="72" borderId="94" xfId="0" applyNumberFormat="1" applyFill="1" applyBorder="1"/>
    <xf numFmtId="177" fontId="0" fillId="72" borderId="94" xfId="0" applyNumberFormat="1" applyFill="1" applyBorder="1"/>
    <xf numFmtId="177" fontId="0" fillId="72" borderId="11" xfId="0" applyNumberFormat="1" applyFill="1" applyBorder="1"/>
    <xf numFmtId="14" fontId="0" fillId="72" borderId="10" xfId="0" applyNumberFormat="1" applyFill="1" applyBorder="1"/>
    <xf numFmtId="14" fontId="0" fillId="72" borderId="94" xfId="0" applyNumberFormat="1" applyFill="1" applyBorder="1"/>
    <xf numFmtId="14" fontId="0" fillId="72" borderId="11" xfId="0" applyNumberFormat="1" applyFill="1" applyBorder="1"/>
    <xf numFmtId="176" fontId="0" fillId="72" borderId="11" xfId="0" applyNumberFormat="1" applyFill="1" applyBorder="1"/>
    <xf numFmtId="0" fontId="0" fillId="72" borderId="95" xfId="0" applyFill="1" applyBorder="1"/>
    <xf numFmtId="0" fontId="0" fillId="72" borderId="96" xfId="0" applyFill="1" applyBorder="1"/>
    <xf numFmtId="176" fontId="0" fillId="0" borderId="10" xfId="0" applyNumberFormat="1" applyBorder="1"/>
    <xf numFmtId="176" fontId="0" fillId="0" borderId="94" xfId="0" applyNumberFormat="1" applyBorder="1"/>
    <xf numFmtId="175" fontId="0" fillId="0" borderId="11" xfId="0" applyNumberFormat="1" applyBorder="1"/>
    <xf numFmtId="175" fontId="0" fillId="0" borderId="10" xfId="0" applyNumberFormat="1" applyBorder="1"/>
    <xf numFmtId="175" fontId="0" fillId="0" borderId="94" xfId="0" applyNumberFormat="1" applyBorder="1"/>
    <xf numFmtId="178" fontId="0" fillId="72" borderId="11" xfId="0" applyNumberFormat="1" applyFill="1" applyBorder="1"/>
    <xf numFmtId="178" fontId="0" fillId="72" borderId="95" xfId="0" applyNumberFormat="1" applyFill="1" applyBorder="1"/>
    <xf numFmtId="178" fontId="0" fillId="72" borderId="96" xfId="0" applyNumberFormat="1" applyFill="1" applyBorder="1"/>
    <xf numFmtId="0" fontId="0" fillId="73" borderId="11" xfId="0" applyFill="1" applyBorder="1"/>
    <xf numFmtId="0" fontId="0" fillId="73" borderId="10" xfId="0" applyFill="1" applyBorder="1"/>
    <xf numFmtId="0" fontId="0" fillId="73" borderId="94" xfId="0" applyFill="1" applyBorder="1"/>
    <xf numFmtId="176" fontId="0" fillId="72" borderId="95" xfId="0" applyNumberFormat="1" applyFill="1" applyBorder="1"/>
    <xf numFmtId="176" fontId="0" fillId="72" borderId="96" xfId="0" applyNumberFormat="1" applyFill="1" applyBorder="1"/>
    <xf numFmtId="0" fontId="58" fillId="72" borderId="10" xfId="0" applyFont="1" applyFill="1" applyBorder="1"/>
    <xf numFmtId="0" fontId="58" fillId="72" borderId="94" xfId="0" applyFont="1" applyFill="1" applyBorder="1"/>
    <xf numFmtId="0" fontId="58" fillId="72" borderId="11" xfId="0" applyFont="1" applyFill="1" applyBorder="1"/>
    <xf numFmtId="178" fontId="0" fillId="72" borderId="94" xfId="0" applyNumberFormat="1" applyFill="1" applyBorder="1"/>
    <xf numFmtId="0" fontId="0" fillId="35" borderId="49" xfId="0" applyFill="1" applyBorder="1" applyAlignment="1" applyProtection="1">
      <alignment vertical="center" wrapText="1"/>
      <protection hidden="1"/>
    </xf>
    <xf numFmtId="2" fontId="0" fillId="33" borderId="19" xfId="0" applyNumberFormat="1" applyFill="1" applyBorder="1" applyAlignment="1" applyProtection="1">
      <alignment vertical="center" wrapText="1"/>
      <protection locked="0"/>
    </xf>
    <xf numFmtId="0" fontId="51" fillId="36" borderId="51" xfId="0" applyFont="1" applyFill="1" applyBorder="1" applyAlignment="1" applyProtection="1">
      <alignment vertical="center"/>
      <protection hidden="1"/>
    </xf>
    <xf numFmtId="0" fontId="51" fillId="36" borderId="52" xfId="0" applyFont="1" applyFill="1" applyBorder="1" applyAlignment="1" applyProtection="1">
      <alignment vertical="center"/>
      <protection hidden="1"/>
    </xf>
    <xf numFmtId="0" fontId="0" fillId="33" borderId="67" xfId="0" applyFill="1" applyBorder="1" applyAlignment="1" applyProtection="1">
      <alignment vertical="center" wrapText="1"/>
      <protection locked="0"/>
    </xf>
    <xf numFmtId="0" fontId="0" fillId="33" borderId="14" xfId="0" applyFill="1" applyBorder="1" applyAlignment="1" applyProtection="1">
      <alignment horizontal="center" vertical="center" wrapText="1"/>
      <protection locked="0"/>
    </xf>
    <xf numFmtId="0" fontId="0" fillId="33" borderId="17" xfId="0" applyFill="1" applyBorder="1" applyAlignment="1" applyProtection="1">
      <alignment horizontal="center" vertical="center" wrapText="1"/>
      <protection locked="0"/>
    </xf>
    <xf numFmtId="0" fontId="0" fillId="33" borderId="20" xfId="0" applyFill="1" applyBorder="1" applyAlignment="1" applyProtection="1">
      <alignment horizontal="center" vertical="center" wrapText="1"/>
      <protection locked="0"/>
    </xf>
    <xf numFmtId="0" fontId="20" fillId="0" borderId="0" xfId="48" applyFont="1"/>
    <xf numFmtId="0" fontId="20" fillId="0" borderId="0" xfId="48" applyFont="1" applyAlignment="1">
      <alignment horizontal="center"/>
    </xf>
    <xf numFmtId="0" fontId="16" fillId="0" borderId="0" xfId="0" applyFont="1"/>
    <xf numFmtId="0" fontId="105" fillId="75" borderId="37" xfId="0" applyFont="1" applyFill="1" applyBorder="1" applyAlignment="1">
      <alignment horizontal="center" vertical="center"/>
    </xf>
    <xf numFmtId="0" fontId="0" fillId="0" borderId="98" xfId="0" applyBorder="1"/>
    <xf numFmtId="0" fontId="16" fillId="0" borderId="99" xfId="0" applyFont="1" applyBorder="1"/>
    <xf numFmtId="0" fontId="0" fillId="0" borderId="99" xfId="0" applyBorder="1"/>
    <xf numFmtId="0" fontId="0" fillId="0" borderId="100" xfId="0" applyBorder="1"/>
    <xf numFmtId="0" fontId="0" fillId="0" borderId="101" xfId="0" applyBorder="1"/>
    <xf numFmtId="0" fontId="0" fillId="0" borderId="102" xfId="0" applyBorder="1"/>
    <xf numFmtId="0" fontId="16" fillId="0" borderId="101" xfId="0" applyFont="1" applyBorder="1"/>
    <xf numFmtId="0" fontId="0" fillId="0" borderId="85" xfId="0" applyBorder="1" applyAlignment="1">
      <alignment horizontal="center"/>
    </xf>
    <xf numFmtId="0" fontId="0" fillId="0" borderId="32" xfId="0" applyBorder="1" applyAlignment="1">
      <alignment horizontal="center"/>
    </xf>
    <xf numFmtId="0" fontId="0" fillId="0" borderId="42" xfId="0" applyBorder="1" applyAlignment="1">
      <alignment horizontal="center"/>
    </xf>
    <xf numFmtId="0" fontId="0" fillId="0" borderId="103" xfId="0" applyBorder="1" applyAlignment="1">
      <alignment horizontal="center"/>
    </xf>
    <xf numFmtId="0" fontId="0" fillId="0" borderId="17" xfId="0" applyBorder="1" applyAlignment="1">
      <alignment horizontal="center"/>
    </xf>
    <xf numFmtId="0" fontId="0" fillId="0" borderId="74" xfId="0" applyBorder="1" applyAlignment="1">
      <alignment horizontal="center"/>
    </xf>
    <xf numFmtId="0" fontId="0" fillId="0" borderId="49" xfId="0" applyBorder="1" applyAlignment="1">
      <alignment horizontal="center"/>
    </xf>
    <xf numFmtId="0" fontId="0" fillId="0" borderId="20" xfId="0" applyBorder="1" applyAlignment="1">
      <alignment horizontal="center"/>
    </xf>
    <xf numFmtId="0" fontId="0" fillId="77" borderId="0" xfId="0" applyFill="1"/>
    <xf numFmtId="0" fontId="0" fillId="74" borderId="0" xfId="0" applyFill="1"/>
    <xf numFmtId="0" fontId="0" fillId="0" borderId="104" xfId="0" applyBorder="1"/>
    <xf numFmtId="0" fontId="0" fillId="0" borderId="105" xfId="0" applyBorder="1"/>
    <xf numFmtId="0" fontId="0" fillId="0" borderId="106" xfId="0" applyBorder="1"/>
    <xf numFmtId="166" fontId="1" fillId="35" borderId="10" xfId="1997" applyNumberFormat="1" applyFont="1" applyFill="1" applyBorder="1" applyAlignment="1" applyProtection="1">
      <alignment horizontal="right" vertical="center" indent="1"/>
      <protection hidden="1"/>
    </xf>
    <xf numFmtId="166" fontId="1" fillId="35" borderId="41" xfId="1997" applyNumberFormat="1" applyFont="1" applyFill="1" applyBorder="1" applyAlignment="1" applyProtection="1">
      <alignment horizontal="right" vertical="center" indent="1"/>
      <protection hidden="1"/>
    </xf>
    <xf numFmtId="168" fontId="1" fillId="35" borderId="32" xfId="1997" applyNumberFormat="1" applyFont="1" applyFill="1" applyBorder="1" applyAlignment="1" applyProtection="1">
      <alignment horizontal="right" vertical="center" indent="1"/>
      <protection hidden="1"/>
    </xf>
    <xf numFmtId="168" fontId="1" fillId="35" borderId="11" xfId="1997" applyNumberFormat="1" applyFont="1" applyFill="1" applyBorder="1" applyAlignment="1" applyProtection="1">
      <alignment horizontal="right" vertical="center" indent="1"/>
      <protection hidden="1"/>
    </xf>
    <xf numFmtId="168" fontId="1" fillId="35" borderId="33" xfId="1997" applyNumberFormat="1" applyFont="1" applyFill="1" applyBorder="1" applyAlignment="1" applyProtection="1">
      <alignment horizontal="right" vertical="center" indent="1"/>
      <protection hidden="1"/>
    </xf>
    <xf numFmtId="168" fontId="1" fillId="35" borderId="17" xfId="1997" applyNumberFormat="1" applyFont="1" applyFill="1" applyBorder="1" applyAlignment="1" applyProtection="1">
      <alignment horizontal="right" vertical="center" indent="1"/>
      <protection hidden="1"/>
    </xf>
    <xf numFmtId="168" fontId="1" fillId="35" borderId="20" xfId="1997" applyNumberFormat="1" applyFont="1" applyFill="1" applyBorder="1" applyAlignment="1" applyProtection="1">
      <alignment horizontal="right" vertical="center" indent="1"/>
      <protection hidden="1"/>
    </xf>
    <xf numFmtId="7" fontId="0" fillId="35" borderId="38" xfId="0" applyNumberFormat="1" applyFill="1" applyBorder="1" applyAlignment="1" applyProtection="1">
      <alignment horizontal="right" vertical="center"/>
      <protection hidden="1"/>
    </xf>
    <xf numFmtId="166" fontId="1" fillId="35" borderId="69" xfId="1997" applyNumberFormat="1" applyFont="1" applyFill="1" applyBorder="1" applyAlignment="1" applyProtection="1">
      <alignment horizontal="right" vertical="center" indent="1"/>
      <protection hidden="1"/>
    </xf>
    <xf numFmtId="168" fontId="1" fillId="35" borderId="31" xfId="1997" applyNumberFormat="1" applyFont="1" applyFill="1" applyBorder="1" applyAlignment="1" applyProtection="1">
      <alignment horizontal="right" vertical="center" indent="1"/>
      <protection hidden="1"/>
    </xf>
    <xf numFmtId="168" fontId="1" fillId="35" borderId="34" xfId="1997" applyNumberFormat="1" applyFont="1" applyFill="1" applyBorder="1" applyAlignment="1" applyProtection="1">
      <alignment horizontal="right" vertical="center" indent="1"/>
      <protection hidden="1"/>
    </xf>
    <xf numFmtId="168" fontId="1" fillId="35" borderId="35" xfId="1997" applyNumberFormat="1" applyFont="1" applyFill="1" applyBorder="1" applyAlignment="1" applyProtection="1">
      <alignment horizontal="right" vertical="center" indent="1"/>
      <protection hidden="1"/>
    </xf>
    <xf numFmtId="0" fontId="0" fillId="33" borderId="103" xfId="0" applyFill="1" applyBorder="1" applyAlignment="1" applyProtection="1">
      <alignment vertical="center" wrapText="1"/>
      <protection locked="0"/>
    </xf>
    <xf numFmtId="175" fontId="0" fillId="35" borderId="73" xfId="0" applyNumberFormat="1" applyFill="1" applyBorder="1" applyAlignment="1" applyProtection="1">
      <alignment vertical="center" wrapText="1"/>
      <protection hidden="1"/>
    </xf>
    <xf numFmtId="175" fontId="0" fillId="35" borderId="16" xfId="0" applyNumberFormat="1" applyFill="1" applyBorder="1" applyAlignment="1" applyProtection="1">
      <alignment vertical="center" wrapText="1"/>
      <protection hidden="1"/>
    </xf>
    <xf numFmtId="175" fontId="0" fillId="35" borderId="68" xfId="0" applyNumberFormat="1" applyFill="1" applyBorder="1" applyAlignment="1" applyProtection="1">
      <alignment vertical="center" wrapText="1"/>
      <protection hidden="1"/>
    </xf>
    <xf numFmtId="0" fontId="0" fillId="34" borderId="52" xfId="0" applyFill="1" applyBorder="1" applyAlignment="1" applyProtection="1">
      <alignment vertical="center" wrapText="1"/>
      <protection hidden="1"/>
    </xf>
    <xf numFmtId="0" fontId="0" fillId="34" borderId="36" xfId="0" applyFill="1" applyBorder="1" applyAlignment="1" applyProtection="1">
      <alignment vertical="center" wrapText="1"/>
      <protection hidden="1"/>
    </xf>
    <xf numFmtId="0" fontId="0" fillId="34" borderId="91" xfId="0" applyFill="1" applyBorder="1" applyAlignment="1" applyProtection="1">
      <alignment vertical="center" wrapText="1"/>
      <protection hidden="1"/>
    </xf>
    <xf numFmtId="2" fontId="0" fillId="35" borderId="103" xfId="0" applyNumberFormat="1" applyFill="1" applyBorder="1" applyAlignment="1" applyProtection="1">
      <alignment vertical="center" wrapText="1"/>
      <protection hidden="1"/>
    </xf>
    <xf numFmtId="0" fontId="16" fillId="0" borderId="90" xfId="0" applyFont="1" applyBorder="1" applyAlignment="1">
      <alignment horizontal="center"/>
    </xf>
    <xf numFmtId="0" fontId="16" fillId="0" borderId="107" xfId="0" applyFont="1" applyBorder="1" applyAlignment="1">
      <alignment horizontal="center"/>
    </xf>
    <xf numFmtId="0" fontId="16" fillId="0" borderId="86" xfId="0" applyFont="1" applyBorder="1" applyAlignment="1">
      <alignment horizontal="center"/>
    </xf>
    <xf numFmtId="168" fontId="1" fillId="35" borderId="53" xfId="1997" applyNumberFormat="1" applyFont="1" applyFill="1" applyBorder="1" applyAlignment="1" applyProtection="1">
      <alignment horizontal="right" vertical="center" indent="1"/>
      <protection hidden="1"/>
    </xf>
    <xf numFmtId="168" fontId="1" fillId="35" borderId="62" xfId="1997" applyNumberFormat="1" applyFont="1" applyFill="1" applyBorder="1" applyAlignment="1" applyProtection="1">
      <alignment horizontal="right" vertical="center" indent="1"/>
      <protection hidden="1"/>
    </xf>
    <xf numFmtId="168" fontId="1" fillId="35" borderId="84" xfId="1997" applyNumberFormat="1" applyFont="1" applyFill="1" applyBorder="1" applyAlignment="1" applyProtection="1">
      <alignment horizontal="right" vertical="center" indent="1"/>
      <protection hidden="1"/>
    </xf>
    <xf numFmtId="168" fontId="1" fillId="35" borderId="14" xfId="1997" applyNumberFormat="1" applyFont="1" applyFill="1" applyBorder="1" applyAlignment="1" applyProtection="1">
      <alignment horizontal="right" vertical="center" indent="1"/>
      <protection hidden="1"/>
    </xf>
    <xf numFmtId="166" fontId="1" fillId="35" borderId="17" xfId="1997" applyNumberFormat="1" applyFont="1" applyFill="1" applyBorder="1" applyAlignment="1" applyProtection="1">
      <alignment horizontal="right" vertical="center" indent="1"/>
      <protection hidden="1"/>
    </xf>
    <xf numFmtId="0" fontId="0" fillId="78" borderId="0" xfId="0" applyFill="1"/>
    <xf numFmtId="164" fontId="0" fillId="34" borderId="103" xfId="0" applyNumberFormat="1" applyFill="1" applyBorder="1" applyAlignment="1">
      <alignment horizontal="center" vertical="center"/>
    </xf>
    <xf numFmtId="2" fontId="0" fillId="34" borderId="103" xfId="0" applyNumberFormat="1" applyFill="1" applyBorder="1" applyAlignment="1">
      <alignment horizontal="center" vertical="center"/>
    </xf>
    <xf numFmtId="0" fontId="0" fillId="35" borderId="103" xfId="0" applyFill="1" applyBorder="1"/>
    <xf numFmtId="0" fontId="60" fillId="61" borderId="103" xfId="0" applyFont="1" applyFill="1" applyBorder="1" applyAlignment="1">
      <alignment wrapText="1"/>
    </xf>
    <xf numFmtId="0" fontId="59" fillId="61" borderId="103" xfId="0" applyFont="1" applyFill="1" applyBorder="1" applyAlignment="1">
      <alignment wrapText="1"/>
    </xf>
    <xf numFmtId="3" fontId="97" fillId="0" borderId="103" xfId="0" applyNumberFormat="1" applyFont="1" applyBorder="1" applyAlignment="1">
      <alignment horizontal="center" vertical="center" wrapText="1"/>
    </xf>
    <xf numFmtId="2" fontId="0" fillId="34" borderId="103" xfId="0" applyNumberFormat="1" applyFill="1" applyBorder="1" applyAlignment="1" applyProtection="1">
      <alignment horizontal="left" vertical="center"/>
      <protection hidden="1"/>
    </xf>
    <xf numFmtId="0" fontId="0" fillId="35" borderId="103" xfId="0" applyFill="1" applyBorder="1" applyAlignment="1" applyProtection="1">
      <alignment vertical="center" wrapText="1"/>
      <protection hidden="1"/>
    </xf>
    <xf numFmtId="4" fontId="0" fillId="35" borderId="103" xfId="0" applyNumberFormat="1" applyFill="1" applyBorder="1" applyAlignment="1" applyProtection="1">
      <alignment horizontal="right" vertical="center" wrapText="1"/>
      <protection hidden="1"/>
    </xf>
    <xf numFmtId="4" fontId="0" fillId="35" borderId="103" xfId="0" applyNumberFormat="1" applyFill="1" applyBorder="1" applyAlignment="1" applyProtection="1">
      <alignment vertical="center" wrapText="1"/>
      <protection hidden="1"/>
    </xf>
    <xf numFmtId="3" fontId="0" fillId="35" borderId="103" xfId="0" applyNumberFormat="1" applyFill="1" applyBorder="1" applyAlignment="1" applyProtection="1">
      <alignment vertical="center" wrapText="1"/>
      <protection hidden="1"/>
    </xf>
    <xf numFmtId="0" fontId="17" fillId="78" borderId="59" xfId="0" applyFont="1" applyFill="1" applyBorder="1" applyAlignment="1" applyProtection="1">
      <alignment horizontal="left" vertical="center" indent="1"/>
      <protection hidden="1"/>
    </xf>
    <xf numFmtId="0" fontId="17" fillId="78" borderId="39" xfId="0" applyFont="1" applyFill="1" applyBorder="1" applyAlignment="1" applyProtection="1">
      <alignment horizontal="left" vertical="center" indent="1"/>
      <protection hidden="1"/>
    </xf>
    <xf numFmtId="0" fontId="17" fillId="78" borderId="40" xfId="0" applyFont="1" applyFill="1" applyBorder="1" applyAlignment="1" applyProtection="1">
      <alignment horizontal="left" vertical="center" indent="1"/>
      <protection hidden="1"/>
    </xf>
    <xf numFmtId="0" fontId="108" fillId="78" borderId="46" xfId="0" applyFont="1" applyFill="1" applyBorder="1" applyAlignment="1" applyProtection="1">
      <alignment horizontal="left" vertical="center" indent="1"/>
      <protection hidden="1"/>
    </xf>
    <xf numFmtId="0" fontId="17" fillId="78" borderId="54" xfId="0" applyFont="1" applyFill="1" applyBorder="1" applyAlignment="1" applyProtection="1">
      <alignment horizontal="left" vertical="center" indent="1"/>
      <protection hidden="1"/>
    </xf>
    <xf numFmtId="0" fontId="17" fillId="78" borderId="61" xfId="0" applyFont="1" applyFill="1" applyBorder="1" applyAlignment="1" applyProtection="1">
      <alignment horizontal="left" vertical="center" indent="1"/>
      <protection hidden="1"/>
    </xf>
    <xf numFmtId="0" fontId="17" fillId="78" borderId="63" xfId="0" applyFont="1" applyFill="1" applyBorder="1" applyAlignment="1" applyProtection="1">
      <alignment horizontal="left" vertical="center" indent="1"/>
      <protection hidden="1"/>
    </xf>
    <xf numFmtId="166" fontId="108" fillId="78" borderId="75" xfId="1997" applyNumberFormat="1" applyFont="1" applyFill="1" applyBorder="1" applyAlignment="1" applyProtection="1">
      <alignment horizontal="center" vertical="center" wrapText="1"/>
      <protection hidden="1"/>
    </xf>
    <xf numFmtId="166" fontId="108" fillId="78" borderId="97" xfId="1997" applyNumberFormat="1" applyFont="1" applyFill="1" applyBorder="1" applyAlignment="1" applyProtection="1">
      <alignment horizontal="center" vertical="center" wrapText="1"/>
      <protection hidden="1"/>
    </xf>
    <xf numFmtId="0" fontId="108" fillId="78" borderId="77" xfId="0" applyFont="1" applyFill="1" applyBorder="1" applyAlignment="1" applyProtection="1">
      <alignment horizontal="center" vertical="center" wrapText="1"/>
      <protection hidden="1"/>
    </xf>
    <xf numFmtId="0" fontId="108" fillId="78" borderId="48" xfId="0" applyFont="1" applyFill="1" applyBorder="1" applyAlignment="1" applyProtection="1">
      <alignment horizontal="center" vertical="center" wrapText="1"/>
      <protection hidden="1"/>
    </xf>
    <xf numFmtId="0" fontId="108" fillId="78" borderId="37" xfId="0" applyFont="1" applyFill="1" applyBorder="1" applyAlignment="1" applyProtection="1">
      <alignment horizontal="center" vertical="center"/>
      <protection hidden="1"/>
    </xf>
    <xf numFmtId="37" fontId="17" fillId="78" borderId="43" xfId="0" applyNumberFormat="1" applyFont="1" applyFill="1" applyBorder="1" applyAlignment="1" applyProtection="1">
      <alignment horizontal="right" vertical="center"/>
      <protection hidden="1"/>
    </xf>
    <xf numFmtId="37" fontId="17" fillId="78" borderId="44" xfId="0" applyNumberFormat="1" applyFont="1" applyFill="1" applyBorder="1" applyAlignment="1" applyProtection="1">
      <alignment horizontal="right" vertical="center"/>
      <protection hidden="1"/>
    </xf>
    <xf numFmtId="39" fontId="17" fillId="78" borderId="45" xfId="0" applyNumberFormat="1" applyFont="1" applyFill="1" applyBorder="1" applyAlignment="1" applyProtection="1">
      <alignment horizontal="right" vertical="center"/>
      <protection hidden="1"/>
    </xf>
    <xf numFmtId="39" fontId="17" fillId="78" borderId="48" xfId="0" applyNumberFormat="1" applyFont="1" applyFill="1" applyBorder="1" applyAlignment="1" applyProtection="1">
      <alignment horizontal="right" vertical="center"/>
      <protection hidden="1"/>
    </xf>
    <xf numFmtId="7" fontId="17" fillId="78" borderId="37" xfId="0" applyNumberFormat="1" applyFont="1" applyFill="1" applyBorder="1" applyAlignment="1" applyProtection="1">
      <alignment horizontal="right" vertical="center"/>
      <protection hidden="1"/>
    </xf>
    <xf numFmtId="14" fontId="13" fillId="78" borderId="51" xfId="0" applyNumberFormat="1" applyFont="1" applyFill="1" applyBorder="1" applyAlignment="1" applyProtection="1">
      <alignment vertical="center"/>
      <protection hidden="1"/>
    </xf>
    <xf numFmtId="14" fontId="13" fillId="78" borderId="52" xfId="0" applyNumberFormat="1" applyFont="1" applyFill="1" applyBorder="1" applyAlignment="1" applyProtection="1">
      <alignment vertical="center"/>
      <protection hidden="1"/>
    </xf>
    <xf numFmtId="14" fontId="13" fillId="78" borderId="53" xfId="0" applyNumberFormat="1" applyFont="1" applyFill="1" applyBorder="1" applyAlignment="1" applyProtection="1">
      <alignment vertical="center"/>
      <protection hidden="1"/>
    </xf>
    <xf numFmtId="0" fontId="13" fillId="78" borderId="69" xfId="0" applyFont="1" applyFill="1" applyBorder="1" applyAlignment="1" applyProtection="1">
      <alignment horizontal="center" vertical="center" wrapText="1"/>
      <protection hidden="1"/>
    </xf>
    <xf numFmtId="0" fontId="13" fillId="78" borderId="31" xfId="0" applyFont="1" applyFill="1" applyBorder="1" applyAlignment="1" applyProtection="1">
      <alignment horizontal="center" vertical="center" wrapText="1"/>
      <protection hidden="1"/>
    </xf>
    <xf numFmtId="0" fontId="109" fillId="78" borderId="31" xfId="0" applyFont="1" applyFill="1" applyBorder="1" applyAlignment="1" applyProtection="1">
      <alignment horizontal="center" vertical="center" wrapText="1"/>
      <protection hidden="1"/>
    </xf>
    <xf numFmtId="0" fontId="13" fillId="78" borderId="34" xfId="0" applyFont="1" applyFill="1" applyBorder="1" applyAlignment="1" applyProtection="1">
      <alignment horizontal="center" vertical="center" wrapText="1"/>
      <protection hidden="1"/>
    </xf>
    <xf numFmtId="0" fontId="13" fillId="78" borderId="70" xfId="0" applyFont="1" applyFill="1" applyBorder="1" applyAlignment="1" applyProtection="1">
      <alignment horizontal="center" vertical="center" wrapText="1"/>
      <protection hidden="1"/>
    </xf>
    <xf numFmtId="0" fontId="13" fillId="78" borderId="69" xfId="0" applyFont="1" applyFill="1" applyBorder="1" applyAlignment="1" applyProtection="1">
      <alignment vertical="center" wrapText="1"/>
      <protection hidden="1"/>
    </xf>
    <xf numFmtId="0" fontId="13" fillId="78" borderId="34" xfId="0" applyFont="1" applyFill="1" applyBorder="1" applyAlignment="1" applyProtection="1">
      <alignment vertical="center" wrapText="1"/>
      <protection hidden="1"/>
    </xf>
    <xf numFmtId="0" fontId="13" fillId="78" borderId="35" xfId="0" applyFont="1" applyFill="1" applyBorder="1" applyAlignment="1" applyProtection="1">
      <alignment vertical="center" wrapText="1"/>
      <protection hidden="1"/>
    </xf>
    <xf numFmtId="0" fontId="13" fillId="78" borderId="70" xfId="0" applyFont="1" applyFill="1" applyBorder="1" applyAlignment="1" applyProtection="1">
      <alignment vertical="center" wrapText="1"/>
      <protection hidden="1"/>
    </xf>
    <xf numFmtId="14" fontId="13" fillId="78" borderId="52" xfId="0" applyNumberFormat="1" applyFont="1" applyFill="1" applyBorder="1" applyAlignment="1" applyProtection="1">
      <alignment horizontal="left" vertical="center"/>
      <protection hidden="1"/>
    </xf>
    <xf numFmtId="0" fontId="13" fillId="78" borderId="31" xfId="0" applyFont="1" applyFill="1" applyBorder="1" applyAlignment="1" applyProtection="1">
      <alignment vertical="center" wrapText="1"/>
      <protection hidden="1"/>
    </xf>
    <xf numFmtId="14" fontId="13" fillId="78" borderId="53" xfId="0" applyNumberFormat="1" applyFont="1" applyFill="1" applyBorder="1" applyAlignment="1" applyProtection="1">
      <alignment horizontal="left" vertical="center"/>
      <protection hidden="1"/>
    </xf>
    <xf numFmtId="0" fontId="13" fillId="78" borderId="18" xfId="0" applyFont="1" applyFill="1" applyBorder="1" applyAlignment="1" applyProtection="1">
      <alignment vertical="center" wrapText="1"/>
      <protection hidden="1"/>
    </xf>
    <xf numFmtId="0" fontId="13" fillId="78" borderId="49" xfId="0" applyFont="1" applyFill="1" applyBorder="1" applyAlignment="1" applyProtection="1">
      <alignment vertical="center" wrapText="1"/>
      <protection hidden="1"/>
    </xf>
    <xf numFmtId="0" fontId="13" fillId="78" borderId="19" xfId="0" applyFont="1" applyFill="1" applyBorder="1" applyAlignment="1" applyProtection="1">
      <alignment vertical="center" wrapText="1"/>
      <protection hidden="1"/>
    </xf>
    <xf numFmtId="0" fontId="13" fillId="78" borderId="20" xfId="0" applyFont="1" applyFill="1" applyBorder="1" applyAlignment="1" applyProtection="1">
      <alignment vertical="center" wrapText="1"/>
      <protection hidden="1"/>
    </xf>
    <xf numFmtId="0" fontId="13" fillId="78" borderId="43" xfId="0" applyFont="1" applyFill="1" applyBorder="1" applyAlignment="1" applyProtection="1">
      <alignment vertical="center" wrapText="1"/>
      <protection hidden="1"/>
    </xf>
    <xf numFmtId="0" fontId="13" fillId="78" borderId="76" xfId="0" applyFont="1" applyFill="1" applyBorder="1" applyAlignment="1" applyProtection="1">
      <alignment vertical="center" wrapText="1"/>
      <protection hidden="1"/>
    </xf>
    <xf numFmtId="0" fontId="13" fillId="78" borderId="77" xfId="0" applyFont="1" applyFill="1" applyBorder="1" applyAlignment="1" applyProtection="1">
      <alignment vertical="center" wrapText="1"/>
      <protection hidden="1"/>
    </xf>
    <xf numFmtId="0" fontId="13" fillId="78" borderId="84" xfId="0" applyFont="1" applyFill="1" applyBorder="1" applyAlignment="1" applyProtection="1">
      <alignment vertical="center" wrapText="1"/>
      <protection hidden="1"/>
    </xf>
    <xf numFmtId="0" fontId="13" fillId="78" borderId="51" xfId="0" applyFont="1" applyFill="1" applyBorder="1" applyAlignment="1" applyProtection="1">
      <alignment vertical="center"/>
      <protection hidden="1"/>
    </xf>
    <xf numFmtId="0" fontId="13" fillId="78" borderId="52" xfId="0" applyFont="1" applyFill="1" applyBorder="1" applyAlignment="1" applyProtection="1">
      <alignment vertical="center"/>
      <protection hidden="1"/>
    </xf>
    <xf numFmtId="0" fontId="13" fillId="78" borderId="63" xfId="0" applyFont="1" applyFill="1" applyBorder="1" applyAlignment="1" applyProtection="1">
      <alignment vertical="center" wrapText="1"/>
      <protection hidden="1"/>
    </xf>
    <xf numFmtId="0" fontId="13" fillId="78" borderId="87" xfId="0" applyFont="1" applyFill="1" applyBorder="1" applyAlignment="1" applyProtection="1">
      <alignment vertical="center" wrapText="1"/>
      <protection hidden="1"/>
    </xf>
    <xf numFmtId="0" fontId="13" fillId="78" borderId="78" xfId="0" applyFont="1" applyFill="1" applyBorder="1" applyAlignment="1" applyProtection="1">
      <alignment vertical="center" wrapText="1"/>
      <protection hidden="1"/>
    </xf>
    <xf numFmtId="0" fontId="13" fillId="78" borderId="79" xfId="0" applyFont="1" applyFill="1" applyBorder="1" applyAlignment="1" applyProtection="1">
      <alignment vertical="center" wrapText="1"/>
      <protection hidden="1"/>
    </xf>
    <xf numFmtId="0" fontId="13" fillId="78" borderId="80" xfId="0" applyFont="1" applyFill="1" applyBorder="1" applyAlignment="1" applyProtection="1">
      <alignment vertical="center" wrapText="1"/>
      <protection hidden="1"/>
    </xf>
    <xf numFmtId="0" fontId="110" fillId="34" borderId="0" xfId="0" applyFont="1" applyFill="1" applyProtection="1">
      <protection hidden="1"/>
    </xf>
    <xf numFmtId="0" fontId="111" fillId="34" borderId="0" xfId="0" applyFont="1" applyFill="1" applyProtection="1">
      <protection hidden="1"/>
    </xf>
    <xf numFmtId="0" fontId="112" fillId="34" borderId="0" xfId="0" applyFont="1" applyFill="1" applyProtection="1">
      <protection hidden="1"/>
    </xf>
    <xf numFmtId="0" fontId="112" fillId="34" borderId="0" xfId="0" applyFont="1" applyFill="1" applyAlignment="1" applyProtection="1">
      <alignment vertical="center"/>
      <protection hidden="1"/>
    </xf>
    <xf numFmtId="0" fontId="112" fillId="34" borderId="0" xfId="0" applyFont="1" applyFill="1" applyAlignment="1" applyProtection="1">
      <alignment vertical="center" wrapText="1"/>
      <protection hidden="1"/>
    </xf>
    <xf numFmtId="0" fontId="113" fillId="34" borderId="0" xfId="0" applyFont="1" applyFill="1" applyProtection="1">
      <protection hidden="1"/>
    </xf>
    <xf numFmtId="0" fontId="0" fillId="33" borderId="61" xfId="0" applyFill="1" applyBorder="1" applyAlignment="1" applyProtection="1">
      <alignment horizontal="center" vertical="center"/>
      <protection locked="0"/>
    </xf>
    <xf numFmtId="0" fontId="0" fillId="33" borderId="62" xfId="0" applyFill="1" applyBorder="1" applyAlignment="1" applyProtection="1">
      <alignment horizontal="center" vertical="center"/>
      <protection locked="0"/>
    </xf>
    <xf numFmtId="171" fontId="22" fillId="33" borderId="61" xfId="2000" applyNumberFormat="1" applyFont="1" applyFill="1" applyBorder="1" applyAlignment="1" applyProtection="1">
      <alignment horizontal="center" vertical="center"/>
      <protection locked="0" hidden="1"/>
    </xf>
    <xf numFmtId="171" fontId="22" fillId="33" borderId="62" xfId="2000" applyNumberFormat="1" applyFont="1" applyFill="1" applyBorder="1" applyAlignment="1" applyProtection="1">
      <alignment horizontal="center" vertical="center"/>
      <protection locked="0" hidden="1"/>
    </xf>
    <xf numFmtId="171" fontId="22" fillId="33" borderId="64" xfId="2000" applyNumberFormat="1" applyFont="1" applyFill="1" applyBorder="1" applyAlignment="1" applyProtection="1">
      <alignment horizontal="center" vertical="center"/>
      <protection locked="0" hidden="1"/>
    </xf>
    <xf numFmtId="171" fontId="22" fillId="33" borderId="84" xfId="2000" applyNumberFormat="1" applyFont="1" applyFill="1" applyBorder="1" applyAlignment="1" applyProtection="1">
      <alignment horizontal="center" vertical="center"/>
      <protection locked="0" hidden="1"/>
    </xf>
    <xf numFmtId="0" fontId="56" fillId="34" borderId="0" xfId="0" applyFont="1" applyFill="1" applyAlignment="1" applyProtection="1">
      <alignment horizontal="left"/>
      <protection hidden="1"/>
    </xf>
    <xf numFmtId="0" fontId="27" fillId="34" borderId="0" xfId="0" applyFont="1" applyFill="1" applyAlignment="1" applyProtection="1">
      <alignment horizontal="left"/>
      <protection hidden="1"/>
    </xf>
    <xf numFmtId="0" fontId="28" fillId="34" borderId="0" xfId="0" applyFont="1" applyFill="1" applyAlignment="1" applyProtection="1">
      <alignment horizontal="left" vertical="center" wrapText="1"/>
      <protection hidden="1"/>
    </xf>
    <xf numFmtId="14" fontId="0" fillId="33" borderId="51" xfId="0" applyNumberFormat="1" applyFill="1" applyBorder="1" applyAlignment="1" applyProtection="1">
      <alignment horizontal="center" vertical="center"/>
      <protection locked="0"/>
    </xf>
    <xf numFmtId="14" fontId="0" fillId="33" borderId="53" xfId="0" applyNumberFormat="1" applyFill="1" applyBorder="1" applyAlignment="1" applyProtection="1">
      <alignment horizontal="center" vertical="center"/>
      <protection locked="0"/>
    </xf>
    <xf numFmtId="0" fontId="0" fillId="35" borderId="61" xfId="0" applyFill="1" applyBorder="1" applyAlignment="1" applyProtection="1">
      <alignment horizontal="center" vertical="center"/>
      <protection hidden="1"/>
    </xf>
    <xf numFmtId="0" fontId="0" fillId="35" borderId="62" xfId="0" applyFill="1" applyBorder="1" applyAlignment="1" applyProtection="1">
      <alignment horizontal="center" vertical="center"/>
      <protection hidden="1"/>
    </xf>
    <xf numFmtId="14" fontId="0" fillId="33" borderId="61" xfId="0" applyNumberFormat="1" applyFill="1" applyBorder="1" applyAlignment="1" applyProtection="1">
      <alignment horizontal="center" vertical="center"/>
      <protection locked="0"/>
    </xf>
    <xf numFmtId="14" fontId="0" fillId="33" borderId="62" xfId="0" applyNumberFormat="1" applyFill="1" applyBorder="1" applyAlignment="1" applyProtection="1">
      <alignment horizontal="center" vertical="center"/>
      <protection locked="0"/>
    </xf>
    <xf numFmtId="165" fontId="0" fillId="33" borderId="61" xfId="0" applyNumberFormat="1" applyFill="1" applyBorder="1" applyAlignment="1" applyProtection="1">
      <alignment horizontal="center" vertical="center"/>
      <protection locked="0"/>
    </xf>
    <xf numFmtId="165" fontId="0" fillId="33" borderId="62" xfId="0" applyNumberFormat="1" applyFill="1" applyBorder="1" applyAlignment="1" applyProtection="1">
      <alignment horizontal="center" vertical="center"/>
      <protection locked="0"/>
    </xf>
    <xf numFmtId="0" fontId="49"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49" fillId="0" borderId="0" xfId="0" applyFont="1" applyAlignment="1" applyProtection="1">
      <alignment horizontal="left" vertical="top"/>
      <protection locked="0"/>
    </xf>
    <xf numFmtId="0" fontId="48" fillId="0" borderId="0" xfId="0" applyFont="1" applyAlignment="1" applyProtection="1">
      <alignment horizontal="left" vertical="center" wrapText="1"/>
      <protection locked="0"/>
    </xf>
    <xf numFmtId="0" fontId="13" fillId="59" borderId="0" xfId="0" applyFont="1" applyFill="1" applyAlignment="1" applyProtection="1">
      <alignment horizontal="center" vertical="center"/>
      <protection locked="0"/>
    </xf>
    <xf numFmtId="0" fontId="47" fillId="0" borderId="0" xfId="0" applyFont="1" applyAlignment="1" applyProtection="1">
      <alignment horizontal="left" vertical="top"/>
      <protection locked="0"/>
    </xf>
    <xf numFmtId="165" fontId="85" fillId="34" borderId="0" xfId="0" applyNumberFormat="1" applyFont="1" applyFill="1" applyAlignment="1">
      <alignment horizontal="center" vertical="center"/>
    </xf>
    <xf numFmtId="0" fontId="86" fillId="64" borderId="33" xfId="0" applyFont="1" applyFill="1" applyBorder="1" applyAlignment="1">
      <alignment horizontal="center" vertical="center" wrapText="1"/>
    </xf>
    <xf numFmtId="0" fontId="86" fillId="64" borderId="32" xfId="0" applyFont="1" applyFill="1" applyBorder="1" applyAlignment="1">
      <alignment horizontal="center" vertical="center" wrapText="1"/>
    </xf>
    <xf numFmtId="165" fontId="82" fillId="34" borderId="83" xfId="0" applyNumberFormat="1" applyFont="1" applyFill="1" applyBorder="1" applyAlignment="1">
      <alignment horizontal="center" vertical="center"/>
    </xf>
    <xf numFmtId="0" fontId="59" fillId="34" borderId="0" xfId="0" applyFont="1" applyFill="1" applyAlignment="1">
      <alignment horizontal="center" vertical="center"/>
    </xf>
    <xf numFmtId="3" fontId="80" fillId="34" borderId="0" xfId="0" applyNumberFormat="1" applyFont="1" applyFill="1" applyAlignment="1">
      <alignment horizontal="center" vertical="center"/>
    </xf>
    <xf numFmtId="0" fontId="78" fillId="34" borderId="0" xfId="0" applyFont="1" applyFill="1" applyAlignment="1">
      <alignment horizontal="left" vertical="center"/>
    </xf>
    <xf numFmtId="9" fontId="82" fillId="34" borderId="83" xfId="1998" applyFont="1" applyFill="1" applyBorder="1" applyAlignment="1">
      <alignment horizontal="center" vertical="center"/>
    </xf>
    <xf numFmtId="170" fontId="80" fillId="34" borderId="0" xfId="0" applyNumberFormat="1" applyFont="1" applyFill="1" applyAlignment="1">
      <alignment horizontal="center" vertical="center"/>
    </xf>
    <xf numFmtId="0" fontId="70" fillId="34" borderId="0" xfId="0" applyFont="1" applyFill="1" applyAlignment="1">
      <alignment horizontal="center" vertical="center" wrapText="1"/>
    </xf>
    <xf numFmtId="0" fontId="71" fillId="34" borderId="0" xfId="0" applyFont="1" applyFill="1" applyAlignment="1">
      <alignment horizontal="center" vertical="center" wrapText="1"/>
    </xf>
    <xf numFmtId="0" fontId="75" fillId="34" borderId="0" xfId="0" applyFont="1" applyFill="1" applyAlignment="1">
      <alignment horizontal="left" vertical="center" wrapText="1"/>
    </xf>
    <xf numFmtId="0" fontId="76" fillId="64" borderId="10" xfId="0" applyFont="1" applyFill="1" applyBorder="1" applyAlignment="1">
      <alignment horizontal="center" vertical="center" wrapText="1"/>
    </xf>
    <xf numFmtId="0" fontId="78" fillId="34" borderId="0" xfId="0" applyFont="1" applyFill="1" applyAlignment="1">
      <alignment horizontal="center" vertical="center"/>
    </xf>
    <xf numFmtId="0" fontId="57" fillId="34" borderId="21" xfId="42" applyFont="1" applyFill="1" applyBorder="1" applyAlignment="1" applyProtection="1">
      <alignment horizontal="left" vertical="center"/>
      <protection hidden="1"/>
    </xf>
    <xf numFmtId="0" fontId="25" fillId="34" borderId="21" xfId="42" applyFont="1" applyFill="1" applyBorder="1" applyAlignment="1" applyProtection="1">
      <alignment horizontal="left" vertical="center"/>
      <protection hidden="1"/>
    </xf>
    <xf numFmtId="0" fontId="0" fillId="33" borderId="10" xfId="0" applyFill="1" applyBorder="1" applyAlignment="1">
      <alignment horizontal="left" vertical="center" indent="1"/>
    </xf>
    <xf numFmtId="0" fontId="0" fillId="35" borderId="10" xfId="0" applyFill="1" applyBorder="1" applyAlignment="1">
      <alignment horizontal="left" vertical="center" indent="1"/>
    </xf>
    <xf numFmtId="0" fontId="57" fillId="34" borderId="0" xfId="42" applyFont="1" applyFill="1" applyAlignment="1" applyProtection="1">
      <alignment horizontal="left" vertical="center"/>
      <protection hidden="1"/>
    </xf>
    <xf numFmtId="0" fontId="25" fillId="34" borderId="0" xfId="42" applyFont="1" applyFill="1" applyAlignment="1" applyProtection="1">
      <alignment horizontal="left" vertical="center"/>
      <protection hidden="1"/>
    </xf>
    <xf numFmtId="0" fontId="106" fillId="34" borderId="0" xfId="42" applyFont="1" applyFill="1" applyAlignment="1" applyProtection="1">
      <alignment horizontal="left" vertical="center" wrapText="1"/>
      <protection hidden="1"/>
    </xf>
    <xf numFmtId="0" fontId="107" fillId="34" borderId="0" xfId="42" applyFont="1" applyFill="1" applyAlignment="1" applyProtection="1">
      <alignment horizontal="left" vertical="center" wrapText="1"/>
      <protection hidden="1"/>
    </xf>
    <xf numFmtId="0" fontId="0" fillId="34" borderId="10" xfId="0" applyFill="1" applyBorder="1" applyAlignment="1">
      <alignment horizontal="left" vertical="center" wrapText="1"/>
    </xf>
    <xf numFmtId="0" fontId="22" fillId="34" borderId="0" xfId="42" applyFont="1" applyFill="1" applyAlignment="1" applyProtection="1">
      <alignment horizontal="left" vertical="center" wrapText="1"/>
      <protection hidden="1"/>
    </xf>
    <xf numFmtId="0" fontId="0" fillId="34" borderId="16" xfId="0" applyFill="1" applyBorder="1" applyAlignment="1">
      <alignment vertical="center" wrapText="1"/>
    </xf>
    <xf numFmtId="0" fontId="0" fillId="34" borderId="103" xfId="0" applyFill="1" applyBorder="1" applyAlignment="1">
      <alignment vertical="center" wrapText="1"/>
    </xf>
    <xf numFmtId="0" fontId="0" fillId="34" borderId="10" xfId="0" applyFill="1" applyBorder="1" applyAlignment="1">
      <alignment vertical="center" wrapText="1"/>
    </xf>
    <xf numFmtId="0" fontId="22" fillId="34" borderId="0" xfId="42" applyFont="1" applyFill="1" applyAlignment="1" applyProtection="1">
      <alignment vertical="center" wrapText="1"/>
      <protection hidden="1"/>
    </xf>
    <xf numFmtId="0" fontId="0" fillId="34" borderId="16" xfId="0" applyFill="1" applyBorder="1" applyAlignment="1">
      <alignment horizontal="left" vertical="center" wrapText="1"/>
    </xf>
    <xf numFmtId="0" fontId="0" fillId="34" borderId="103" xfId="0" applyFill="1" applyBorder="1" applyAlignment="1">
      <alignment horizontal="left" vertical="center" wrapText="1"/>
    </xf>
    <xf numFmtId="0" fontId="0" fillId="74" borderId="0" xfId="0" applyFill="1" applyAlignment="1">
      <alignment horizontal="center" vertical="top"/>
    </xf>
    <xf numFmtId="0" fontId="0" fillId="34" borderId="35" xfId="0" applyFill="1" applyBorder="1" applyAlignment="1">
      <alignment horizontal="left" vertical="top" wrapText="1"/>
    </xf>
    <xf numFmtId="0" fontId="0" fillId="34" borderId="87" xfId="0" applyFill="1" applyBorder="1" applyAlignment="1">
      <alignment horizontal="left" vertical="top" wrapText="1"/>
    </xf>
    <xf numFmtId="0" fontId="0" fillId="34" borderId="31" xfId="0" applyFill="1" applyBorder="1" applyAlignment="1">
      <alignment horizontal="left" vertical="top" wrapText="1"/>
    </xf>
    <xf numFmtId="0" fontId="0" fillId="34" borderId="88" xfId="0" applyFill="1" applyBorder="1" applyAlignment="1">
      <alignment horizontal="left" vertical="top" wrapText="1"/>
    </xf>
    <xf numFmtId="0" fontId="0" fillId="34" borderId="0" xfId="0" applyFill="1" applyAlignment="1">
      <alignment horizontal="left" vertical="top" wrapText="1"/>
    </xf>
    <xf numFmtId="0" fontId="0" fillId="34" borderId="83" xfId="0" applyFill="1" applyBorder="1" applyAlignment="1">
      <alignment horizontal="left" vertical="top" wrapText="1"/>
    </xf>
    <xf numFmtId="0" fontId="0" fillId="34" borderId="33" xfId="0" applyFill="1" applyBorder="1" applyAlignment="1">
      <alignment horizontal="left" vertical="top" wrapText="1"/>
    </xf>
    <xf numFmtId="0" fontId="0" fillId="34" borderId="21" xfId="0" applyFill="1" applyBorder="1" applyAlignment="1">
      <alignment horizontal="left" vertical="top" wrapText="1"/>
    </xf>
    <xf numFmtId="0" fontId="0" fillId="34" borderId="32" xfId="0" applyFill="1" applyBorder="1" applyAlignment="1">
      <alignment horizontal="left" vertical="top" wrapText="1"/>
    </xf>
    <xf numFmtId="0" fontId="0" fillId="78" borderId="0" xfId="0" applyFill="1" applyAlignment="1">
      <alignment horizontal="center" vertical="top"/>
    </xf>
    <xf numFmtId="0" fontId="16" fillId="0" borderId="46" xfId="0" applyFont="1" applyBorder="1" applyAlignment="1">
      <alignment horizontal="center" vertical="center"/>
    </xf>
    <xf numFmtId="0" fontId="16" fillId="0" borderId="47" xfId="0" applyFont="1" applyBorder="1" applyAlignment="1">
      <alignment horizontal="center" vertical="center"/>
    </xf>
    <xf numFmtId="0" fontId="16" fillId="0" borderId="48" xfId="0" applyFont="1" applyBorder="1" applyAlignment="1">
      <alignment horizontal="center" vertical="center"/>
    </xf>
    <xf numFmtId="0" fontId="16" fillId="75" borderId="0" xfId="0" applyFont="1" applyFill="1" applyAlignment="1">
      <alignment horizontal="center"/>
    </xf>
    <xf numFmtId="0" fontId="16" fillId="76" borderId="55" xfId="0" applyFont="1" applyFill="1" applyBorder="1" applyAlignment="1">
      <alignment horizontal="center"/>
    </xf>
    <xf numFmtId="0" fontId="16" fillId="76" borderId="56" xfId="0" applyFont="1" applyFill="1" applyBorder="1" applyAlignment="1">
      <alignment horizontal="center"/>
    </xf>
    <xf numFmtId="0" fontId="16" fillId="76" borderId="57" xfId="0" applyFont="1" applyFill="1" applyBorder="1" applyAlignment="1">
      <alignment horizontal="center"/>
    </xf>
    <xf numFmtId="0" fontId="18" fillId="36" borderId="43" xfId="0" applyFont="1" applyFill="1" applyBorder="1" applyAlignment="1">
      <alignment horizontal="left"/>
    </xf>
    <xf numFmtId="0" fontId="18" fillId="36" borderId="44" xfId="0" applyFont="1" applyFill="1" applyBorder="1" applyAlignment="1">
      <alignment horizontal="left"/>
    </xf>
    <xf numFmtId="0" fontId="18" fillId="36" borderId="45" xfId="0" applyFont="1" applyFill="1" applyBorder="1" applyAlignment="1">
      <alignment horizontal="left"/>
    </xf>
    <xf numFmtId="0" fontId="18" fillId="36" borderId="75" xfId="0" applyFont="1" applyFill="1" applyBorder="1" applyAlignment="1">
      <alignment horizontal="left"/>
    </xf>
    <xf numFmtId="0" fontId="18" fillId="36" borderId="77" xfId="0" applyFont="1" applyFill="1" applyBorder="1" applyAlignment="1">
      <alignment horizontal="left"/>
    </xf>
    <xf numFmtId="0" fontId="18" fillId="36" borderId="46" xfId="0" applyFont="1" applyFill="1" applyBorder="1" applyAlignment="1">
      <alignment horizontal="center"/>
    </xf>
    <xf numFmtId="0" fontId="18" fillId="36" borderId="47" xfId="0" applyFont="1" applyFill="1" applyBorder="1" applyAlignment="1">
      <alignment horizontal="center"/>
    </xf>
    <xf numFmtId="0" fontId="18" fillId="36" borderId="76" xfId="0" applyFont="1" applyFill="1" applyBorder="1" applyAlignment="1">
      <alignment horizontal="left"/>
    </xf>
    <xf numFmtId="0" fontId="18" fillId="36" borderId="75" xfId="0" applyFont="1" applyFill="1" applyBorder="1" applyAlignment="1">
      <alignment horizontal="center"/>
    </xf>
    <xf numFmtId="0" fontId="18" fillId="36" borderId="76" xfId="0" applyFont="1" applyFill="1" applyBorder="1" applyAlignment="1">
      <alignment horizontal="center"/>
    </xf>
    <xf numFmtId="0" fontId="18" fillId="36" borderId="77" xfId="0" applyFont="1" applyFill="1" applyBorder="1" applyAlignment="1">
      <alignment horizontal="center"/>
    </xf>
    <xf numFmtId="0" fontId="18" fillId="36" borderId="48" xfId="0" applyFont="1" applyFill="1" applyBorder="1" applyAlignment="1">
      <alignment horizontal="center"/>
    </xf>
    <xf numFmtId="0" fontId="28" fillId="36" borderId="46" xfId="0" applyFont="1" applyFill="1" applyBorder="1" applyAlignment="1">
      <alignment horizontal="center" vertical="center"/>
    </xf>
    <xf numFmtId="0" fontId="28" fillId="36" borderId="47" xfId="0" applyFont="1" applyFill="1" applyBorder="1" applyAlignment="1">
      <alignment horizontal="center" vertical="center"/>
    </xf>
    <xf numFmtId="0" fontId="28" fillId="36" borderId="48" xfId="0" applyFont="1" applyFill="1" applyBorder="1" applyAlignment="1">
      <alignment horizontal="center" vertical="center"/>
    </xf>
    <xf numFmtId="0" fontId="28" fillId="36" borderId="46" xfId="0" applyFont="1" applyFill="1" applyBorder="1" applyAlignment="1">
      <alignment horizontal="center"/>
    </xf>
    <xf numFmtId="0" fontId="28" fillId="36" borderId="47" xfId="0" applyFont="1" applyFill="1" applyBorder="1" applyAlignment="1">
      <alignment horizontal="center"/>
    </xf>
    <xf numFmtId="0" fontId="28" fillId="36" borderId="48" xfId="0" applyFont="1" applyFill="1" applyBorder="1" applyAlignment="1">
      <alignment horizontal="center"/>
    </xf>
    <xf numFmtId="0" fontId="68" fillId="36" borderId="43" xfId="0" applyFont="1" applyFill="1" applyBorder="1" applyAlignment="1">
      <alignment horizontal="left"/>
    </xf>
    <xf numFmtId="0" fontId="68" fillId="36" borderId="44" xfId="0" applyFont="1" applyFill="1" applyBorder="1" applyAlignment="1">
      <alignment horizontal="left"/>
    </xf>
    <xf numFmtId="0" fontId="68" fillId="36" borderId="45" xfId="0" applyFont="1" applyFill="1" applyBorder="1" applyAlignment="1">
      <alignment horizontal="left"/>
    </xf>
    <xf numFmtId="0" fontId="16" fillId="63" borderId="12" xfId="0" applyFont="1" applyFill="1" applyBorder="1" applyAlignment="1">
      <alignment horizontal="center" vertical="center" wrapText="1"/>
    </xf>
    <xf numFmtId="0" fontId="16" fillId="63" borderId="14" xfId="0" applyFont="1" applyFill="1" applyBorder="1" applyAlignment="1">
      <alignment horizontal="center" vertical="center" wrapText="1"/>
    </xf>
    <xf numFmtId="0" fontId="18" fillId="36" borderId="55" xfId="0" applyFont="1" applyFill="1" applyBorder="1" applyAlignment="1">
      <alignment horizontal="center"/>
    </xf>
    <xf numFmtId="0" fontId="18" fillId="36" borderId="72" xfId="0" applyFont="1" applyFill="1" applyBorder="1" applyAlignment="1">
      <alignment horizontal="center"/>
    </xf>
    <xf numFmtId="0" fontId="18" fillId="36" borderId="46" xfId="0" applyFont="1" applyFill="1" applyBorder="1" applyAlignment="1">
      <alignment horizontal="left"/>
    </xf>
    <xf numFmtId="0" fontId="18" fillId="36" borderId="47" xfId="0" applyFont="1" applyFill="1" applyBorder="1" applyAlignment="1">
      <alignment horizontal="left"/>
    </xf>
    <xf numFmtId="0" fontId="18" fillId="36" borderId="48" xfId="0" applyFont="1" applyFill="1" applyBorder="1" applyAlignment="1">
      <alignment horizontal="left"/>
    </xf>
    <xf numFmtId="0" fontId="99" fillId="36" borderId="46" xfId="0" applyFont="1" applyFill="1" applyBorder="1" applyAlignment="1">
      <alignment horizontal="left"/>
    </xf>
    <xf numFmtId="0" fontId="99" fillId="36" borderId="47" xfId="0" applyFont="1" applyFill="1" applyBorder="1" applyAlignment="1">
      <alignment horizontal="left"/>
    </xf>
    <xf numFmtId="0" fontId="99" fillId="36" borderId="50" xfId="0" applyFont="1" applyFill="1" applyBorder="1" applyAlignment="1">
      <alignment horizontal="left"/>
    </xf>
    <xf numFmtId="0" fontId="99" fillId="36" borderId="75" xfId="0" applyFont="1" applyFill="1" applyBorder="1" applyAlignment="1">
      <alignment horizontal="center"/>
    </xf>
    <xf numFmtId="0" fontId="99" fillId="36" borderId="76" xfId="0" applyFont="1" applyFill="1" applyBorder="1" applyAlignment="1">
      <alignment horizontal="center"/>
    </xf>
    <xf numFmtId="0" fontId="99" fillId="36" borderId="77" xfId="0" applyFont="1" applyFill="1" applyBorder="1" applyAlignment="1">
      <alignment horizontal="center"/>
    </xf>
    <xf numFmtId="0" fontId="14" fillId="36" borderId="75" xfId="0" applyFont="1" applyFill="1" applyBorder="1" applyAlignment="1">
      <alignment horizontal="center"/>
    </xf>
    <xf numFmtId="0" fontId="14" fillId="36" borderId="77" xfId="0" applyFont="1" applyFill="1" applyBorder="1" applyAlignment="1">
      <alignment horizontal="center"/>
    </xf>
    <xf numFmtId="0" fontId="95" fillId="36" borderId="75" xfId="0" applyFont="1" applyFill="1" applyBorder="1" applyAlignment="1">
      <alignment horizontal="center"/>
    </xf>
    <xf numFmtId="0" fontId="95" fillId="36" borderId="77" xfId="0" applyFont="1" applyFill="1" applyBorder="1" applyAlignment="1">
      <alignment horizontal="center"/>
    </xf>
    <xf numFmtId="0" fontId="16" fillId="63" borderId="71" xfId="0" applyFont="1" applyFill="1" applyBorder="1" applyAlignment="1">
      <alignment horizontal="center"/>
    </xf>
    <xf numFmtId="0" fontId="16" fillId="63" borderId="85" xfId="0" applyFont="1" applyFill="1" applyBorder="1" applyAlignment="1">
      <alignment horizontal="center"/>
    </xf>
    <xf numFmtId="0" fontId="16" fillId="63" borderId="46" xfId="0" applyFont="1" applyFill="1" applyBorder="1" applyAlignment="1">
      <alignment horizontal="center"/>
    </xf>
    <xf numFmtId="0" fontId="16" fillId="63" borderId="47" xfId="0" applyFont="1" applyFill="1" applyBorder="1" applyAlignment="1">
      <alignment horizontal="center"/>
    </xf>
    <xf numFmtId="0" fontId="16" fillId="63" borderId="48" xfId="0" applyFont="1" applyFill="1" applyBorder="1" applyAlignment="1">
      <alignment horizontal="center"/>
    </xf>
    <xf numFmtId="0" fontId="16" fillId="63" borderId="75" xfId="0" applyFont="1" applyFill="1" applyBorder="1" applyAlignment="1">
      <alignment horizontal="center" vertical="center"/>
    </xf>
    <xf numFmtId="0" fontId="16" fillId="63" borderId="65" xfId="0" applyFont="1" applyFill="1" applyBorder="1" applyAlignment="1">
      <alignment horizontal="center" vertical="center"/>
    </xf>
    <xf numFmtId="0" fontId="16" fillId="63" borderId="51" xfId="0" applyFont="1" applyFill="1" applyBorder="1" applyAlignment="1">
      <alignment horizontal="center" wrapText="1"/>
    </xf>
    <xf numFmtId="0" fontId="16" fillId="63" borderId="53" xfId="0" applyFont="1" applyFill="1" applyBorder="1" applyAlignment="1">
      <alignment horizontal="center" wrapText="1"/>
    </xf>
    <xf numFmtId="0" fontId="16" fillId="63" borderId="52" xfId="0" applyFont="1" applyFill="1" applyBorder="1" applyAlignment="1">
      <alignment horizontal="center" wrapText="1"/>
    </xf>
    <xf numFmtId="0" fontId="18" fillId="36" borderId="55" xfId="0" applyFont="1" applyFill="1" applyBorder="1" applyAlignment="1">
      <alignment horizontal="center" vertical="center"/>
    </xf>
    <xf numFmtId="0" fontId="18" fillId="36" borderId="56" xfId="0" applyFont="1" applyFill="1" applyBorder="1" applyAlignment="1">
      <alignment horizontal="center" vertical="center"/>
    </xf>
    <xf numFmtId="0" fontId="18" fillId="36" borderId="57" xfId="0" applyFont="1" applyFill="1" applyBorder="1" applyAlignment="1">
      <alignment horizontal="center" vertical="center"/>
    </xf>
    <xf numFmtId="0" fontId="16" fillId="63" borderId="82" xfId="0" applyFont="1" applyFill="1" applyBorder="1" applyAlignment="1">
      <alignment horizontal="center" vertical="center"/>
    </xf>
    <xf numFmtId="0" fontId="16" fillId="63" borderId="81" xfId="0" applyFont="1" applyFill="1" applyBorder="1" applyAlignment="1">
      <alignment horizontal="center" vertical="center"/>
    </xf>
    <xf numFmtId="0" fontId="0" fillId="34" borderId="0" xfId="0" applyFill="1" applyAlignment="1">
      <alignment horizontal="left" vertical="center" wrapText="1"/>
    </xf>
    <xf numFmtId="0" fontId="95" fillId="36" borderId="46" xfId="0" applyFont="1" applyFill="1" applyBorder="1" applyAlignment="1">
      <alignment horizontal="center"/>
    </xf>
    <xf numFmtId="0" fontId="95" fillId="36" borderId="47" xfId="0" applyFont="1" applyFill="1" applyBorder="1" applyAlignment="1">
      <alignment horizontal="center"/>
    </xf>
    <xf numFmtId="0" fontId="95" fillId="36" borderId="48" xfId="0" applyFont="1" applyFill="1" applyBorder="1" applyAlignment="1">
      <alignment horizontal="center"/>
    </xf>
    <xf numFmtId="0" fontId="95" fillId="36" borderId="43" xfId="0" applyFont="1" applyFill="1" applyBorder="1" applyAlignment="1">
      <alignment horizontal="left"/>
    </xf>
    <xf numFmtId="0" fontId="95" fillId="36" borderId="44" xfId="0" applyFont="1" applyFill="1" applyBorder="1" applyAlignment="1">
      <alignment horizontal="left"/>
    </xf>
    <xf numFmtId="0" fontId="95" fillId="36" borderId="45" xfId="0" applyFont="1" applyFill="1" applyBorder="1" applyAlignment="1">
      <alignment horizontal="left"/>
    </xf>
    <xf numFmtId="0" fontId="13" fillId="78" borderId="51" xfId="0" applyFont="1" applyFill="1" applyBorder="1" applyAlignment="1" applyProtection="1">
      <alignment horizontal="center" vertical="center"/>
      <protection hidden="1"/>
    </xf>
    <xf numFmtId="0" fontId="13" fillId="78" borderId="52" xfId="0" applyFont="1" applyFill="1" applyBorder="1" applyAlignment="1" applyProtection="1">
      <alignment horizontal="center" vertical="center"/>
      <protection hidden="1"/>
    </xf>
    <xf numFmtId="0" fontId="13" fillId="78" borderId="53" xfId="0" applyFont="1" applyFill="1" applyBorder="1" applyAlignment="1" applyProtection="1">
      <alignment horizontal="center" vertical="center"/>
      <protection hidden="1"/>
    </xf>
    <xf numFmtId="0" fontId="112" fillId="34" borderId="0" xfId="0" applyFont="1" applyFill="1" applyAlignment="1" applyProtection="1">
      <alignment horizontal="left" vertical="center" wrapText="1"/>
      <protection hidden="1"/>
    </xf>
    <xf numFmtId="0" fontId="13" fillId="78" borderId="55" xfId="0" applyFont="1" applyFill="1" applyBorder="1" applyAlignment="1" applyProtection="1">
      <alignment horizontal="center" vertical="center" wrapText="1"/>
      <protection hidden="1"/>
    </xf>
    <xf numFmtId="0" fontId="13" fillId="78" borderId="72" xfId="0" applyFont="1" applyFill="1" applyBorder="1" applyAlignment="1" applyProtection="1">
      <alignment horizontal="center" vertical="center" wrapText="1"/>
      <protection hidden="1"/>
    </xf>
    <xf numFmtId="0" fontId="13" fillId="78" borderId="71" xfId="0" applyFont="1" applyFill="1" applyBorder="1" applyAlignment="1" applyProtection="1">
      <alignment horizontal="center" vertical="center" wrapText="1"/>
      <protection hidden="1"/>
    </xf>
    <xf numFmtId="0" fontId="13" fillId="78" borderId="85" xfId="0" applyFont="1" applyFill="1" applyBorder="1" applyAlignment="1" applyProtection="1">
      <alignment horizontal="center" vertical="center" wrapText="1"/>
      <protection hidden="1"/>
    </xf>
    <xf numFmtId="0" fontId="13" fillId="78" borderId="74" xfId="0" applyFont="1" applyFill="1" applyBorder="1" applyAlignment="1" applyProtection="1">
      <alignment horizontal="center" vertical="center" wrapText="1"/>
      <protection hidden="1"/>
    </xf>
    <xf numFmtId="14" fontId="13" fillId="78" borderId="51" xfId="0" applyNumberFormat="1" applyFont="1" applyFill="1" applyBorder="1" applyAlignment="1" applyProtection="1">
      <alignment horizontal="left" vertical="center"/>
      <protection hidden="1"/>
    </xf>
    <xf numFmtId="14" fontId="13" fillId="78" borderId="52" xfId="0" applyNumberFormat="1" applyFont="1" applyFill="1" applyBorder="1" applyAlignment="1" applyProtection="1">
      <alignment horizontal="left" vertical="center"/>
      <protection hidden="1"/>
    </xf>
    <xf numFmtId="0" fontId="13" fillId="78" borderId="55" xfId="0" applyFont="1" applyFill="1" applyBorder="1" applyAlignment="1" applyProtection="1">
      <alignment horizontal="center" vertical="center"/>
      <protection hidden="1"/>
    </xf>
    <xf numFmtId="0" fontId="13" fillId="78" borderId="56" xfId="0" applyFont="1" applyFill="1" applyBorder="1" applyAlignment="1" applyProtection="1">
      <alignment horizontal="center" vertical="center"/>
      <protection hidden="1"/>
    </xf>
    <xf numFmtId="0" fontId="13" fillId="78" borderId="57" xfId="0" applyFont="1" applyFill="1" applyBorder="1" applyAlignment="1" applyProtection="1">
      <alignment horizontal="center" vertical="center"/>
      <protection hidden="1"/>
    </xf>
    <xf numFmtId="0" fontId="17" fillId="78" borderId="0" xfId="0" applyFont="1" applyFill="1" applyAlignment="1" applyProtection="1">
      <alignment horizontal="center" vertical="center" wrapText="1"/>
      <protection hidden="1"/>
    </xf>
    <xf numFmtId="0" fontId="0" fillId="34" borderId="0" xfId="0" applyFill="1" applyAlignment="1" applyProtection="1">
      <alignment horizontal="center" wrapText="1"/>
      <protection hidden="1"/>
    </xf>
    <xf numFmtId="14" fontId="13" fillId="78" borderId="53" xfId="0" applyNumberFormat="1" applyFont="1" applyFill="1" applyBorder="1" applyAlignment="1" applyProtection="1">
      <alignment horizontal="left" vertical="center"/>
      <protection hidden="1"/>
    </xf>
    <xf numFmtId="0" fontId="13" fillId="78" borderId="56" xfId="0" applyFont="1" applyFill="1" applyBorder="1" applyAlignment="1" applyProtection="1">
      <alignment horizontal="center" vertical="center" wrapText="1"/>
      <protection hidden="1"/>
    </xf>
    <xf numFmtId="0" fontId="13" fillId="78" borderId="0" xfId="0" applyFont="1" applyFill="1" applyAlignment="1" applyProtection="1">
      <alignment horizontal="center" vertical="center" wrapText="1"/>
      <protection hidden="1"/>
    </xf>
    <xf numFmtId="0" fontId="13" fillId="78" borderId="57" xfId="0" applyFont="1" applyFill="1" applyBorder="1" applyAlignment="1" applyProtection="1">
      <alignment horizontal="center" vertical="center" wrapText="1"/>
      <protection hidden="1"/>
    </xf>
    <xf numFmtId="0" fontId="13" fillId="78" borderId="93" xfId="0" applyFont="1" applyFill="1" applyBorder="1" applyAlignment="1" applyProtection="1">
      <alignment horizontal="center" vertical="center" wrapText="1"/>
      <protection hidden="1"/>
    </xf>
    <xf numFmtId="0" fontId="51" fillId="36" borderId="71" xfId="0" applyFont="1" applyFill="1" applyBorder="1" applyAlignment="1" applyProtection="1">
      <alignment horizontal="center" vertical="center" wrapText="1"/>
      <protection hidden="1"/>
    </xf>
    <xf numFmtId="0" fontId="51" fillId="36" borderId="74" xfId="0" applyFont="1" applyFill="1" applyBorder="1" applyAlignment="1" applyProtection="1">
      <alignment horizontal="center" vertical="center" wrapText="1"/>
      <protection hidden="1"/>
    </xf>
    <xf numFmtId="14" fontId="51" fillId="36" borderId="51" xfId="0" applyNumberFormat="1" applyFont="1" applyFill="1" applyBorder="1" applyAlignment="1" applyProtection="1">
      <alignment horizontal="left" vertical="center"/>
      <protection hidden="1"/>
    </xf>
    <xf numFmtId="14" fontId="51" fillId="36" borderId="52" xfId="0" applyNumberFormat="1" applyFont="1" applyFill="1" applyBorder="1" applyAlignment="1" applyProtection="1">
      <alignment horizontal="left" vertical="center"/>
      <protection hidden="1"/>
    </xf>
    <xf numFmtId="14" fontId="51" fillId="36" borderId="53" xfId="0" applyNumberFormat="1" applyFont="1" applyFill="1" applyBorder="1" applyAlignment="1" applyProtection="1">
      <alignment horizontal="left" vertical="center"/>
      <protection hidden="1"/>
    </xf>
    <xf numFmtId="0" fontId="51" fillId="36" borderId="12" xfId="0" applyFont="1" applyFill="1" applyBorder="1" applyAlignment="1" applyProtection="1">
      <alignment horizontal="center" vertical="center"/>
      <protection hidden="1"/>
    </xf>
    <xf numFmtId="0" fontId="51" fillId="36" borderId="13" xfId="0" applyFont="1" applyFill="1" applyBorder="1" applyAlignment="1" applyProtection="1">
      <alignment horizontal="center" vertical="center"/>
      <protection hidden="1"/>
    </xf>
    <xf numFmtId="0" fontId="51" fillId="36" borderId="14" xfId="0" applyFont="1" applyFill="1" applyBorder="1" applyAlignment="1" applyProtection="1">
      <alignment horizontal="center" vertical="center"/>
      <protection hidden="1"/>
    </xf>
    <xf numFmtId="0" fontId="0" fillId="34" borderId="0" xfId="0" applyFill="1" applyAlignment="1" applyProtection="1">
      <alignment horizontal="center" vertical="center" wrapText="1"/>
      <protection hidden="1"/>
    </xf>
    <xf numFmtId="0" fontId="51" fillId="36" borderId="85" xfId="0" applyFont="1" applyFill="1" applyBorder="1" applyAlignment="1" applyProtection="1">
      <alignment horizontal="center" vertical="center" wrapText="1"/>
      <protection hidden="1"/>
    </xf>
    <xf numFmtId="0" fontId="17" fillId="78" borderId="57" xfId="0" applyFont="1" applyFill="1" applyBorder="1" applyAlignment="1" applyProtection="1">
      <alignment horizontal="center" vertical="center" wrapText="1"/>
      <protection hidden="1"/>
    </xf>
    <xf numFmtId="0" fontId="17" fillId="78" borderId="93" xfId="0" applyFont="1" applyFill="1" applyBorder="1" applyAlignment="1" applyProtection="1">
      <alignment horizontal="center" vertical="center" wrapText="1"/>
      <protection hidden="1"/>
    </xf>
    <xf numFmtId="0" fontId="51" fillId="36" borderId="51" xfId="0" applyFont="1" applyFill="1" applyBorder="1" applyAlignment="1" applyProtection="1">
      <alignment horizontal="center" vertical="center"/>
      <protection hidden="1"/>
    </xf>
    <xf numFmtId="0" fontId="51" fillId="36" borderId="52" xfId="0" applyFont="1" applyFill="1" applyBorder="1" applyAlignment="1" applyProtection="1">
      <alignment horizontal="center" vertical="center"/>
      <protection hidden="1"/>
    </xf>
    <xf numFmtId="0" fontId="51" fillId="36" borderId="53" xfId="0" applyFont="1" applyFill="1" applyBorder="1" applyAlignment="1" applyProtection="1">
      <alignment horizontal="center" vertical="center"/>
      <protection hidden="1"/>
    </xf>
    <xf numFmtId="0" fontId="17" fillId="78" borderId="72" xfId="0" applyFont="1" applyFill="1" applyBorder="1" applyAlignment="1" applyProtection="1">
      <alignment horizontal="center" vertical="center" wrapText="1"/>
      <protection hidden="1"/>
    </xf>
    <xf numFmtId="0" fontId="51" fillId="36" borderId="51" xfId="0" applyFont="1" applyFill="1" applyBorder="1" applyAlignment="1" applyProtection="1">
      <alignment horizontal="left" vertical="center"/>
      <protection hidden="1"/>
    </xf>
    <xf numFmtId="0" fontId="51" fillId="36" borderId="52" xfId="0" applyFont="1" applyFill="1" applyBorder="1" applyAlignment="1" applyProtection="1">
      <alignment horizontal="left" vertical="center"/>
      <protection hidden="1"/>
    </xf>
    <xf numFmtId="0" fontId="51" fillId="36" borderId="53" xfId="0" applyFont="1" applyFill="1" applyBorder="1" applyAlignment="1" applyProtection="1">
      <alignment horizontal="left" vertical="center"/>
      <protection hidden="1"/>
    </xf>
    <xf numFmtId="0" fontId="0" fillId="34" borderId="72" xfId="0" applyFill="1" applyBorder="1" applyAlignment="1" applyProtection="1">
      <alignment horizontal="center" vertical="center" wrapText="1"/>
      <protection hidden="1"/>
    </xf>
    <xf numFmtId="0" fontId="51" fillId="36" borderId="55" xfId="0" applyFont="1" applyFill="1" applyBorder="1" applyAlignment="1" applyProtection="1">
      <alignment horizontal="center" vertical="center" wrapText="1"/>
      <protection hidden="1"/>
    </xf>
    <xf numFmtId="0" fontId="51" fillId="36" borderId="90" xfId="0" applyFont="1" applyFill="1" applyBorder="1" applyAlignment="1" applyProtection="1">
      <alignment horizontal="center" vertical="center" wrapText="1"/>
      <protection hidden="1"/>
    </xf>
    <xf numFmtId="0" fontId="110" fillId="34" borderId="0" xfId="0" applyFont="1" applyFill="1" applyAlignment="1" applyProtection="1">
      <alignment horizontal="left"/>
      <protection hidden="1"/>
    </xf>
    <xf numFmtId="0" fontId="13" fillId="78" borderId="90" xfId="0" applyFont="1" applyFill="1" applyBorder="1" applyAlignment="1" applyProtection="1">
      <alignment horizontal="center" vertical="center" wrapText="1"/>
      <protection hidden="1"/>
    </xf>
    <xf numFmtId="0" fontId="51" fillId="36" borderId="60" xfId="0" applyFont="1" applyFill="1" applyBorder="1" applyAlignment="1" applyProtection="1">
      <alignment horizontal="center" vertical="center"/>
      <protection hidden="1"/>
    </xf>
    <xf numFmtId="0" fontId="0" fillId="34" borderId="71" xfId="0" applyFill="1" applyBorder="1" applyAlignment="1" applyProtection="1">
      <alignment horizontal="center" vertical="center" wrapText="1"/>
      <protection hidden="1"/>
    </xf>
    <xf numFmtId="0" fontId="0" fillId="34" borderId="85" xfId="0" applyFill="1" applyBorder="1" applyAlignment="1" applyProtection="1">
      <alignment horizontal="center" vertical="center" wrapText="1"/>
      <protection hidden="1"/>
    </xf>
    <xf numFmtId="0" fontId="51" fillId="36" borderId="46" xfId="0" applyFont="1" applyFill="1" applyBorder="1" applyAlignment="1" applyProtection="1">
      <alignment horizontal="center" vertical="center"/>
      <protection hidden="1"/>
    </xf>
    <xf numFmtId="0" fontId="51" fillId="36" borderId="47" xfId="0" applyFont="1" applyFill="1" applyBorder="1" applyAlignment="1" applyProtection="1">
      <alignment horizontal="center" vertical="center"/>
      <protection hidden="1"/>
    </xf>
    <xf numFmtId="0" fontId="51" fillId="36" borderId="48" xfId="0" applyFont="1" applyFill="1" applyBorder="1" applyAlignment="1" applyProtection="1">
      <alignment horizontal="center" vertical="center"/>
      <protection hidden="1"/>
    </xf>
  </cellXfs>
  <cellStyles count="2003">
    <cellStyle name="20% - Accent1" xfId="19" builtinId="30" customBuiltin="1"/>
    <cellStyle name="20% - Accent1 2" xfId="55" xr:uid="{00000000-0005-0000-0000-000001000000}"/>
    <cellStyle name="20% - Accent2" xfId="23" builtinId="34" customBuiltin="1"/>
    <cellStyle name="20% - Accent2 2" xfId="56" xr:uid="{00000000-0005-0000-0000-000003000000}"/>
    <cellStyle name="20% - Accent3" xfId="27" builtinId="38" customBuiltin="1"/>
    <cellStyle name="20% - Accent3 2" xfId="57" xr:uid="{00000000-0005-0000-0000-000005000000}"/>
    <cellStyle name="20% - Accent4" xfId="31" builtinId="42" customBuiltin="1"/>
    <cellStyle name="20% - Accent4 2" xfId="58" xr:uid="{00000000-0005-0000-0000-000007000000}"/>
    <cellStyle name="20% - Accent5" xfId="35" builtinId="46" customBuiltin="1"/>
    <cellStyle name="20% - Accent5 2" xfId="59" xr:uid="{00000000-0005-0000-0000-000009000000}"/>
    <cellStyle name="20% - Accent6" xfId="39" builtinId="50" customBuiltin="1"/>
    <cellStyle name="20% - Accent6 2" xfId="60" xr:uid="{00000000-0005-0000-0000-00000B000000}"/>
    <cellStyle name="40% - Accent1" xfId="20" builtinId="31" customBuiltin="1"/>
    <cellStyle name="40% - Accent1 2" xfId="61" xr:uid="{00000000-0005-0000-0000-00000D000000}"/>
    <cellStyle name="40% - Accent2" xfId="24" builtinId="35" customBuiltin="1"/>
    <cellStyle name="40% - Accent2 2" xfId="62" xr:uid="{00000000-0005-0000-0000-00000F000000}"/>
    <cellStyle name="40% - Accent3" xfId="28" builtinId="39" customBuiltin="1"/>
    <cellStyle name="40% - Accent3 2" xfId="63" xr:uid="{00000000-0005-0000-0000-000011000000}"/>
    <cellStyle name="40% - Accent4" xfId="32" builtinId="43" customBuiltin="1"/>
    <cellStyle name="40% - Accent4 2" xfId="64" xr:uid="{00000000-0005-0000-0000-000013000000}"/>
    <cellStyle name="40% - Accent5" xfId="36" builtinId="47" customBuiltin="1"/>
    <cellStyle name="40% - Accent5 2" xfId="65" xr:uid="{00000000-0005-0000-0000-000015000000}"/>
    <cellStyle name="40% - Accent6" xfId="40" builtinId="51" customBuiltin="1"/>
    <cellStyle name="40% - Accent6 2" xfId="66" xr:uid="{00000000-0005-0000-0000-000017000000}"/>
    <cellStyle name="60% - Accent1" xfId="21" builtinId="32" customBuiltin="1"/>
    <cellStyle name="60% - Accent1 2" xfId="67" xr:uid="{00000000-0005-0000-0000-000019000000}"/>
    <cellStyle name="60% - Accent2" xfId="25" builtinId="36" customBuiltin="1"/>
    <cellStyle name="60% - Accent2 2" xfId="68" xr:uid="{00000000-0005-0000-0000-00001B000000}"/>
    <cellStyle name="60% - Accent3" xfId="29" builtinId="40" customBuiltin="1"/>
    <cellStyle name="60% - Accent3 2" xfId="69" xr:uid="{00000000-0005-0000-0000-00001D000000}"/>
    <cellStyle name="60% - Accent4" xfId="33" builtinId="44" customBuiltin="1"/>
    <cellStyle name="60% - Accent4 2" xfId="70" xr:uid="{00000000-0005-0000-0000-00001F000000}"/>
    <cellStyle name="60% - Accent5" xfId="37" builtinId="48" customBuiltin="1"/>
    <cellStyle name="60% - Accent5 2" xfId="71" xr:uid="{00000000-0005-0000-0000-000021000000}"/>
    <cellStyle name="60% - Accent6" xfId="41" builtinId="52" customBuiltin="1"/>
    <cellStyle name="60% - Accent6 2" xfId="72" xr:uid="{00000000-0005-0000-0000-000023000000}"/>
    <cellStyle name="Accent1" xfId="18" builtinId="29" customBuiltin="1"/>
    <cellStyle name="Accent1 2" xfId="73" xr:uid="{00000000-0005-0000-0000-000025000000}"/>
    <cellStyle name="Accent2" xfId="22" builtinId="33" customBuiltin="1"/>
    <cellStyle name="Accent2 2" xfId="74" xr:uid="{00000000-0005-0000-0000-000027000000}"/>
    <cellStyle name="Accent3" xfId="26" builtinId="37" customBuiltin="1"/>
    <cellStyle name="Accent3 2" xfId="75" xr:uid="{00000000-0005-0000-0000-000029000000}"/>
    <cellStyle name="Accent4" xfId="30" builtinId="41" customBuiltin="1"/>
    <cellStyle name="Accent4 2" xfId="76" xr:uid="{00000000-0005-0000-0000-00002B000000}"/>
    <cellStyle name="Accent5" xfId="34" builtinId="45" customBuiltin="1"/>
    <cellStyle name="Accent5 2" xfId="77" xr:uid="{00000000-0005-0000-0000-00002D000000}"/>
    <cellStyle name="Accent6" xfId="38" builtinId="49" customBuiltin="1"/>
    <cellStyle name="Accent6 2" xfId="78" xr:uid="{00000000-0005-0000-0000-00002F000000}"/>
    <cellStyle name="Bad" xfId="7" builtinId="27" customBuiltin="1"/>
    <cellStyle name="Bad 2" xfId="79" xr:uid="{00000000-0005-0000-0000-000031000000}"/>
    <cellStyle name="Calculation" xfId="11" builtinId="22" customBuiltin="1"/>
    <cellStyle name="Calculation 2" xfId="80" xr:uid="{00000000-0005-0000-0000-000033000000}"/>
    <cellStyle name="Check Cell" xfId="13" builtinId="23" customBuiltin="1"/>
    <cellStyle name="Check Cell 2" xfId="81" xr:uid="{00000000-0005-0000-0000-000035000000}"/>
    <cellStyle name="Comma" xfId="1997" builtinId="3"/>
    <cellStyle name="Comma 2" xfId="44" xr:uid="{00000000-0005-0000-0000-000037000000}"/>
    <cellStyle name="Comma 2 2" xfId="45" xr:uid="{00000000-0005-0000-0000-000038000000}"/>
    <cellStyle name="Comma 3" xfId="46" xr:uid="{00000000-0005-0000-0000-000039000000}"/>
    <cellStyle name="Comma 4" xfId="47" xr:uid="{00000000-0005-0000-0000-00003A000000}"/>
    <cellStyle name="Comma 5" xfId="43" xr:uid="{00000000-0005-0000-0000-00003B000000}"/>
    <cellStyle name="Currency" xfId="1999" builtinId="4"/>
    <cellStyle name="Currency 2" xfId="82" xr:uid="{00000000-0005-0000-0000-00003C000000}"/>
    <cellStyle name="Currency 3" xfId="83" xr:uid="{00000000-0005-0000-0000-00003D000000}"/>
    <cellStyle name="Explanatory Text" xfId="16" builtinId="53" customBuiltin="1"/>
    <cellStyle name="Explanatory Text 2" xfId="84" xr:uid="{00000000-0005-0000-0000-00003F000000}"/>
    <cellStyle name="Good" xfId="6" builtinId="26" customBuiltin="1"/>
    <cellStyle name="Good 2" xfId="85" xr:uid="{00000000-0005-0000-0000-000041000000}"/>
    <cellStyle name="Heading 1" xfId="2" builtinId="16" customBuiltin="1"/>
    <cellStyle name="Heading 1 2" xfId="86" xr:uid="{00000000-0005-0000-0000-000043000000}"/>
    <cellStyle name="Heading 2" xfId="3" builtinId="17" customBuiltin="1"/>
    <cellStyle name="Heading 2 2" xfId="87" xr:uid="{00000000-0005-0000-0000-000045000000}"/>
    <cellStyle name="Heading 3" xfId="4" builtinId="18" customBuiltin="1"/>
    <cellStyle name="Heading 3 2" xfId="88" xr:uid="{00000000-0005-0000-0000-000047000000}"/>
    <cellStyle name="Heading 4" xfId="5" builtinId="19" customBuiltin="1"/>
    <cellStyle name="Heading 4 2" xfId="89" xr:uid="{00000000-0005-0000-0000-000049000000}"/>
    <cellStyle name="Hyperlink" xfId="2001" builtinId="8"/>
    <cellStyle name="Input" xfId="9" builtinId="20" customBuiltin="1"/>
    <cellStyle name="Input 2" xfId="90" xr:uid="{00000000-0005-0000-0000-00004B000000}"/>
    <cellStyle name="Linked Cell" xfId="12" builtinId="24" customBuiltin="1"/>
    <cellStyle name="Linked Cell 2" xfId="91" xr:uid="{00000000-0005-0000-0000-00004D000000}"/>
    <cellStyle name="Neutral" xfId="8" builtinId="28" customBuiltin="1"/>
    <cellStyle name="Neutral 2" xfId="92" xr:uid="{00000000-0005-0000-0000-00004F000000}"/>
    <cellStyle name="Normal" xfId="0" builtinId="0"/>
    <cellStyle name="Normal 10 2" xfId="2000" xr:uid="{2F3CF87D-275A-4E62-9575-AA373F0A24AB}"/>
    <cellStyle name="Normal 2" xfId="48" xr:uid="{00000000-0005-0000-0000-000051000000}"/>
    <cellStyle name="Normal 2 10" xfId="93" xr:uid="{00000000-0005-0000-0000-000052000000}"/>
    <cellStyle name="Normal 2 10 10" xfId="94" xr:uid="{00000000-0005-0000-0000-000053000000}"/>
    <cellStyle name="Normal 2 10 11" xfId="95" xr:uid="{00000000-0005-0000-0000-000054000000}"/>
    <cellStyle name="Normal 2 10 12" xfId="96" xr:uid="{00000000-0005-0000-0000-000055000000}"/>
    <cellStyle name="Normal 2 10 13" xfId="97" xr:uid="{00000000-0005-0000-0000-000056000000}"/>
    <cellStyle name="Normal 2 10 14" xfId="98" xr:uid="{00000000-0005-0000-0000-000057000000}"/>
    <cellStyle name="Normal 2 10 15" xfId="99" xr:uid="{00000000-0005-0000-0000-000058000000}"/>
    <cellStyle name="Normal 2 10 16" xfId="100" xr:uid="{00000000-0005-0000-0000-000059000000}"/>
    <cellStyle name="Normal 2 10 17" xfId="101" xr:uid="{00000000-0005-0000-0000-00005A000000}"/>
    <cellStyle name="Normal 2 10 18" xfId="102" xr:uid="{00000000-0005-0000-0000-00005B000000}"/>
    <cellStyle name="Normal 2 10 19" xfId="103" xr:uid="{00000000-0005-0000-0000-00005C000000}"/>
    <cellStyle name="Normal 2 10 2" xfId="104" xr:uid="{00000000-0005-0000-0000-00005D000000}"/>
    <cellStyle name="Normal 2 10 20" xfId="105" xr:uid="{00000000-0005-0000-0000-00005E000000}"/>
    <cellStyle name="Normal 2 10 21" xfId="106" xr:uid="{00000000-0005-0000-0000-00005F000000}"/>
    <cellStyle name="Normal 2 10 22" xfId="107" xr:uid="{00000000-0005-0000-0000-000060000000}"/>
    <cellStyle name="Normal 2 10 23" xfId="108" xr:uid="{00000000-0005-0000-0000-000061000000}"/>
    <cellStyle name="Normal 2 10 3" xfId="109" xr:uid="{00000000-0005-0000-0000-000062000000}"/>
    <cellStyle name="Normal 2 10 4" xfId="110" xr:uid="{00000000-0005-0000-0000-000063000000}"/>
    <cellStyle name="Normal 2 10 5" xfId="111" xr:uid="{00000000-0005-0000-0000-000064000000}"/>
    <cellStyle name="Normal 2 10 6" xfId="112" xr:uid="{00000000-0005-0000-0000-000065000000}"/>
    <cellStyle name="Normal 2 10 7" xfId="113" xr:uid="{00000000-0005-0000-0000-000066000000}"/>
    <cellStyle name="Normal 2 10 8" xfId="114" xr:uid="{00000000-0005-0000-0000-000067000000}"/>
    <cellStyle name="Normal 2 10 9" xfId="115" xr:uid="{00000000-0005-0000-0000-000068000000}"/>
    <cellStyle name="Normal 2 11" xfId="116" xr:uid="{00000000-0005-0000-0000-000069000000}"/>
    <cellStyle name="Normal 2 11 10" xfId="117" xr:uid="{00000000-0005-0000-0000-00006A000000}"/>
    <cellStyle name="Normal 2 11 11" xfId="118" xr:uid="{00000000-0005-0000-0000-00006B000000}"/>
    <cellStyle name="Normal 2 11 12" xfId="119" xr:uid="{00000000-0005-0000-0000-00006C000000}"/>
    <cellStyle name="Normal 2 11 13" xfId="120" xr:uid="{00000000-0005-0000-0000-00006D000000}"/>
    <cellStyle name="Normal 2 11 14" xfId="121" xr:uid="{00000000-0005-0000-0000-00006E000000}"/>
    <cellStyle name="Normal 2 11 15" xfId="122" xr:uid="{00000000-0005-0000-0000-00006F000000}"/>
    <cellStyle name="Normal 2 11 16" xfId="123" xr:uid="{00000000-0005-0000-0000-000070000000}"/>
    <cellStyle name="Normal 2 11 17" xfId="124" xr:uid="{00000000-0005-0000-0000-000071000000}"/>
    <cellStyle name="Normal 2 11 18" xfId="125" xr:uid="{00000000-0005-0000-0000-000072000000}"/>
    <cellStyle name="Normal 2 11 19" xfId="126" xr:uid="{00000000-0005-0000-0000-000073000000}"/>
    <cellStyle name="Normal 2 11 2" xfId="127" xr:uid="{00000000-0005-0000-0000-000074000000}"/>
    <cellStyle name="Normal 2 11 20" xfId="128" xr:uid="{00000000-0005-0000-0000-000075000000}"/>
    <cellStyle name="Normal 2 11 21" xfId="129" xr:uid="{00000000-0005-0000-0000-000076000000}"/>
    <cellStyle name="Normal 2 11 22" xfId="130" xr:uid="{00000000-0005-0000-0000-000077000000}"/>
    <cellStyle name="Normal 2 11 23" xfId="131" xr:uid="{00000000-0005-0000-0000-000078000000}"/>
    <cellStyle name="Normal 2 11 3" xfId="132" xr:uid="{00000000-0005-0000-0000-000079000000}"/>
    <cellStyle name="Normal 2 11 4" xfId="133" xr:uid="{00000000-0005-0000-0000-00007A000000}"/>
    <cellStyle name="Normal 2 11 5" xfId="134" xr:uid="{00000000-0005-0000-0000-00007B000000}"/>
    <cellStyle name="Normal 2 11 6" xfId="135" xr:uid="{00000000-0005-0000-0000-00007C000000}"/>
    <cellStyle name="Normal 2 11 7" xfId="136" xr:uid="{00000000-0005-0000-0000-00007D000000}"/>
    <cellStyle name="Normal 2 11 8" xfId="137" xr:uid="{00000000-0005-0000-0000-00007E000000}"/>
    <cellStyle name="Normal 2 11 9" xfId="138" xr:uid="{00000000-0005-0000-0000-00007F000000}"/>
    <cellStyle name="Normal 2 12" xfId="139" xr:uid="{00000000-0005-0000-0000-000080000000}"/>
    <cellStyle name="Normal 2 12 10" xfId="140" xr:uid="{00000000-0005-0000-0000-000081000000}"/>
    <cellStyle name="Normal 2 12 11" xfId="141" xr:uid="{00000000-0005-0000-0000-000082000000}"/>
    <cellStyle name="Normal 2 12 12" xfId="142" xr:uid="{00000000-0005-0000-0000-000083000000}"/>
    <cellStyle name="Normal 2 12 13" xfId="143" xr:uid="{00000000-0005-0000-0000-000084000000}"/>
    <cellStyle name="Normal 2 12 14" xfId="144" xr:uid="{00000000-0005-0000-0000-000085000000}"/>
    <cellStyle name="Normal 2 12 15" xfId="145" xr:uid="{00000000-0005-0000-0000-000086000000}"/>
    <cellStyle name="Normal 2 12 16" xfId="146" xr:uid="{00000000-0005-0000-0000-000087000000}"/>
    <cellStyle name="Normal 2 12 17" xfId="147" xr:uid="{00000000-0005-0000-0000-000088000000}"/>
    <cellStyle name="Normal 2 12 18" xfId="148" xr:uid="{00000000-0005-0000-0000-000089000000}"/>
    <cellStyle name="Normal 2 12 19" xfId="149" xr:uid="{00000000-0005-0000-0000-00008A000000}"/>
    <cellStyle name="Normal 2 12 2" xfId="150" xr:uid="{00000000-0005-0000-0000-00008B000000}"/>
    <cellStyle name="Normal 2 12 20" xfId="151" xr:uid="{00000000-0005-0000-0000-00008C000000}"/>
    <cellStyle name="Normal 2 12 21" xfId="152" xr:uid="{00000000-0005-0000-0000-00008D000000}"/>
    <cellStyle name="Normal 2 12 22" xfId="153" xr:uid="{00000000-0005-0000-0000-00008E000000}"/>
    <cellStyle name="Normal 2 12 23" xfId="154" xr:uid="{00000000-0005-0000-0000-00008F000000}"/>
    <cellStyle name="Normal 2 12 3" xfId="155" xr:uid="{00000000-0005-0000-0000-000090000000}"/>
    <cellStyle name="Normal 2 12 4" xfId="156" xr:uid="{00000000-0005-0000-0000-000091000000}"/>
    <cellStyle name="Normal 2 12 5" xfId="157" xr:uid="{00000000-0005-0000-0000-000092000000}"/>
    <cellStyle name="Normal 2 12 6" xfId="158" xr:uid="{00000000-0005-0000-0000-000093000000}"/>
    <cellStyle name="Normal 2 12 7" xfId="159" xr:uid="{00000000-0005-0000-0000-000094000000}"/>
    <cellStyle name="Normal 2 12 8" xfId="160" xr:uid="{00000000-0005-0000-0000-000095000000}"/>
    <cellStyle name="Normal 2 12 9" xfId="161" xr:uid="{00000000-0005-0000-0000-000096000000}"/>
    <cellStyle name="Normal 2 13" xfId="162" xr:uid="{00000000-0005-0000-0000-000097000000}"/>
    <cellStyle name="Normal 2 13 10" xfId="163" xr:uid="{00000000-0005-0000-0000-000098000000}"/>
    <cellStyle name="Normal 2 13 11" xfId="164" xr:uid="{00000000-0005-0000-0000-000099000000}"/>
    <cellStyle name="Normal 2 13 12" xfId="165" xr:uid="{00000000-0005-0000-0000-00009A000000}"/>
    <cellStyle name="Normal 2 13 13" xfId="166" xr:uid="{00000000-0005-0000-0000-00009B000000}"/>
    <cellStyle name="Normal 2 13 14" xfId="167" xr:uid="{00000000-0005-0000-0000-00009C000000}"/>
    <cellStyle name="Normal 2 13 15" xfId="168" xr:uid="{00000000-0005-0000-0000-00009D000000}"/>
    <cellStyle name="Normal 2 13 16" xfId="169" xr:uid="{00000000-0005-0000-0000-00009E000000}"/>
    <cellStyle name="Normal 2 13 17" xfId="170" xr:uid="{00000000-0005-0000-0000-00009F000000}"/>
    <cellStyle name="Normal 2 13 18" xfId="171" xr:uid="{00000000-0005-0000-0000-0000A0000000}"/>
    <cellStyle name="Normal 2 13 19" xfId="172" xr:uid="{00000000-0005-0000-0000-0000A1000000}"/>
    <cellStyle name="Normal 2 13 2" xfId="173" xr:uid="{00000000-0005-0000-0000-0000A2000000}"/>
    <cellStyle name="Normal 2 13 20" xfId="174" xr:uid="{00000000-0005-0000-0000-0000A3000000}"/>
    <cellStyle name="Normal 2 13 21" xfId="175" xr:uid="{00000000-0005-0000-0000-0000A4000000}"/>
    <cellStyle name="Normal 2 13 22" xfId="176" xr:uid="{00000000-0005-0000-0000-0000A5000000}"/>
    <cellStyle name="Normal 2 13 23" xfId="177" xr:uid="{00000000-0005-0000-0000-0000A6000000}"/>
    <cellStyle name="Normal 2 13 3" xfId="178" xr:uid="{00000000-0005-0000-0000-0000A7000000}"/>
    <cellStyle name="Normal 2 13 4" xfId="179" xr:uid="{00000000-0005-0000-0000-0000A8000000}"/>
    <cellStyle name="Normal 2 13 5" xfId="180" xr:uid="{00000000-0005-0000-0000-0000A9000000}"/>
    <cellStyle name="Normal 2 13 6" xfId="181" xr:uid="{00000000-0005-0000-0000-0000AA000000}"/>
    <cellStyle name="Normal 2 13 7" xfId="182" xr:uid="{00000000-0005-0000-0000-0000AB000000}"/>
    <cellStyle name="Normal 2 13 8" xfId="183" xr:uid="{00000000-0005-0000-0000-0000AC000000}"/>
    <cellStyle name="Normal 2 13 9" xfId="184" xr:uid="{00000000-0005-0000-0000-0000AD000000}"/>
    <cellStyle name="Normal 2 14" xfId="185" xr:uid="{00000000-0005-0000-0000-0000AE000000}"/>
    <cellStyle name="Normal 2 14 10" xfId="186" xr:uid="{00000000-0005-0000-0000-0000AF000000}"/>
    <cellStyle name="Normal 2 14 11" xfId="187" xr:uid="{00000000-0005-0000-0000-0000B0000000}"/>
    <cellStyle name="Normal 2 14 12" xfId="188" xr:uid="{00000000-0005-0000-0000-0000B1000000}"/>
    <cellStyle name="Normal 2 14 13" xfId="189" xr:uid="{00000000-0005-0000-0000-0000B2000000}"/>
    <cellStyle name="Normal 2 14 14" xfId="190" xr:uid="{00000000-0005-0000-0000-0000B3000000}"/>
    <cellStyle name="Normal 2 14 15" xfId="191" xr:uid="{00000000-0005-0000-0000-0000B4000000}"/>
    <cellStyle name="Normal 2 14 16" xfId="192" xr:uid="{00000000-0005-0000-0000-0000B5000000}"/>
    <cellStyle name="Normal 2 14 17" xfId="193" xr:uid="{00000000-0005-0000-0000-0000B6000000}"/>
    <cellStyle name="Normal 2 14 18" xfId="194" xr:uid="{00000000-0005-0000-0000-0000B7000000}"/>
    <cellStyle name="Normal 2 14 19" xfId="195" xr:uid="{00000000-0005-0000-0000-0000B8000000}"/>
    <cellStyle name="Normal 2 14 2" xfId="196" xr:uid="{00000000-0005-0000-0000-0000B9000000}"/>
    <cellStyle name="Normal 2 14 20" xfId="197" xr:uid="{00000000-0005-0000-0000-0000BA000000}"/>
    <cellStyle name="Normal 2 14 21" xfId="198" xr:uid="{00000000-0005-0000-0000-0000BB000000}"/>
    <cellStyle name="Normal 2 14 22" xfId="199" xr:uid="{00000000-0005-0000-0000-0000BC000000}"/>
    <cellStyle name="Normal 2 14 23" xfId="200" xr:uid="{00000000-0005-0000-0000-0000BD000000}"/>
    <cellStyle name="Normal 2 14 3" xfId="201" xr:uid="{00000000-0005-0000-0000-0000BE000000}"/>
    <cellStyle name="Normal 2 14 4" xfId="202" xr:uid="{00000000-0005-0000-0000-0000BF000000}"/>
    <cellStyle name="Normal 2 14 5" xfId="203" xr:uid="{00000000-0005-0000-0000-0000C0000000}"/>
    <cellStyle name="Normal 2 14 6" xfId="204" xr:uid="{00000000-0005-0000-0000-0000C1000000}"/>
    <cellStyle name="Normal 2 14 7" xfId="205" xr:uid="{00000000-0005-0000-0000-0000C2000000}"/>
    <cellStyle name="Normal 2 14 8" xfId="206" xr:uid="{00000000-0005-0000-0000-0000C3000000}"/>
    <cellStyle name="Normal 2 14 9" xfId="207" xr:uid="{00000000-0005-0000-0000-0000C4000000}"/>
    <cellStyle name="Normal 2 15" xfId="208" xr:uid="{00000000-0005-0000-0000-0000C5000000}"/>
    <cellStyle name="Normal 2 15 10" xfId="209" xr:uid="{00000000-0005-0000-0000-0000C6000000}"/>
    <cellStyle name="Normal 2 15 11" xfId="210" xr:uid="{00000000-0005-0000-0000-0000C7000000}"/>
    <cellStyle name="Normal 2 15 12" xfId="211" xr:uid="{00000000-0005-0000-0000-0000C8000000}"/>
    <cellStyle name="Normal 2 15 13" xfId="212" xr:uid="{00000000-0005-0000-0000-0000C9000000}"/>
    <cellStyle name="Normal 2 15 14" xfId="213" xr:uid="{00000000-0005-0000-0000-0000CA000000}"/>
    <cellStyle name="Normal 2 15 15" xfId="214" xr:uid="{00000000-0005-0000-0000-0000CB000000}"/>
    <cellStyle name="Normal 2 15 16" xfId="215" xr:uid="{00000000-0005-0000-0000-0000CC000000}"/>
    <cellStyle name="Normal 2 15 17" xfId="216" xr:uid="{00000000-0005-0000-0000-0000CD000000}"/>
    <cellStyle name="Normal 2 15 18" xfId="217" xr:uid="{00000000-0005-0000-0000-0000CE000000}"/>
    <cellStyle name="Normal 2 15 19" xfId="218" xr:uid="{00000000-0005-0000-0000-0000CF000000}"/>
    <cellStyle name="Normal 2 15 2" xfId="219" xr:uid="{00000000-0005-0000-0000-0000D0000000}"/>
    <cellStyle name="Normal 2 15 20" xfId="220" xr:uid="{00000000-0005-0000-0000-0000D1000000}"/>
    <cellStyle name="Normal 2 15 21" xfId="221" xr:uid="{00000000-0005-0000-0000-0000D2000000}"/>
    <cellStyle name="Normal 2 15 22" xfId="222" xr:uid="{00000000-0005-0000-0000-0000D3000000}"/>
    <cellStyle name="Normal 2 15 23" xfId="223" xr:uid="{00000000-0005-0000-0000-0000D4000000}"/>
    <cellStyle name="Normal 2 15 3" xfId="224" xr:uid="{00000000-0005-0000-0000-0000D5000000}"/>
    <cellStyle name="Normal 2 15 4" xfId="225" xr:uid="{00000000-0005-0000-0000-0000D6000000}"/>
    <cellStyle name="Normal 2 15 5" xfId="226" xr:uid="{00000000-0005-0000-0000-0000D7000000}"/>
    <cellStyle name="Normal 2 15 6" xfId="227" xr:uid="{00000000-0005-0000-0000-0000D8000000}"/>
    <cellStyle name="Normal 2 15 7" xfId="228" xr:uid="{00000000-0005-0000-0000-0000D9000000}"/>
    <cellStyle name="Normal 2 15 8" xfId="229" xr:uid="{00000000-0005-0000-0000-0000DA000000}"/>
    <cellStyle name="Normal 2 15 9" xfId="230" xr:uid="{00000000-0005-0000-0000-0000DB000000}"/>
    <cellStyle name="Normal 2 16" xfId="231" xr:uid="{00000000-0005-0000-0000-0000DC000000}"/>
    <cellStyle name="Normal 2 16 10" xfId="232" xr:uid="{00000000-0005-0000-0000-0000DD000000}"/>
    <cellStyle name="Normal 2 16 11" xfId="233" xr:uid="{00000000-0005-0000-0000-0000DE000000}"/>
    <cellStyle name="Normal 2 16 12" xfId="234" xr:uid="{00000000-0005-0000-0000-0000DF000000}"/>
    <cellStyle name="Normal 2 16 13" xfId="235" xr:uid="{00000000-0005-0000-0000-0000E0000000}"/>
    <cellStyle name="Normal 2 16 14" xfId="236" xr:uid="{00000000-0005-0000-0000-0000E1000000}"/>
    <cellStyle name="Normal 2 16 15" xfId="237" xr:uid="{00000000-0005-0000-0000-0000E2000000}"/>
    <cellStyle name="Normal 2 16 16" xfId="238" xr:uid="{00000000-0005-0000-0000-0000E3000000}"/>
    <cellStyle name="Normal 2 16 17" xfId="239" xr:uid="{00000000-0005-0000-0000-0000E4000000}"/>
    <cellStyle name="Normal 2 16 18" xfId="240" xr:uid="{00000000-0005-0000-0000-0000E5000000}"/>
    <cellStyle name="Normal 2 16 19" xfId="241" xr:uid="{00000000-0005-0000-0000-0000E6000000}"/>
    <cellStyle name="Normal 2 16 2" xfId="242" xr:uid="{00000000-0005-0000-0000-0000E7000000}"/>
    <cellStyle name="Normal 2 16 20" xfId="243" xr:uid="{00000000-0005-0000-0000-0000E8000000}"/>
    <cellStyle name="Normal 2 16 21" xfId="244" xr:uid="{00000000-0005-0000-0000-0000E9000000}"/>
    <cellStyle name="Normal 2 16 22" xfId="245" xr:uid="{00000000-0005-0000-0000-0000EA000000}"/>
    <cellStyle name="Normal 2 16 23" xfId="246" xr:uid="{00000000-0005-0000-0000-0000EB000000}"/>
    <cellStyle name="Normal 2 16 3" xfId="247" xr:uid="{00000000-0005-0000-0000-0000EC000000}"/>
    <cellStyle name="Normal 2 16 4" xfId="248" xr:uid="{00000000-0005-0000-0000-0000ED000000}"/>
    <cellStyle name="Normal 2 16 5" xfId="249" xr:uid="{00000000-0005-0000-0000-0000EE000000}"/>
    <cellStyle name="Normal 2 16 6" xfId="250" xr:uid="{00000000-0005-0000-0000-0000EF000000}"/>
    <cellStyle name="Normal 2 16 7" xfId="251" xr:uid="{00000000-0005-0000-0000-0000F0000000}"/>
    <cellStyle name="Normal 2 16 8" xfId="252" xr:uid="{00000000-0005-0000-0000-0000F1000000}"/>
    <cellStyle name="Normal 2 16 9" xfId="253" xr:uid="{00000000-0005-0000-0000-0000F2000000}"/>
    <cellStyle name="Normal 2 17" xfId="254" xr:uid="{00000000-0005-0000-0000-0000F3000000}"/>
    <cellStyle name="Normal 2 17 10" xfId="255" xr:uid="{00000000-0005-0000-0000-0000F4000000}"/>
    <cellStyle name="Normal 2 17 11" xfId="256" xr:uid="{00000000-0005-0000-0000-0000F5000000}"/>
    <cellStyle name="Normal 2 17 12" xfId="257" xr:uid="{00000000-0005-0000-0000-0000F6000000}"/>
    <cellStyle name="Normal 2 17 13" xfId="258" xr:uid="{00000000-0005-0000-0000-0000F7000000}"/>
    <cellStyle name="Normal 2 17 14" xfId="259" xr:uid="{00000000-0005-0000-0000-0000F8000000}"/>
    <cellStyle name="Normal 2 17 15" xfId="260" xr:uid="{00000000-0005-0000-0000-0000F9000000}"/>
    <cellStyle name="Normal 2 17 16" xfId="261" xr:uid="{00000000-0005-0000-0000-0000FA000000}"/>
    <cellStyle name="Normal 2 17 17" xfId="262" xr:uid="{00000000-0005-0000-0000-0000FB000000}"/>
    <cellStyle name="Normal 2 17 18" xfId="263" xr:uid="{00000000-0005-0000-0000-0000FC000000}"/>
    <cellStyle name="Normal 2 17 19" xfId="264" xr:uid="{00000000-0005-0000-0000-0000FD000000}"/>
    <cellStyle name="Normal 2 17 2" xfId="265" xr:uid="{00000000-0005-0000-0000-0000FE000000}"/>
    <cellStyle name="Normal 2 17 20" xfId="266" xr:uid="{00000000-0005-0000-0000-0000FF000000}"/>
    <cellStyle name="Normal 2 17 21" xfId="267" xr:uid="{00000000-0005-0000-0000-000000010000}"/>
    <cellStyle name="Normal 2 17 22" xfId="268" xr:uid="{00000000-0005-0000-0000-000001010000}"/>
    <cellStyle name="Normal 2 17 23" xfId="269" xr:uid="{00000000-0005-0000-0000-000002010000}"/>
    <cellStyle name="Normal 2 17 3" xfId="270" xr:uid="{00000000-0005-0000-0000-000003010000}"/>
    <cellStyle name="Normal 2 17 4" xfId="271" xr:uid="{00000000-0005-0000-0000-000004010000}"/>
    <cellStyle name="Normal 2 17 5" xfId="272" xr:uid="{00000000-0005-0000-0000-000005010000}"/>
    <cellStyle name="Normal 2 17 6" xfId="273" xr:uid="{00000000-0005-0000-0000-000006010000}"/>
    <cellStyle name="Normal 2 17 7" xfId="274" xr:uid="{00000000-0005-0000-0000-000007010000}"/>
    <cellStyle name="Normal 2 17 8" xfId="275" xr:uid="{00000000-0005-0000-0000-000008010000}"/>
    <cellStyle name="Normal 2 17 9" xfId="276" xr:uid="{00000000-0005-0000-0000-000009010000}"/>
    <cellStyle name="Normal 2 18" xfId="277" xr:uid="{00000000-0005-0000-0000-00000A010000}"/>
    <cellStyle name="Normal 2 18 10" xfId="278" xr:uid="{00000000-0005-0000-0000-00000B010000}"/>
    <cellStyle name="Normal 2 18 11" xfId="279" xr:uid="{00000000-0005-0000-0000-00000C010000}"/>
    <cellStyle name="Normal 2 18 12" xfId="280" xr:uid="{00000000-0005-0000-0000-00000D010000}"/>
    <cellStyle name="Normal 2 18 13" xfId="281" xr:uid="{00000000-0005-0000-0000-00000E010000}"/>
    <cellStyle name="Normal 2 18 14" xfId="282" xr:uid="{00000000-0005-0000-0000-00000F010000}"/>
    <cellStyle name="Normal 2 18 15" xfId="283" xr:uid="{00000000-0005-0000-0000-000010010000}"/>
    <cellStyle name="Normal 2 18 16" xfId="284" xr:uid="{00000000-0005-0000-0000-000011010000}"/>
    <cellStyle name="Normal 2 18 17" xfId="285" xr:uid="{00000000-0005-0000-0000-000012010000}"/>
    <cellStyle name="Normal 2 18 18" xfId="286" xr:uid="{00000000-0005-0000-0000-000013010000}"/>
    <cellStyle name="Normal 2 18 19" xfId="287" xr:uid="{00000000-0005-0000-0000-000014010000}"/>
    <cellStyle name="Normal 2 18 2" xfId="288" xr:uid="{00000000-0005-0000-0000-000015010000}"/>
    <cellStyle name="Normal 2 18 20" xfId="289" xr:uid="{00000000-0005-0000-0000-000016010000}"/>
    <cellStyle name="Normal 2 18 21" xfId="290" xr:uid="{00000000-0005-0000-0000-000017010000}"/>
    <cellStyle name="Normal 2 18 22" xfId="291" xr:uid="{00000000-0005-0000-0000-000018010000}"/>
    <cellStyle name="Normal 2 18 23" xfId="292" xr:uid="{00000000-0005-0000-0000-000019010000}"/>
    <cellStyle name="Normal 2 18 3" xfId="293" xr:uid="{00000000-0005-0000-0000-00001A010000}"/>
    <cellStyle name="Normal 2 18 4" xfId="294" xr:uid="{00000000-0005-0000-0000-00001B010000}"/>
    <cellStyle name="Normal 2 18 5" xfId="295" xr:uid="{00000000-0005-0000-0000-00001C010000}"/>
    <cellStyle name="Normal 2 18 6" xfId="296" xr:uid="{00000000-0005-0000-0000-00001D010000}"/>
    <cellStyle name="Normal 2 18 7" xfId="297" xr:uid="{00000000-0005-0000-0000-00001E010000}"/>
    <cellStyle name="Normal 2 18 8" xfId="298" xr:uid="{00000000-0005-0000-0000-00001F010000}"/>
    <cellStyle name="Normal 2 18 9" xfId="299" xr:uid="{00000000-0005-0000-0000-000020010000}"/>
    <cellStyle name="Normal 2 19" xfId="300" xr:uid="{00000000-0005-0000-0000-000021010000}"/>
    <cellStyle name="Normal 2 19 10" xfId="301" xr:uid="{00000000-0005-0000-0000-000022010000}"/>
    <cellStyle name="Normal 2 19 11" xfId="302" xr:uid="{00000000-0005-0000-0000-000023010000}"/>
    <cellStyle name="Normal 2 19 12" xfId="303" xr:uid="{00000000-0005-0000-0000-000024010000}"/>
    <cellStyle name="Normal 2 19 13" xfId="304" xr:uid="{00000000-0005-0000-0000-000025010000}"/>
    <cellStyle name="Normal 2 19 14" xfId="305" xr:uid="{00000000-0005-0000-0000-000026010000}"/>
    <cellStyle name="Normal 2 19 15" xfId="306" xr:uid="{00000000-0005-0000-0000-000027010000}"/>
    <cellStyle name="Normal 2 19 16" xfId="307" xr:uid="{00000000-0005-0000-0000-000028010000}"/>
    <cellStyle name="Normal 2 19 17" xfId="308" xr:uid="{00000000-0005-0000-0000-000029010000}"/>
    <cellStyle name="Normal 2 19 18" xfId="309" xr:uid="{00000000-0005-0000-0000-00002A010000}"/>
    <cellStyle name="Normal 2 19 19" xfId="310" xr:uid="{00000000-0005-0000-0000-00002B010000}"/>
    <cellStyle name="Normal 2 19 2" xfId="311" xr:uid="{00000000-0005-0000-0000-00002C010000}"/>
    <cellStyle name="Normal 2 19 20" xfId="312" xr:uid="{00000000-0005-0000-0000-00002D010000}"/>
    <cellStyle name="Normal 2 19 21" xfId="313" xr:uid="{00000000-0005-0000-0000-00002E010000}"/>
    <cellStyle name="Normal 2 19 22" xfId="314" xr:uid="{00000000-0005-0000-0000-00002F010000}"/>
    <cellStyle name="Normal 2 19 23" xfId="315" xr:uid="{00000000-0005-0000-0000-000030010000}"/>
    <cellStyle name="Normal 2 19 3" xfId="316" xr:uid="{00000000-0005-0000-0000-000031010000}"/>
    <cellStyle name="Normal 2 19 4" xfId="317" xr:uid="{00000000-0005-0000-0000-000032010000}"/>
    <cellStyle name="Normal 2 19 5" xfId="318" xr:uid="{00000000-0005-0000-0000-000033010000}"/>
    <cellStyle name="Normal 2 19 6" xfId="319" xr:uid="{00000000-0005-0000-0000-000034010000}"/>
    <cellStyle name="Normal 2 19 7" xfId="320" xr:uid="{00000000-0005-0000-0000-000035010000}"/>
    <cellStyle name="Normal 2 19 8" xfId="321" xr:uid="{00000000-0005-0000-0000-000036010000}"/>
    <cellStyle name="Normal 2 19 9" xfId="322" xr:uid="{00000000-0005-0000-0000-000037010000}"/>
    <cellStyle name="Normal 2 2" xfId="49" xr:uid="{00000000-0005-0000-0000-000038010000}"/>
    <cellStyle name="Normal 2 2 2" xfId="323" xr:uid="{00000000-0005-0000-0000-000039010000}"/>
    <cellStyle name="Normal 2 20" xfId="324" xr:uid="{00000000-0005-0000-0000-00003A010000}"/>
    <cellStyle name="Normal 2 20 10" xfId="325" xr:uid="{00000000-0005-0000-0000-00003B010000}"/>
    <cellStyle name="Normal 2 20 11" xfId="326" xr:uid="{00000000-0005-0000-0000-00003C010000}"/>
    <cellStyle name="Normal 2 20 12" xfId="327" xr:uid="{00000000-0005-0000-0000-00003D010000}"/>
    <cellStyle name="Normal 2 20 13" xfId="328" xr:uid="{00000000-0005-0000-0000-00003E010000}"/>
    <cellStyle name="Normal 2 20 14" xfId="329" xr:uid="{00000000-0005-0000-0000-00003F010000}"/>
    <cellStyle name="Normal 2 20 15" xfId="330" xr:uid="{00000000-0005-0000-0000-000040010000}"/>
    <cellStyle name="Normal 2 20 16" xfId="331" xr:uid="{00000000-0005-0000-0000-000041010000}"/>
    <cellStyle name="Normal 2 20 17" xfId="332" xr:uid="{00000000-0005-0000-0000-000042010000}"/>
    <cellStyle name="Normal 2 20 18" xfId="333" xr:uid="{00000000-0005-0000-0000-000043010000}"/>
    <cellStyle name="Normal 2 20 19" xfId="334" xr:uid="{00000000-0005-0000-0000-000044010000}"/>
    <cellStyle name="Normal 2 20 2" xfId="335" xr:uid="{00000000-0005-0000-0000-000045010000}"/>
    <cellStyle name="Normal 2 20 20" xfId="336" xr:uid="{00000000-0005-0000-0000-000046010000}"/>
    <cellStyle name="Normal 2 20 21" xfId="337" xr:uid="{00000000-0005-0000-0000-000047010000}"/>
    <cellStyle name="Normal 2 20 22" xfId="338" xr:uid="{00000000-0005-0000-0000-000048010000}"/>
    <cellStyle name="Normal 2 20 23" xfId="339" xr:uid="{00000000-0005-0000-0000-000049010000}"/>
    <cellStyle name="Normal 2 20 3" xfId="340" xr:uid="{00000000-0005-0000-0000-00004A010000}"/>
    <cellStyle name="Normal 2 20 4" xfId="341" xr:uid="{00000000-0005-0000-0000-00004B010000}"/>
    <cellStyle name="Normal 2 20 5" xfId="342" xr:uid="{00000000-0005-0000-0000-00004C010000}"/>
    <cellStyle name="Normal 2 20 6" xfId="343" xr:uid="{00000000-0005-0000-0000-00004D010000}"/>
    <cellStyle name="Normal 2 20 7" xfId="344" xr:uid="{00000000-0005-0000-0000-00004E010000}"/>
    <cellStyle name="Normal 2 20 8" xfId="345" xr:uid="{00000000-0005-0000-0000-00004F010000}"/>
    <cellStyle name="Normal 2 20 9" xfId="346" xr:uid="{00000000-0005-0000-0000-000050010000}"/>
    <cellStyle name="Normal 2 21" xfId="347" xr:uid="{00000000-0005-0000-0000-000051010000}"/>
    <cellStyle name="Normal 2 21 10" xfId="348" xr:uid="{00000000-0005-0000-0000-000052010000}"/>
    <cellStyle name="Normal 2 21 11" xfId="349" xr:uid="{00000000-0005-0000-0000-000053010000}"/>
    <cellStyle name="Normal 2 21 12" xfId="350" xr:uid="{00000000-0005-0000-0000-000054010000}"/>
    <cellStyle name="Normal 2 21 13" xfId="351" xr:uid="{00000000-0005-0000-0000-000055010000}"/>
    <cellStyle name="Normal 2 21 14" xfId="352" xr:uid="{00000000-0005-0000-0000-000056010000}"/>
    <cellStyle name="Normal 2 21 15" xfId="353" xr:uid="{00000000-0005-0000-0000-000057010000}"/>
    <cellStyle name="Normal 2 21 16" xfId="354" xr:uid="{00000000-0005-0000-0000-000058010000}"/>
    <cellStyle name="Normal 2 21 17" xfId="355" xr:uid="{00000000-0005-0000-0000-000059010000}"/>
    <cellStyle name="Normal 2 21 18" xfId="356" xr:uid="{00000000-0005-0000-0000-00005A010000}"/>
    <cellStyle name="Normal 2 21 19" xfId="357" xr:uid="{00000000-0005-0000-0000-00005B010000}"/>
    <cellStyle name="Normal 2 21 2" xfId="358" xr:uid="{00000000-0005-0000-0000-00005C010000}"/>
    <cellStyle name="Normal 2 21 20" xfId="359" xr:uid="{00000000-0005-0000-0000-00005D010000}"/>
    <cellStyle name="Normal 2 21 21" xfId="360" xr:uid="{00000000-0005-0000-0000-00005E010000}"/>
    <cellStyle name="Normal 2 21 22" xfId="361" xr:uid="{00000000-0005-0000-0000-00005F010000}"/>
    <cellStyle name="Normal 2 21 23" xfId="362" xr:uid="{00000000-0005-0000-0000-000060010000}"/>
    <cellStyle name="Normal 2 21 3" xfId="363" xr:uid="{00000000-0005-0000-0000-000061010000}"/>
    <cellStyle name="Normal 2 21 4" xfId="364" xr:uid="{00000000-0005-0000-0000-000062010000}"/>
    <cellStyle name="Normal 2 21 5" xfId="365" xr:uid="{00000000-0005-0000-0000-000063010000}"/>
    <cellStyle name="Normal 2 21 6" xfId="366" xr:uid="{00000000-0005-0000-0000-000064010000}"/>
    <cellStyle name="Normal 2 21 7" xfId="367" xr:uid="{00000000-0005-0000-0000-000065010000}"/>
    <cellStyle name="Normal 2 21 8" xfId="368" xr:uid="{00000000-0005-0000-0000-000066010000}"/>
    <cellStyle name="Normal 2 21 9" xfId="369" xr:uid="{00000000-0005-0000-0000-000067010000}"/>
    <cellStyle name="Normal 2 22" xfId="370" xr:uid="{00000000-0005-0000-0000-000068010000}"/>
    <cellStyle name="Normal 2 22 10" xfId="371" xr:uid="{00000000-0005-0000-0000-000069010000}"/>
    <cellStyle name="Normal 2 22 11" xfId="372" xr:uid="{00000000-0005-0000-0000-00006A010000}"/>
    <cellStyle name="Normal 2 22 12" xfId="373" xr:uid="{00000000-0005-0000-0000-00006B010000}"/>
    <cellStyle name="Normal 2 22 13" xfId="374" xr:uid="{00000000-0005-0000-0000-00006C010000}"/>
    <cellStyle name="Normal 2 22 14" xfId="375" xr:uid="{00000000-0005-0000-0000-00006D010000}"/>
    <cellStyle name="Normal 2 22 15" xfId="376" xr:uid="{00000000-0005-0000-0000-00006E010000}"/>
    <cellStyle name="Normal 2 22 16" xfId="377" xr:uid="{00000000-0005-0000-0000-00006F010000}"/>
    <cellStyle name="Normal 2 22 17" xfId="378" xr:uid="{00000000-0005-0000-0000-000070010000}"/>
    <cellStyle name="Normal 2 22 18" xfId="379" xr:uid="{00000000-0005-0000-0000-000071010000}"/>
    <cellStyle name="Normal 2 22 19" xfId="380" xr:uid="{00000000-0005-0000-0000-000072010000}"/>
    <cellStyle name="Normal 2 22 2" xfId="381" xr:uid="{00000000-0005-0000-0000-000073010000}"/>
    <cellStyle name="Normal 2 22 20" xfId="382" xr:uid="{00000000-0005-0000-0000-000074010000}"/>
    <cellStyle name="Normal 2 22 21" xfId="383" xr:uid="{00000000-0005-0000-0000-000075010000}"/>
    <cellStyle name="Normal 2 22 22" xfId="384" xr:uid="{00000000-0005-0000-0000-000076010000}"/>
    <cellStyle name="Normal 2 22 23" xfId="385" xr:uid="{00000000-0005-0000-0000-000077010000}"/>
    <cellStyle name="Normal 2 22 3" xfId="386" xr:uid="{00000000-0005-0000-0000-000078010000}"/>
    <cellStyle name="Normal 2 22 4" xfId="387" xr:uid="{00000000-0005-0000-0000-000079010000}"/>
    <cellStyle name="Normal 2 22 5" xfId="388" xr:uid="{00000000-0005-0000-0000-00007A010000}"/>
    <cellStyle name="Normal 2 22 6" xfId="389" xr:uid="{00000000-0005-0000-0000-00007B010000}"/>
    <cellStyle name="Normal 2 22 7" xfId="390" xr:uid="{00000000-0005-0000-0000-00007C010000}"/>
    <cellStyle name="Normal 2 22 8" xfId="391" xr:uid="{00000000-0005-0000-0000-00007D010000}"/>
    <cellStyle name="Normal 2 22 9" xfId="392" xr:uid="{00000000-0005-0000-0000-00007E010000}"/>
    <cellStyle name="Normal 2 23" xfId="393" xr:uid="{00000000-0005-0000-0000-00007F010000}"/>
    <cellStyle name="Normal 2 23 10" xfId="394" xr:uid="{00000000-0005-0000-0000-000080010000}"/>
    <cellStyle name="Normal 2 23 11" xfId="395" xr:uid="{00000000-0005-0000-0000-000081010000}"/>
    <cellStyle name="Normal 2 23 12" xfId="396" xr:uid="{00000000-0005-0000-0000-000082010000}"/>
    <cellStyle name="Normal 2 23 13" xfId="397" xr:uid="{00000000-0005-0000-0000-000083010000}"/>
    <cellStyle name="Normal 2 23 14" xfId="398" xr:uid="{00000000-0005-0000-0000-000084010000}"/>
    <cellStyle name="Normal 2 23 15" xfId="399" xr:uid="{00000000-0005-0000-0000-000085010000}"/>
    <cellStyle name="Normal 2 23 16" xfId="400" xr:uid="{00000000-0005-0000-0000-000086010000}"/>
    <cellStyle name="Normal 2 23 17" xfId="401" xr:uid="{00000000-0005-0000-0000-000087010000}"/>
    <cellStyle name="Normal 2 23 18" xfId="402" xr:uid="{00000000-0005-0000-0000-000088010000}"/>
    <cellStyle name="Normal 2 23 19" xfId="403" xr:uid="{00000000-0005-0000-0000-000089010000}"/>
    <cellStyle name="Normal 2 23 2" xfId="404" xr:uid="{00000000-0005-0000-0000-00008A010000}"/>
    <cellStyle name="Normal 2 23 20" xfId="405" xr:uid="{00000000-0005-0000-0000-00008B010000}"/>
    <cellStyle name="Normal 2 23 21" xfId="406" xr:uid="{00000000-0005-0000-0000-00008C010000}"/>
    <cellStyle name="Normal 2 23 22" xfId="407" xr:uid="{00000000-0005-0000-0000-00008D010000}"/>
    <cellStyle name="Normal 2 23 23" xfId="408" xr:uid="{00000000-0005-0000-0000-00008E010000}"/>
    <cellStyle name="Normal 2 23 3" xfId="409" xr:uid="{00000000-0005-0000-0000-00008F010000}"/>
    <cellStyle name="Normal 2 23 4" xfId="410" xr:uid="{00000000-0005-0000-0000-000090010000}"/>
    <cellStyle name="Normal 2 23 5" xfId="411" xr:uid="{00000000-0005-0000-0000-000091010000}"/>
    <cellStyle name="Normal 2 23 6" xfId="412" xr:uid="{00000000-0005-0000-0000-000092010000}"/>
    <cellStyle name="Normal 2 23 7" xfId="413" xr:uid="{00000000-0005-0000-0000-000093010000}"/>
    <cellStyle name="Normal 2 23 8" xfId="414" xr:uid="{00000000-0005-0000-0000-000094010000}"/>
    <cellStyle name="Normal 2 23 9" xfId="415" xr:uid="{00000000-0005-0000-0000-000095010000}"/>
    <cellStyle name="Normal 2 24" xfId="416" xr:uid="{00000000-0005-0000-0000-000096010000}"/>
    <cellStyle name="Normal 2 24 10" xfId="417" xr:uid="{00000000-0005-0000-0000-000097010000}"/>
    <cellStyle name="Normal 2 24 11" xfId="418" xr:uid="{00000000-0005-0000-0000-000098010000}"/>
    <cellStyle name="Normal 2 24 12" xfId="419" xr:uid="{00000000-0005-0000-0000-000099010000}"/>
    <cellStyle name="Normal 2 24 13" xfId="420" xr:uid="{00000000-0005-0000-0000-00009A010000}"/>
    <cellStyle name="Normal 2 24 14" xfId="421" xr:uid="{00000000-0005-0000-0000-00009B010000}"/>
    <cellStyle name="Normal 2 24 15" xfId="422" xr:uid="{00000000-0005-0000-0000-00009C010000}"/>
    <cellStyle name="Normal 2 24 16" xfId="423" xr:uid="{00000000-0005-0000-0000-00009D010000}"/>
    <cellStyle name="Normal 2 24 17" xfId="424" xr:uid="{00000000-0005-0000-0000-00009E010000}"/>
    <cellStyle name="Normal 2 24 18" xfId="425" xr:uid="{00000000-0005-0000-0000-00009F010000}"/>
    <cellStyle name="Normal 2 24 19" xfId="426" xr:uid="{00000000-0005-0000-0000-0000A0010000}"/>
    <cellStyle name="Normal 2 24 2" xfId="427" xr:uid="{00000000-0005-0000-0000-0000A1010000}"/>
    <cellStyle name="Normal 2 24 20" xfId="428" xr:uid="{00000000-0005-0000-0000-0000A2010000}"/>
    <cellStyle name="Normal 2 24 21" xfId="429" xr:uid="{00000000-0005-0000-0000-0000A3010000}"/>
    <cellStyle name="Normal 2 24 22" xfId="430" xr:uid="{00000000-0005-0000-0000-0000A4010000}"/>
    <cellStyle name="Normal 2 24 23" xfId="431" xr:uid="{00000000-0005-0000-0000-0000A5010000}"/>
    <cellStyle name="Normal 2 24 3" xfId="432" xr:uid="{00000000-0005-0000-0000-0000A6010000}"/>
    <cellStyle name="Normal 2 24 4" xfId="433" xr:uid="{00000000-0005-0000-0000-0000A7010000}"/>
    <cellStyle name="Normal 2 24 5" xfId="434" xr:uid="{00000000-0005-0000-0000-0000A8010000}"/>
    <cellStyle name="Normal 2 24 6" xfId="435" xr:uid="{00000000-0005-0000-0000-0000A9010000}"/>
    <cellStyle name="Normal 2 24 7" xfId="436" xr:uid="{00000000-0005-0000-0000-0000AA010000}"/>
    <cellStyle name="Normal 2 24 8" xfId="437" xr:uid="{00000000-0005-0000-0000-0000AB010000}"/>
    <cellStyle name="Normal 2 24 9" xfId="438" xr:uid="{00000000-0005-0000-0000-0000AC010000}"/>
    <cellStyle name="Normal 2 25" xfId="439" xr:uid="{00000000-0005-0000-0000-0000AD010000}"/>
    <cellStyle name="Normal 2 25 10" xfId="440" xr:uid="{00000000-0005-0000-0000-0000AE010000}"/>
    <cellStyle name="Normal 2 25 11" xfId="441" xr:uid="{00000000-0005-0000-0000-0000AF010000}"/>
    <cellStyle name="Normal 2 25 12" xfId="442" xr:uid="{00000000-0005-0000-0000-0000B0010000}"/>
    <cellStyle name="Normal 2 25 13" xfId="443" xr:uid="{00000000-0005-0000-0000-0000B1010000}"/>
    <cellStyle name="Normal 2 25 14" xfId="444" xr:uid="{00000000-0005-0000-0000-0000B2010000}"/>
    <cellStyle name="Normal 2 25 15" xfId="445" xr:uid="{00000000-0005-0000-0000-0000B3010000}"/>
    <cellStyle name="Normal 2 25 16" xfId="446" xr:uid="{00000000-0005-0000-0000-0000B4010000}"/>
    <cellStyle name="Normal 2 25 17" xfId="447" xr:uid="{00000000-0005-0000-0000-0000B5010000}"/>
    <cellStyle name="Normal 2 25 18" xfId="448" xr:uid="{00000000-0005-0000-0000-0000B6010000}"/>
    <cellStyle name="Normal 2 25 19" xfId="449" xr:uid="{00000000-0005-0000-0000-0000B7010000}"/>
    <cellStyle name="Normal 2 25 2" xfId="450" xr:uid="{00000000-0005-0000-0000-0000B8010000}"/>
    <cellStyle name="Normal 2 25 20" xfId="451" xr:uid="{00000000-0005-0000-0000-0000B9010000}"/>
    <cellStyle name="Normal 2 25 21" xfId="452" xr:uid="{00000000-0005-0000-0000-0000BA010000}"/>
    <cellStyle name="Normal 2 25 22" xfId="453" xr:uid="{00000000-0005-0000-0000-0000BB010000}"/>
    <cellStyle name="Normal 2 25 23" xfId="454" xr:uid="{00000000-0005-0000-0000-0000BC010000}"/>
    <cellStyle name="Normal 2 25 3" xfId="455" xr:uid="{00000000-0005-0000-0000-0000BD010000}"/>
    <cellStyle name="Normal 2 25 4" xfId="456" xr:uid="{00000000-0005-0000-0000-0000BE010000}"/>
    <cellStyle name="Normal 2 25 5" xfId="457" xr:uid="{00000000-0005-0000-0000-0000BF010000}"/>
    <cellStyle name="Normal 2 25 6" xfId="458" xr:uid="{00000000-0005-0000-0000-0000C0010000}"/>
    <cellStyle name="Normal 2 25 7" xfId="459" xr:uid="{00000000-0005-0000-0000-0000C1010000}"/>
    <cellStyle name="Normal 2 25 8" xfId="460" xr:uid="{00000000-0005-0000-0000-0000C2010000}"/>
    <cellStyle name="Normal 2 25 9" xfId="461" xr:uid="{00000000-0005-0000-0000-0000C3010000}"/>
    <cellStyle name="Normal 2 26" xfId="462" xr:uid="{00000000-0005-0000-0000-0000C4010000}"/>
    <cellStyle name="Normal 2 26 10" xfId="463" xr:uid="{00000000-0005-0000-0000-0000C5010000}"/>
    <cellStyle name="Normal 2 26 11" xfId="464" xr:uid="{00000000-0005-0000-0000-0000C6010000}"/>
    <cellStyle name="Normal 2 26 12" xfId="465" xr:uid="{00000000-0005-0000-0000-0000C7010000}"/>
    <cellStyle name="Normal 2 26 13" xfId="466" xr:uid="{00000000-0005-0000-0000-0000C8010000}"/>
    <cellStyle name="Normal 2 26 14" xfId="467" xr:uid="{00000000-0005-0000-0000-0000C9010000}"/>
    <cellStyle name="Normal 2 26 15" xfId="468" xr:uid="{00000000-0005-0000-0000-0000CA010000}"/>
    <cellStyle name="Normal 2 26 16" xfId="469" xr:uid="{00000000-0005-0000-0000-0000CB010000}"/>
    <cellStyle name="Normal 2 26 17" xfId="470" xr:uid="{00000000-0005-0000-0000-0000CC010000}"/>
    <cellStyle name="Normal 2 26 18" xfId="471" xr:uid="{00000000-0005-0000-0000-0000CD010000}"/>
    <cellStyle name="Normal 2 26 19" xfId="472" xr:uid="{00000000-0005-0000-0000-0000CE010000}"/>
    <cellStyle name="Normal 2 26 2" xfId="473" xr:uid="{00000000-0005-0000-0000-0000CF010000}"/>
    <cellStyle name="Normal 2 26 20" xfId="474" xr:uid="{00000000-0005-0000-0000-0000D0010000}"/>
    <cellStyle name="Normal 2 26 21" xfId="475" xr:uid="{00000000-0005-0000-0000-0000D1010000}"/>
    <cellStyle name="Normal 2 26 22" xfId="476" xr:uid="{00000000-0005-0000-0000-0000D2010000}"/>
    <cellStyle name="Normal 2 26 23" xfId="477" xr:uid="{00000000-0005-0000-0000-0000D3010000}"/>
    <cellStyle name="Normal 2 26 3" xfId="478" xr:uid="{00000000-0005-0000-0000-0000D4010000}"/>
    <cellStyle name="Normal 2 26 4" xfId="479" xr:uid="{00000000-0005-0000-0000-0000D5010000}"/>
    <cellStyle name="Normal 2 26 5" xfId="480" xr:uid="{00000000-0005-0000-0000-0000D6010000}"/>
    <cellStyle name="Normal 2 26 6" xfId="481" xr:uid="{00000000-0005-0000-0000-0000D7010000}"/>
    <cellStyle name="Normal 2 26 7" xfId="482" xr:uid="{00000000-0005-0000-0000-0000D8010000}"/>
    <cellStyle name="Normal 2 26 8" xfId="483" xr:uid="{00000000-0005-0000-0000-0000D9010000}"/>
    <cellStyle name="Normal 2 26 9" xfId="484" xr:uid="{00000000-0005-0000-0000-0000DA010000}"/>
    <cellStyle name="Normal 2 27" xfId="485" xr:uid="{00000000-0005-0000-0000-0000DB010000}"/>
    <cellStyle name="Normal 2 27 10" xfId="486" xr:uid="{00000000-0005-0000-0000-0000DC010000}"/>
    <cellStyle name="Normal 2 27 11" xfId="487" xr:uid="{00000000-0005-0000-0000-0000DD010000}"/>
    <cellStyle name="Normal 2 27 12" xfId="488" xr:uid="{00000000-0005-0000-0000-0000DE010000}"/>
    <cellStyle name="Normal 2 27 13" xfId="489" xr:uid="{00000000-0005-0000-0000-0000DF010000}"/>
    <cellStyle name="Normal 2 27 14" xfId="490" xr:uid="{00000000-0005-0000-0000-0000E0010000}"/>
    <cellStyle name="Normal 2 27 15" xfId="491" xr:uid="{00000000-0005-0000-0000-0000E1010000}"/>
    <cellStyle name="Normal 2 27 16" xfId="492" xr:uid="{00000000-0005-0000-0000-0000E2010000}"/>
    <cellStyle name="Normal 2 27 17" xfId="493" xr:uid="{00000000-0005-0000-0000-0000E3010000}"/>
    <cellStyle name="Normal 2 27 18" xfId="494" xr:uid="{00000000-0005-0000-0000-0000E4010000}"/>
    <cellStyle name="Normal 2 27 19" xfId="495" xr:uid="{00000000-0005-0000-0000-0000E5010000}"/>
    <cellStyle name="Normal 2 27 2" xfId="496" xr:uid="{00000000-0005-0000-0000-0000E6010000}"/>
    <cellStyle name="Normal 2 27 20" xfId="497" xr:uid="{00000000-0005-0000-0000-0000E7010000}"/>
    <cellStyle name="Normal 2 27 21" xfId="498" xr:uid="{00000000-0005-0000-0000-0000E8010000}"/>
    <cellStyle name="Normal 2 27 22" xfId="499" xr:uid="{00000000-0005-0000-0000-0000E9010000}"/>
    <cellStyle name="Normal 2 27 23" xfId="500" xr:uid="{00000000-0005-0000-0000-0000EA010000}"/>
    <cellStyle name="Normal 2 27 3" xfId="501" xr:uid="{00000000-0005-0000-0000-0000EB010000}"/>
    <cellStyle name="Normal 2 27 4" xfId="502" xr:uid="{00000000-0005-0000-0000-0000EC010000}"/>
    <cellStyle name="Normal 2 27 5" xfId="503" xr:uid="{00000000-0005-0000-0000-0000ED010000}"/>
    <cellStyle name="Normal 2 27 6" xfId="504" xr:uid="{00000000-0005-0000-0000-0000EE010000}"/>
    <cellStyle name="Normal 2 27 7" xfId="505" xr:uid="{00000000-0005-0000-0000-0000EF010000}"/>
    <cellStyle name="Normal 2 27 8" xfId="506" xr:uid="{00000000-0005-0000-0000-0000F0010000}"/>
    <cellStyle name="Normal 2 27 9" xfId="507" xr:uid="{00000000-0005-0000-0000-0000F1010000}"/>
    <cellStyle name="Normal 2 28" xfId="508" xr:uid="{00000000-0005-0000-0000-0000F2010000}"/>
    <cellStyle name="Normal 2 28 10" xfId="509" xr:uid="{00000000-0005-0000-0000-0000F3010000}"/>
    <cellStyle name="Normal 2 28 11" xfId="510" xr:uid="{00000000-0005-0000-0000-0000F4010000}"/>
    <cellStyle name="Normal 2 28 12" xfId="511" xr:uid="{00000000-0005-0000-0000-0000F5010000}"/>
    <cellStyle name="Normal 2 28 13" xfId="512" xr:uid="{00000000-0005-0000-0000-0000F6010000}"/>
    <cellStyle name="Normal 2 28 14" xfId="513" xr:uid="{00000000-0005-0000-0000-0000F7010000}"/>
    <cellStyle name="Normal 2 28 15" xfId="514" xr:uid="{00000000-0005-0000-0000-0000F8010000}"/>
    <cellStyle name="Normal 2 28 16" xfId="515" xr:uid="{00000000-0005-0000-0000-0000F9010000}"/>
    <cellStyle name="Normal 2 28 17" xfId="516" xr:uid="{00000000-0005-0000-0000-0000FA010000}"/>
    <cellStyle name="Normal 2 28 18" xfId="517" xr:uid="{00000000-0005-0000-0000-0000FB010000}"/>
    <cellStyle name="Normal 2 28 19" xfId="518" xr:uid="{00000000-0005-0000-0000-0000FC010000}"/>
    <cellStyle name="Normal 2 28 2" xfId="519" xr:uid="{00000000-0005-0000-0000-0000FD010000}"/>
    <cellStyle name="Normal 2 28 20" xfId="520" xr:uid="{00000000-0005-0000-0000-0000FE010000}"/>
    <cellStyle name="Normal 2 28 21" xfId="521" xr:uid="{00000000-0005-0000-0000-0000FF010000}"/>
    <cellStyle name="Normal 2 28 22" xfId="522" xr:uid="{00000000-0005-0000-0000-000000020000}"/>
    <cellStyle name="Normal 2 28 23" xfId="523" xr:uid="{00000000-0005-0000-0000-000001020000}"/>
    <cellStyle name="Normal 2 28 3" xfId="524" xr:uid="{00000000-0005-0000-0000-000002020000}"/>
    <cellStyle name="Normal 2 28 4" xfId="525" xr:uid="{00000000-0005-0000-0000-000003020000}"/>
    <cellStyle name="Normal 2 28 5" xfId="526" xr:uid="{00000000-0005-0000-0000-000004020000}"/>
    <cellStyle name="Normal 2 28 6" xfId="527" xr:uid="{00000000-0005-0000-0000-000005020000}"/>
    <cellStyle name="Normal 2 28 7" xfId="528" xr:uid="{00000000-0005-0000-0000-000006020000}"/>
    <cellStyle name="Normal 2 28 8" xfId="529" xr:uid="{00000000-0005-0000-0000-000007020000}"/>
    <cellStyle name="Normal 2 28 9" xfId="530" xr:uid="{00000000-0005-0000-0000-000008020000}"/>
    <cellStyle name="Normal 2 29" xfId="531" xr:uid="{00000000-0005-0000-0000-000009020000}"/>
    <cellStyle name="Normal 2 29 10" xfId="532" xr:uid="{00000000-0005-0000-0000-00000A020000}"/>
    <cellStyle name="Normal 2 29 11" xfId="533" xr:uid="{00000000-0005-0000-0000-00000B020000}"/>
    <cellStyle name="Normal 2 29 12" xfId="534" xr:uid="{00000000-0005-0000-0000-00000C020000}"/>
    <cellStyle name="Normal 2 29 13" xfId="535" xr:uid="{00000000-0005-0000-0000-00000D020000}"/>
    <cellStyle name="Normal 2 29 14" xfId="536" xr:uid="{00000000-0005-0000-0000-00000E020000}"/>
    <cellStyle name="Normal 2 29 15" xfId="537" xr:uid="{00000000-0005-0000-0000-00000F020000}"/>
    <cellStyle name="Normal 2 29 16" xfId="538" xr:uid="{00000000-0005-0000-0000-000010020000}"/>
    <cellStyle name="Normal 2 29 17" xfId="539" xr:uid="{00000000-0005-0000-0000-000011020000}"/>
    <cellStyle name="Normal 2 29 18" xfId="540" xr:uid="{00000000-0005-0000-0000-000012020000}"/>
    <cellStyle name="Normal 2 29 19" xfId="541" xr:uid="{00000000-0005-0000-0000-000013020000}"/>
    <cellStyle name="Normal 2 29 2" xfId="542" xr:uid="{00000000-0005-0000-0000-000014020000}"/>
    <cellStyle name="Normal 2 29 20" xfId="543" xr:uid="{00000000-0005-0000-0000-000015020000}"/>
    <cellStyle name="Normal 2 29 21" xfId="544" xr:uid="{00000000-0005-0000-0000-000016020000}"/>
    <cellStyle name="Normal 2 29 22" xfId="545" xr:uid="{00000000-0005-0000-0000-000017020000}"/>
    <cellStyle name="Normal 2 29 23" xfId="546" xr:uid="{00000000-0005-0000-0000-000018020000}"/>
    <cellStyle name="Normal 2 29 3" xfId="547" xr:uid="{00000000-0005-0000-0000-000019020000}"/>
    <cellStyle name="Normal 2 29 4" xfId="548" xr:uid="{00000000-0005-0000-0000-00001A020000}"/>
    <cellStyle name="Normal 2 29 5" xfId="549" xr:uid="{00000000-0005-0000-0000-00001B020000}"/>
    <cellStyle name="Normal 2 29 6" xfId="550" xr:uid="{00000000-0005-0000-0000-00001C020000}"/>
    <cellStyle name="Normal 2 29 7" xfId="551" xr:uid="{00000000-0005-0000-0000-00001D020000}"/>
    <cellStyle name="Normal 2 29 8" xfId="552" xr:uid="{00000000-0005-0000-0000-00001E020000}"/>
    <cellStyle name="Normal 2 29 9" xfId="553" xr:uid="{00000000-0005-0000-0000-00001F020000}"/>
    <cellStyle name="Normal 2 3" xfId="554" xr:uid="{00000000-0005-0000-0000-000020020000}"/>
    <cellStyle name="Normal 2 30" xfId="555" xr:uid="{00000000-0005-0000-0000-000021020000}"/>
    <cellStyle name="Normal 2 30 10" xfId="556" xr:uid="{00000000-0005-0000-0000-000022020000}"/>
    <cellStyle name="Normal 2 30 11" xfId="557" xr:uid="{00000000-0005-0000-0000-000023020000}"/>
    <cellStyle name="Normal 2 30 12" xfId="558" xr:uid="{00000000-0005-0000-0000-000024020000}"/>
    <cellStyle name="Normal 2 30 13" xfId="559" xr:uid="{00000000-0005-0000-0000-000025020000}"/>
    <cellStyle name="Normal 2 30 14" xfId="560" xr:uid="{00000000-0005-0000-0000-000026020000}"/>
    <cellStyle name="Normal 2 30 15" xfId="561" xr:uid="{00000000-0005-0000-0000-000027020000}"/>
    <cellStyle name="Normal 2 30 16" xfId="562" xr:uid="{00000000-0005-0000-0000-000028020000}"/>
    <cellStyle name="Normal 2 30 17" xfId="563" xr:uid="{00000000-0005-0000-0000-000029020000}"/>
    <cellStyle name="Normal 2 30 18" xfId="564" xr:uid="{00000000-0005-0000-0000-00002A020000}"/>
    <cellStyle name="Normal 2 30 19" xfId="565" xr:uid="{00000000-0005-0000-0000-00002B020000}"/>
    <cellStyle name="Normal 2 30 2" xfId="566" xr:uid="{00000000-0005-0000-0000-00002C020000}"/>
    <cellStyle name="Normal 2 30 20" xfId="567" xr:uid="{00000000-0005-0000-0000-00002D020000}"/>
    <cellStyle name="Normal 2 30 21" xfId="568" xr:uid="{00000000-0005-0000-0000-00002E020000}"/>
    <cellStyle name="Normal 2 30 22" xfId="569" xr:uid="{00000000-0005-0000-0000-00002F020000}"/>
    <cellStyle name="Normal 2 30 23" xfId="570" xr:uid="{00000000-0005-0000-0000-000030020000}"/>
    <cellStyle name="Normal 2 30 3" xfId="571" xr:uid="{00000000-0005-0000-0000-000031020000}"/>
    <cellStyle name="Normal 2 30 4" xfId="572" xr:uid="{00000000-0005-0000-0000-000032020000}"/>
    <cellStyle name="Normal 2 30 5" xfId="573" xr:uid="{00000000-0005-0000-0000-000033020000}"/>
    <cellStyle name="Normal 2 30 6" xfId="574" xr:uid="{00000000-0005-0000-0000-000034020000}"/>
    <cellStyle name="Normal 2 30 7" xfId="575" xr:uid="{00000000-0005-0000-0000-000035020000}"/>
    <cellStyle name="Normal 2 30 8" xfId="576" xr:uid="{00000000-0005-0000-0000-000036020000}"/>
    <cellStyle name="Normal 2 30 9" xfId="577" xr:uid="{00000000-0005-0000-0000-000037020000}"/>
    <cellStyle name="Normal 2 31" xfId="578" xr:uid="{00000000-0005-0000-0000-000038020000}"/>
    <cellStyle name="Normal 2 31 10" xfId="579" xr:uid="{00000000-0005-0000-0000-000039020000}"/>
    <cellStyle name="Normal 2 31 11" xfId="580" xr:uid="{00000000-0005-0000-0000-00003A020000}"/>
    <cellStyle name="Normal 2 31 12" xfId="581" xr:uid="{00000000-0005-0000-0000-00003B020000}"/>
    <cellStyle name="Normal 2 31 13" xfId="582" xr:uid="{00000000-0005-0000-0000-00003C020000}"/>
    <cellStyle name="Normal 2 31 14" xfId="583" xr:uid="{00000000-0005-0000-0000-00003D020000}"/>
    <cellStyle name="Normal 2 31 15" xfId="584" xr:uid="{00000000-0005-0000-0000-00003E020000}"/>
    <cellStyle name="Normal 2 31 16" xfId="585" xr:uid="{00000000-0005-0000-0000-00003F020000}"/>
    <cellStyle name="Normal 2 31 17" xfId="586" xr:uid="{00000000-0005-0000-0000-000040020000}"/>
    <cellStyle name="Normal 2 31 18" xfId="587" xr:uid="{00000000-0005-0000-0000-000041020000}"/>
    <cellStyle name="Normal 2 31 19" xfId="588" xr:uid="{00000000-0005-0000-0000-000042020000}"/>
    <cellStyle name="Normal 2 31 2" xfId="589" xr:uid="{00000000-0005-0000-0000-000043020000}"/>
    <cellStyle name="Normal 2 31 20" xfId="590" xr:uid="{00000000-0005-0000-0000-000044020000}"/>
    <cellStyle name="Normal 2 31 21" xfId="591" xr:uid="{00000000-0005-0000-0000-000045020000}"/>
    <cellStyle name="Normal 2 31 22" xfId="592" xr:uid="{00000000-0005-0000-0000-000046020000}"/>
    <cellStyle name="Normal 2 31 23" xfId="593" xr:uid="{00000000-0005-0000-0000-000047020000}"/>
    <cellStyle name="Normal 2 31 3" xfId="594" xr:uid="{00000000-0005-0000-0000-000048020000}"/>
    <cellStyle name="Normal 2 31 4" xfId="595" xr:uid="{00000000-0005-0000-0000-000049020000}"/>
    <cellStyle name="Normal 2 31 5" xfId="596" xr:uid="{00000000-0005-0000-0000-00004A020000}"/>
    <cellStyle name="Normal 2 31 6" xfId="597" xr:uid="{00000000-0005-0000-0000-00004B020000}"/>
    <cellStyle name="Normal 2 31 7" xfId="598" xr:uid="{00000000-0005-0000-0000-00004C020000}"/>
    <cellStyle name="Normal 2 31 8" xfId="599" xr:uid="{00000000-0005-0000-0000-00004D020000}"/>
    <cellStyle name="Normal 2 31 9" xfId="600" xr:uid="{00000000-0005-0000-0000-00004E020000}"/>
    <cellStyle name="Normal 2 32" xfId="601" xr:uid="{00000000-0005-0000-0000-00004F020000}"/>
    <cellStyle name="Normal 2 32 10" xfId="602" xr:uid="{00000000-0005-0000-0000-000050020000}"/>
    <cellStyle name="Normal 2 32 11" xfId="603" xr:uid="{00000000-0005-0000-0000-000051020000}"/>
    <cellStyle name="Normal 2 32 12" xfId="604" xr:uid="{00000000-0005-0000-0000-000052020000}"/>
    <cellStyle name="Normal 2 32 13" xfId="605" xr:uid="{00000000-0005-0000-0000-000053020000}"/>
    <cellStyle name="Normal 2 32 14" xfId="606" xr:uid="{00000000-0005-0000-0000-000054020000}"/>
    <cellStyle name="Normal 2 32 15" xfId="607" xr:uid="{00000000-0005-0000-0000-000055020000}"/>
    <cellStyle name="Normal 2 32 16" xfId="608" xr:uid="{00000000-0005-0000-0000-000056020000}"/>
    <cellStyle name="Normal 2 32 17" xfId="609" xr:uid="{00000000-0005-0000-0000-000057020000}"/>
    <cellStyle name="Normal 2 32 18" xfId="610" xr:uid="{00000000-0005-0000-0000-000058020000}"/>
    <cellStyle name="Normal 2 32 19" xfId="611" xr:uid="{00000000-0005-0000-0000-000059020000}"/>
    <cellStyle name="Normal 2 32 2" xfId="612" xr:uid="{00000000-0005-0000-0000-00005A020000}"/>
    <cellStyle name="Normal 2 32 20" xfId="613" xr:uid="{00000000-0005-0000-0000-00005B020000}"/>
    <cellStyle name="Normal 2 32 21" xfId="614" xr:uid="{00000000-0005-0000-0000-00005C020000}"/>
    <cellStyle name="Normal 2 32 22" xfId="615" xr:uid="{00000000-0005-0000-0000-00005D020000}"/>
    <cellStyle name="Normal 2 32 23" xfId="616" xr:uid="{00000000-0005-0000-0000-00005E020000}"/>
    <cellStyle name="Normal 2 32 3" xfId="617" xr:uid="{00000000-0005-0000-0000-00005F020000}"/>
    <cellStyle name="Normal 2 32 4" xfId="618" xr:uid="{00000000-0005-0000-0000-000060020000}"/>
    <cellStyle name="Normal 2 32 5" xfId="619" xr:uid="{00000000-0005-0000-0000-000061020000}"/>
    <cellStyle name="Normal 2 32 6" xfId="620" xr:uid="{00000000-0005-0000-0000-000062020000}"/>
    <cellStyle name="Normal 2 32 7" xfId="621" xr:uid="{00000000-0005-0000-0000-000063020000}"/>
    <cellStyle name="Normal 2 32 8" xfId="622" xr:uid="{00000000-0005-0000-0000-000064020000}"/>
    <cellStyle name="Normal 2 32 9" xfId="623" xr:uid="{00000000-0005-0000-0000-000065020000}"/>
    <cellStyle name="Normal 2 33" xfId="624" xr:uid="{00000000-0005-0000-0000-000066020000}"/>
    <cellStyle name="Normal 2 33 10" xfId="625" xr:uid="{00000000-0005-0000-0000-000067020000}"/>
    <cellStyle name="Normal 2 33 11" xfId="626" xr:uid="{00000000-0005-0000-0000-000068020000}"/>
    <cellStyle name="Normal 2 33 12" xfId="627" xr:uid="{00000000-0005-0000-0000-000069020000}"/>
    <cellStyle name="Normal 2 33 13" xfId="628" xr:uid="{00000000-0005-0000-0000-00006A020000}"/>
    <cellStyle name="Normal 2 33 14" xfId="629" xr:uid="{00000000-0005-0000-0000-00006B020000}"/>
    <cellStyle name="Normal 2 33 15" xfId="630" xr:uid="{00000000-0005-0000-0000-00006C020000}"/>
    <cellStyle name="Normal 2 33 16" xfId="631" xr:uid="{00000000-0005-0000-0000-00006D020000}"/>
    <cellStyle name="Normal 2 33 17" xfId="632" xr:uid="{00000000-0005-0000-0000-00006E020000}"/>
    <cellStyle name="Normal 2 33 18" xfId="633" xr:uid="{00000000-0005-0000-0000-00006F020000}"/>
    <cellStyle name="Normal 2 33 19" xfId="634" xr:uid="{00000000-0005-0000-0000-000070020000}"/>
    <cellStyle name="Normal 2 33 2" xfId="635" xr:uid="{00000000-0005-0000-0000-000071020000}"/>
    <cellStyle name="Normal 2 33 20" xfId="636" xr:uid="{00000000-0005-0000-0000-000072020000}"/>
    <cellStyle name="Normal 2 33 21" xfId="637" xr:uid="{00000000-0005-0000-0000-000073020000}"/>
    <cellStyle name="Normal 2 33 22" xfId="638" xr:uid="{00000000-0005-0000-0000-000074020000}"/>
    <cellStyle name="Normal 2 33 23" xfId="639" xr:uid="{00000000-0005-0000-0000-000075020000}"/>
    <cellStyle name="Normal 2 33 3" xfId="640" xr:uid="{00000000-0005-0000-0000-000076020000}"/>
    <cellStyle name="Normal 2 33 4" xfId="641" xr:uid="{00000000-0005-0000-0000-000077020000}"/>
    <cellStyle name="Normal 2 33 5" xfId="642" xr:uid="{00000000-0005-0000-0000-000078020000}"/>
    <cellStyle name="Normal 2 33 6" xfId="643" xr:uid="{00000000-0005-0000-0000-000079020000}"/>
    <cellStyle name="Normal 2 33 7" xfId="644" xr:uid="{00000000-0005-0000-0000-00007A020000}"/>
    <cellStyle name="Normal 2 33 8" xfId="645" xr:uid="{00000000-0005-0000-0000-00007B020000}"/>
    <cellStyle name="Normal 2 33 9" xfId="646" xr:uid="{00000000-0005-0000-0000-00007C020000}"/>
    <cellStyle name="Normal 2 34" xfId="647" xr:uid="{00000000-0005-0000-0000-00007D020000}"/>
    <cellStyle name="Normal 2 34 10" xfId="648" xr:uid="{00000000-0005-0000-0000-00007E020000}"/>
    <cellStyle name="Normal 2 34 11" xfId="649" xr:uid="{00000000-0005-0000-0000-00007F020000}"/>
    <cellStyle name="Normal 2 34 12" xfId="650" xr:uid="{00000000-0005-0000-0000-000080020000}"/>
    <cellStyle name="Normal 2 34 13" xfId="651" xr:uid="{00000000-0005-0000-0000-000081020000}"/>
    <cellStyle name="Normal 2 34 14" xfId="652" xr:uid="{00000000-0005-0000-0000-000082020000}"/>
    <cellStyle name="Normal 2 34 15" xfId="653" xr:uid="{00000000-0005-0000-0000-000083020000}"/>
    <cellStyle name="Normal 2 34 16" xfId="654" xr:uid="{00000000-0005-0000-0000-000084020000}"/>
    <cellStyle name="Normal 2 34 17" xfId="655" xr:uid="{00000000-0005-0000-0000-000085020000}"/>
    <cellStyle name="Normal 2 34 18" xfId="656" xr:uid="{00000000-0005-0000-0000-000086020000}"/>
    <cellStyle name="Normal 2 34 19" xfId="657" xr:uid="{00000000-0005-0000-0000-000087020000}"/>
    <cellStyle name="Normal 2 34 2" xfId="658" xr:uid="{00000000-0005-0000-0000-000088020000}"/>
    <cellStyle name="Normal 2 34 20" xfId="659" xr:uid="{00000000-0005-0000-0000-000089020000}"/>
    <cellStyle name="Normal 2 34 21" xfId="660" xr:uid="{00000000-0005-0000-0000-00008A020000}"/>
    <cellStyle name="Normal 2 34 22" xfId="661" xr:uid="{00000000-0005-0000-0000-00008B020000}"/>
    <cellStyle name="Normal 2 34 23" xfId="662" xr:uid="{00000000-0005-0000-0000-00008C020000}"/>
    <cellStyle name="Normal 2 34 3" xfId="663" xr:uid="{00000000-0005-0000-0000-00008D020000}"/>
    <cellStyle name="Normal 2 34 4" xfId="664" xr:uid="{00000000-0005-0000-0000-00008E020000}"/>
    <cellStyle name="Normal 2 34 5" xfId="665" xr:uid="{00000000-0005-0000-0000-00008F020000}"/>
    <cellStyle name="Normal 2 34 6" xfId="666" xr:uid="{00000000-0005-0000-0000-000090020000}"/>
    <cellStyle name="Normal 2 34 7" xfId="667" xr:uid="{00000000-0005-0000-0000-000091020000}"/>
    <cellStyle name="Normal 2 34 8" xfId="668" xr:uid="{00000000-0005-0000-0000-000092020000}"/>
    <cellStyle name="Normal 2 34 9" xfId="669" xr:uid="{00000000-0005-0000-0000-000093020000}"/>
    <cellStyle name="Normal 2 35" xfId="670" xr:uid="{00000000-0005-0000-0000-000094020000}"/>
    <cellStyle name="Normal 2 35 10" xfId="671" xr:uid="{00000000-0005-0000-0000-000095020000}"/>
    <cellStyle name="Normal 2 35 11" xfId="672" xr:uid="{00000000-0005-0000-0000-000096020000}"/>
    <cellStyle name="Normal 2 35 12" xfId="673" xr:uid="{00000000-0005-0000-0000-000097020000}"/>
    <cellStyle name="Normal 2 35 13" xfId="674" xr:uid="{00000000-0005-0000-0000-000098020000}"/>
    <cellStyle name="Normal 2 35 14" xfId="675" xr:uid="{00000000-0005-0000-0000-000099020000}"/>
    <cellStyle name="Normal 2 35 15" xfId="676" xr:uid="{00000000-0005-0000-0000-00009A020000}"/>
    <cellStyle name="Normal 2 35 16" xfId="677" xr:uid="{00000000-0005-0000-0000-00009B020000}"/>
    <cellStyle name="Normal 2 35 17" xfId="678" xr:uid="{00000000-0005-0000-0000-00009C020000}"/>
    <cellStyle name="Normal 2 35 18" xfId="679" xr:uid="{00000000-0005-0000-0000-00009D020000}"/>
    <cellStyle name="Normal 2 35 19" xfId="680" xr:uid="{00000000-0005-0000-0000-00009E020000}"/>
    <cellStyle name="Normal 2 35 2" xfId="681" xr:uid="{00000000-0005-0000-0000-00009F020000}"/>
    <cellStyle name="Normal 2 35 20" xfId="682" xr:uid="{00000000-0005-0000-0000-0000A0020000}"/>
    <cellStyle name="Normal 2 35 21" xfId="683" xr:uid="{00000000-0005-0000-0000-0000A1020000}"/>
    <cellStyle name="Normal 2 35 22" xfId="684" xr:uid="{00000000-0005-0000-0000-0000A2020000}"/>
    <cellStyle name="Normal 2 35 23" xfId="685" xr:uid="{00000000-0005-0000-0000-0000A3020000}"/>
    <cellStyle name="Normal 2 35 3" xfId="686" xr:uid="{00000000-0005-0000-0000-0000A4020000}"/>
    <cellStyle name="Normal 2 35 4" xfId="687" xr:uid="{00000000-0005-0000-0000-0000A5020000}"/>
    <cellStyle name="Normal 2 35 5" xfId="688" xr:uid="{00000000-0005-0000-0000-0000A6020000}"/>
    <cellStyle name="Normal 2 35 6" xfId="689" xr:uid="{00000000-0005-0000-0000-0000A7020000}"/>
    <cellStyle name="Normal 2 35 7" xfId="690" xr:uid="{00000000-0005-0000-0000-0000A8020000}"/>
    <cellStyle name="Normal 2 35 8" xfId="691" xr:uid="{00000000-0005-0000-0000-0000A9020000}"/>
    <cellStyle name="Normal 2 35 9" xfId="692" xr:uid="{00000000-0005-0000-0000-0000AA020000}"/>
    <cellStyle name="Normal 2 36" xfId="693" xr:uid="{00000000-0005-0000-0000-0000AB020000}"/>
    <cellStyle name="Normal 2 36 10" xfId="694" xr:uid="{00000000-0005-0000-0000-0000AC020000}"/>
    <cellStyle name="Normal 2 36 11" xfId="695" xr:uid="{00000000-0005-0000-0000-0000AD020000}"/>
    <cellStyle name="Normal 2 36 12" xfId="696" xr:uid="{00000000-0005-0000-0000-0000AE020000}"/>
    <cellStyle name="Normal 2 36 13" xfId="697" xr:uid="{00000000-0005-0000-0000-0000AF020000}"/>
    <cellStyle name="Normal 2 36 14" xfId="698" xr:uid="{00000000-0005-0000-0000-0000B0020000}"/>
    <cellStyle name="Normal 2 36 15" xfId="699" xr:uid="{00000000-0005-0000-0000-0000B1020000}"/>
    <cellStyle name="Normal 2 36 16" xfId="700" xr:uid="{00000000-0005-0000-0000-0000B2020000}"/>
    <cellStyle name="Normal 2 36 17" xfId="701" xr:uid="{00000000-0005-0000-0000-0000B3020000}"/>
    <cellStyle name="Normal 2 36 18" xfId="702" xr:uid="{00000000-0005-0000-0000-0000B4020000}"/>
    <cellStyle name="Normal 2 36 19" xfId="703" xr:uid="{00000000-0005-0000-0000-0000B5020000}"/>
    <cellStyle name="Normal 2 36 2" xfId="704" xr:uid="{00000000-0005-0000-0000-0000B6020000}"/>
    <cellStyle name="Normal 2 36 20" xfId="705" xr:uid="{00000000-0005-0000-0000-0000B7020000}"/>
    <cellStyle name="Normal 2 36 21" xfId="706" xr:uid="{00000000-0005-0000-0000-0000B8020000}"/>
    <cellStyle name="Normal 2 36 22" xfId="707" xr:uid="{00000000-0005-0000-0000-0000B9020000}"/>
    <cellStyle name="Normal 2 36 23" xfId="708" xr:uid="{00000000-0005-0000-0000-0000BA020000}"/>
    <cellStyle name="Normal 2 36 3" xfId="709" xr:uid="{00000000-0005-0000-0000-0000BB020000}"/>
    <cellStyle name="Normal 2 36 4" xfId="710" xr:uid="{00000000-0005-0000-0000-0000BC020000}"/>
    <cellStyle name="Normal 2 36 5" xfId="711" xr:uid="{00000000-0005-0000-0000-0000BD020000}"/>
    <cellStyle name="Normal 2 36 6" xfId="712" xr:uid="{00000000-0005-0000-0000-0000BE020000}"/>
    <cellStyle name="Normal 2 36 7" xfId="713" xr:uid="{00000000-0005-0000-0000-0000BF020000}"/>
    <cellStyle name="Normal 2 36 8" xfId="714" xr:uid="{00000000-0005-0000-0000-0000C0020000}"/>
    <cellStyle name="Normal 2 36 9" xfId="715" xr:uid="{00000000-0005-0000-0000-0000C1020000}"/>
    <cellStyle name="Normal 2 37" xfId="716" xr:uid="{00000000-0005-0000-0000-0000C2020000}"/>
    <cellStyle name="Normal 2 37 10" xfId="717" xr:uid="{00000000-0005-0000-0000-0000C3020000}"/>
    <cellStyle name="Normal 2 37 11" xfId="718" xr:uid="{00000000-0005-0000-0000-0000C4020000}"/>
    <cellStyle name="Normal 2 37 12" xfId="719" xr:uid="{00000000-0005-0000-0000-0000C5020000}"/>
    <cellStyle name="Normal 2 37 13" xfId="720" xr:uid="{00000000-0005-0000-0000-0000C6020000}"/>
    <cellStyle name="Normal 2 37 14" xfId="721" xr:uid="{00000000-0005-0000-0000-0000C7020000}"/>
    <cellStyle name="Normal 2 37 15" xfId="722" xr:uid="{00000000-0005-0000-0000-0000C8020000}"/>
    <cellStyle name="Normal 2 37 16" xfId="723" xr:uid="{00000000-0005-0000-0000-0000C9020000}"/>
    <cellStyle name="Normal 2 37 17" xfId="724" xr:uid="{00000000-0005-0000-0000-0000CA020000}"/>
    <cellStyle name="Normal 2 37 18" xfId="725" xr:uid="{00000000-0005-0000-0000-0000CB020000}"/>
    <cellStyle name="Normal 2 37 19" xfId="726" xr:uid="{00000000-0005-0000-0000-0000CC020000}"/>
    <cellStyle name="Normal 2 37 2" xfId="727" xr:uid="{00000000-0005-0000-0000-0000CD020000}"/>
    <cellStyle name="Normal 2 37 20" xfId="728" xr:uid="{00000000-0005-0000-0000-0000CE020000}"/>
    <cellStyle name="Normal 2 37 21" xfId="729" xr:uid="{00000000-0005-0000-0000-0000CF020000}"/>
    <cellStyle name="Normal 2 37 22" xfId="730" xr:uid="{00000000-0005-0000-0000-0000D0020000}"/>
    <cellStyle name="Normal 2 37 23" xfId="731" xr:uid="{00000000-0005-0000-0000-0000D1020000}"/>
    <cellStyle name="Normal 2 37 3" xfId="732" xr:uid="{00000000-0005-0000-0000-0000D2020000}"/>
    <cellStyle name="Normal 2 37 4" xfId="733" xr:uid="{00000000-0005-0000-0000-0000D3020000}"/>
    <cellStyle name="Normal 2 37 5" xfId="734" xr:uid="{00000000-0005-0000-0000-0000D4020000}"/>
    <cellStyle name="Normal 2 37 6" xfId="735" xr:uid="{00000000-0005-0000-0000-0000D5020000}"/>
    <cellStyle name="Normal 2 37 7" xfId="736" xr:uid="{00000000-0005-0000-0000-0000D6020000}"/>
    <cellStyle name="Normal 2 37 8" xfId="737" xr:uid="{00000000-0005-0000-0000-0000D7020000}"/>
    <cellStyle name="Normal 2 37 9" xfId="738" xr:uid="{00000000-0005-0000-0000-0000D8020000}"/>
    <cellStyle name="Normal 2 38" xfId="739" xr:uid="{00000000-0005-0000-0000-0000D9020000}"/>
    <cellStyle name="Normal 2 38 10" xfId="740" xr:uid="{00000000-0005-0000-0000-0000DA020000}"/>
    <cellStyle name="Normal 2 38 11" xfId="741" xr:uid="{00000000-0005-0000-0000-0000DB020000}"/>
    <cellStyle name="Normal 2 38 12" xfId="742" xr:uid="{00000000-0005-0000-0000-0000DC020000}"/>
    <cellStyle name="Normal 2 38 13" xfId="743" xr:uid="{00000000-0005-0000-0000-0000DD020000}"/>
    <cellStyle name="Normal 2 38 14" xfId="744" xr:uid="{00000000-0005-0000-0000-0000DE020000}"/>
    <cellStyle name="Normal 2 38 15" xfId="745" xr:uid="{00000000-0005-0000-0000-0000DF020000}"/>
    <cellStyle name="Normal 2 38 16" xfId="746" xr:uid="{00000000-0005-0000-0000-0000E0020000}"/>
    <cellStyle name="Normal 2 38 17" xfId="747" xr:uid="{00000000-0005-0000-0000-0000E1020000}"/>
    <cellStyle name="Normal 2 38 18" xfId="748" xr:uid="{00000000-0005-0000-0000-0000E2020000}"/>
    <cellStyle name="Normal 2 38 19" xfId="749" xr:uid="{00000000-0005-0000-0000-0000E3020000}"/>
    <cellStyle name="Normal 2 38 2" xfId="750" xr:uid="{00000000-0005-0000-0000-0000E4020000}"/>
    <cellStyle name="Normal 2 38 20" xfId="751" xr:uid="{00000000-0005-0000-0000-0000E5020000}"/>
    <cellStyle name="Normal 2 38 21" xfId="752" xr:uid="{00000000-0005-0000-0000-0000E6020000}"/>
    <cellStyle name="Normal 2 38 22" xfId="753" xr:uid="{00000000-0005-0000-0000-0000E7020000}"/>
    <cellStyle name="Normal 2 38 23" xfId="754" xr:uid="{00000000-0005-0000-0000-0000E8020000}"/>
    <cellStyle name="Normal 2 38 3" xfId="755" xr:uid="{00000000-0005-0000-0000-0000E9020000}"/>
    <cellStyle name="Normal 2 38 4" xfId="756" xr:uid="{00000000-0005-0000-0000-0000EA020000}"/>
    <cellStyle name="Normal 2 38 5" xfId="757" xr:uid="{00000000-0005-0000-0000-0000EB020000}"/>
    <cellStyle name="Normal 2 38 6" xfId="758" xr:uid="{00000000-0005-0000-0000-0000EC020000}"/>
    <cellStyle name="Normal 2 38 7" xfId="759" xr:uid="{00000000-0005-0000-0000-0000ED020000}"/>
    <cellStyle name="Normal 2 38 8" xfId="760" xr:uid="{00000000-0005-0000-0000-0000EE020000}"/>
    <cellStyle name="Normal 2 38 9" xfId="761" xr:uid="{00000000-0005-0000-0000-0000EF020000}"/>
    <cellStyle name="Normal 2 39" xfId="762" xr:uid="{00000000-0005-0000-0000-0000F0020000}"/>
    <cellStyle name="Normal 2 39 10" xfId="763" xr:uid="{00000000-0005-0000-0000-0000F1020000}"/>
    <cellStyle name="Normal 2 39 11" xfId="764" xr:uid="{00000000-0005-0000-0000-0000F2020000}"/>
    <cellStyle name="Normal 2 39 12" xfId="765" xr:uid="{00000000-0005-0000-0000-0000F3020000}"/>
    <cellStyle name="Normal 2 39 13" xfId="766" xr:uid="{00000000-0005-0000-0000-0000F4020000}"/>
    <cellStyle name="Normal 2 39 14" xfId="767" xr:uid="{00000000-0005-0000-0000-0000F5020000}"/>
    <cellStyle name="Normal 2 39 15" xfId="768" xr:uid="{00000000-0005-0000-0000-0000F6020000}"/>
    <cellStyle name="Normal 2 39 16" xfId="769" xr:uid="{00000000-0005-0000-0000-0000F7020000}"/>
    <cellStyle name="Normal 2 39 17" xfId="770" xr:uid="{00000000-0005-0000-0000-0000F8020000}"/>
    <cellStyle name="Normal 2 39 18" xfId="771" xr:uid="{00000000-0005-0000-0000-0000F9020000}"/>
    <cellStyle name="Normal 2 39 19" xfId="772" xr:uid="{00000000-0005-0000-0000-0000FA020000}"/>
    <cellStyle name="Normal 2 39 2" xfId="773" xr:uid="{00000000-0005-0000-0000-0000FB020000}"/>
    <cellStyle name="Normal 2 39 20" xfId="774" xr:uid="{00000000-0005-0000-0000-0000FC020000}"/>
    <cellStyle name="Normal 2 39 21" xfId="775" xr:uid="{00000000-0005-0000-0000-0000FD020000}"/>
    <cellStyle name="Normal 2 39 22" xfId="776" xr:uid="{00000000-0005-0000-0000-0000FE020000}"/>
    <cellStyle name="Normal 2 39 23" xfId="777" xr:uid="{00000000-0005-0000-0000-0000FF020000}"/>
    <cellStyle name="Normal 2 39 3" xfId="778" xr:uid="{00000000-0005-0000-0000-000000030000}"/>
    <cellStyle name="Normal 2 39 4" xfId="779" xr:uid="{00000000-0005-0000-0000-000001030000}"/>
    <cellStyle name="Normal 2 39 5" xfId="780" xr:uid="{00000000-0005-0000-0000-000002030000}"/>
    <cellStyle name="Normal 2 39 6" xfId="781" xr:uid="{00000000-0005-0000-0000-000003030000}"/>
    <cellStyle name="Normal 2 39 7" xfId="782" xr:uid="{00000000-0005-0000-0000-000004030000}"/>
    <cellStyle name="Normal 2 39 8" xfId="783" xr:uid="{00000000-0005-0000-0000-000005030000}"/>
    <cellStyle name="Normal 2 39 9" xfId="784" xr:uid="{00000000-0005-0000-0000-000006030000}"/>
    <cellStyle name="Normal 2 4" xfId="785" xr:uid="{00000000-0005-0000-0000-000007030000}"/>
    <cellStyle name="Normal 2 40" xfId="786" xr:uid="{00000000-0005-0000-0000-000008030000}"/>
    <cellStyle name="Normal 2 41" xfId="787" xr:uid="{00000000-0005-0000-0000-000009030000}"/>
    <cellStyle name="Normal 2 42" xfId="788" xr:uid="{00000000-0005-0000-0000-00000A030000}"/>
    <cellStyle name="Normal 2 43" xfId="789" xr:uid="{00000000-0005-0000-0000-00000B030000}"/>
    <cellStyle name="Normal 2 44" xfId="790" xr:uid="{00000000-0005-0000-0000-00000C030000}"/>
    <cellStyle name="Normal 2 45" xfId="791" xr:uid="{00000000-0005-0000-0000-00000D030000}"/>
    <cellStyle name="Normal 2 46" xfId="792" xr:uid="{00000000-0005-0000-0000-00000E030000}"/>
    <cellStyle name="Normal 2 47" xfId="793" xr:uid="{00000000-0005-0000-0000-00000F030000}"/>
    <cellStyle name="Normal 2 48" xfId="794" xr:uid="{00000000-0005-0000-0000-000010030000}"/>
    <cellStyle name="Normal 2 49" xfId="795" xr:uid="{00000000-0005-0000-0000-000011030000}"/>
    <cellStyle name="Normal 2 5" xfId="796" xr:uid="{00000000-0005-0000-0000-000012030000}"/>
    <cellStyle name="Normal 2 5 10" xfId="797" xr:uid="{00000000-0005-0000-0000-000013030000}"/>
    <cellStyle name="Normal 2 5 11" xfId="798" xr:uid="{00000000-0005-0000-0000-000014030000}"/>
    <cellStyle name="Normal 2 5 12" xfId="799" xr:uid="{00000000-0005-0000-0000-000015030000}"/>
    <cellStyle name="Normal 2 5 13" xfId="800" xr:uid="{00000000-0005-0000-0000-000016030000}"/>
    <cellStyle name="Normal 2 5 14" xfId="801" xr:uid="{00000000-0005-0000-0000-000017030000}"/>
    <cellStyle name="Normal 2 5 15" xfId="802" xr:uid="{00000000-0005-0000-0000-000018030000}"/>
    <cellStyle name="Normal 2 5 16" xfId="803" xr:uid="{00000000-0005-0000-0000-000019030000}"/>
    <cellStyle name="Normal 2 5 17" xfId="804" xr:uid="{00000000-0005-0000-0000-00001A030000}"/>
    <cellStyle name="Normal 2 5 18" xfId="805" xr:uid="{00000000-0005-0000-0000-00001B030000}"/>
    <cellStyle name="Normal 2 5 19" xfId="806" xr:uid="{00000000-0005-0000-0000-00001C030000}"/>
    <cellStyle name="Normal 2 5 2" xfId="807" xr:uid="{00000000-0005-0000-0000-00001D030000}"/>
    <cellStyle name="Normal 2 5 2 10" xfId="808" xr:uid="{00000000-0005-0000-0000-00001E030000}"/>
    <cellStyle name="Normal 2 5 2 11" xfId="809" xr:uid="{00000000-0005-0000-0000-00001F030000}"/>
    <cellStyle name="Normal 2 5 2 12" xfId="810" xr:uid="{00000000-0005-0000-0000-000020030000}"/>
    <cellStyle name="Normal 2 5 2 13" xfId="811" xr:uid="{00000000-0005-0000-0000-000021030000}"/>
    <cellStyle name="Normal 2 5 2 14" xfId="812" xr:uid="{00000000-0005-0000-0000-000022030000}"/>
    <cellStyle name="Normal 2 5 2 15" xfId="813" xr:uid="{00000000-0005-0000-0000-000023030000}"/>
    <cellStyle name="Normal 2 5 2 16" xfId="814" xr:uid="{00000000-0005-0000-0000-000024030000}"/>
    <cellStyle name="Normal 2 5 2 17" xfId="815" xr:uid="{00000000-0005-0000-0000-000025030000}"/>
    <cellStyle name="Normal 2 5 2 18" xfId="816" xr:uid="{00000000-0005-0000-0000-000026030000}"/>
    <cellStyle name="Normal 2 5 2 19" xfId="817" xr:uid="{00000000-0005-0000-0000-000027030000}"/>
    <cellStyle name="Normal 2 5 2 2" xfId="818" xr:uid="{00000000-0005-0000-0000-000028030000}"/>
    <cellStyle name="Normal 2 5 2 2 10" xfId="819" xr:uid="{00000000-0005-0000-0000-000029030000}"/>
    <cellStyle name="Normal 2 5 2 2 11" xfId="820" xr:uid="{00000000-0005-0000-0000-00002A030000}"/>
    <cellStyle name="Normal 2 5 2 2 12" xfId="821" xr:uid="{00000000-0005-0000-0000-00002B030000}"/>
    <cellStyle name="Normal 2 5 2 2 13" xfId="822" xr:uid="{00000000-0005-0000-0000-00002C030000}"/>
    <cellStyle name="Normal 2 5 2 2 14" xfId="823" xr:uid="{00000000-0005-0000-0000-00002D030000}"/>
    <cellStyle name="Normal 2 5 2 2 15" xfId="824" xr:uid="{00000000-0005-0000-0000-00002E030000}"/>
    <cellStyle name="Normal 2 5 2 2 16" xfId="825" xr:uid="{00000000-0005-0000-0000-00002F030000}"/>
    <cellStyle name="Normal 2 5 2 2 17" xfId="826" xr:uid="{00000000-0005-0000-0000-000030030000}"/>
    <cellStyle name="Normal 2 5 2 2 18" xfId="827" xr:uid="{00000000-0005-0000-0000-000031030000}"/>
    <cellStyle name="Normal 2 5 2 2 19" xfId="828" xr:uid="{00000000-0005-0000-0000-000032030000}"/>
    <cellStyle name="Normal 2 5 2 2 2" xfId="829" xr:uid="{00000000-0005-0000-0000-000033030000}"/>
    <cellStyle name="Normal 2 5 2 2 20" xfId="830" xr:uid="{00000000-0005-0000-0000-000034030000}"/>
    <cellStyle name="Normal 2 5 2 2 21" xfId="831" xr:uid="{00000000-0005-0000-0000-000035030000}"/>
    <cellStyle name="Normal 2 5 2 2 22" xfId="832" xr:uid="{00000000-0005-0000-0000-000036030000}"/>
    <cellStyle name="Normal 2 5 2 2 23" xfId="833" xr:uid="{00000000-0005-0000-0000-000037030000}"/>
    <cellStyle name="Normal 2 5 2 2 24" xfId="834" xr:uid="{00000000-0005-0000-0000-000038030000}"/>
    <cellStyle name="Normal 2 5 2 2 25" xfId="835" xr:uid="{00000000-0005-0000-0000-000039030000}"/>
    <cellStyle name="Normal 2 5 2 2 26" xfId="836" xr:uid="{00000000-0005-0000-0000-00003A030000}"/>
    <cellStyle name="Normal 2 5 2 2 27" xfId="837" xr:uid="{00000000-0005-0000-0000-00003B030000}"/>
    <cellStyle name="Normal 2 5 2 2 28" xfId="838" xr:uid="{00000000-0005-0000-0000-00003C030000}"/>
    <cellStyle name="Normal 2 5 2 2 29" xfId="839" xr:uid="{00000000-0005-0000-0000-00003D030000}"/>
    <cellStyle name="Normal 2 5 2 2 3" xfId="840" xr:uid="{00000000-0005-0000-0000-00003E030000}"/>
    <cellStyle name="Normal 2 5 2 2 30" xfId="841" xr:uid="{00000000-0005-0000-0000-00003F030000}"/>
    <cellStyle name="Normal 2 5 2 2 31" xfId="842" xr:uid="{00000000-0005-0000-0000-000040030000}"/>
    <cellStyle name="Normal 2 5 2 2 32" xfId="843" xr:uid="{00000000-0005-0000-0000-000041030000}"/>
    <cellStyle name="Normal 2 5 2 2 33" xfId="844" xr:uid="{00000000-0005-0000-0000-000042030000}"/>
    <cellStyle name="Normal 2 5 2 2 34" xfId="845" xr:uid="{00000000-0005-0000-0000-000043030000}"/>
    <cellStyle name="Normal 2 5 2 2 35" xfId="846" xr:uid="{00000000-0005-0000-0000-000044030000}"/>
    <cellStyle name="Normal 2 5 2 2 36" xfId="847" xr:uid="{00000000-0005-0000-0000-000045030000}"/>
    <cellStyle name="Normal 2 5 2 2 37" xfId="848" xr:uid="{00000000-0005-0000-0000-000046030000}"/>
    <cellStyle name="Normal 2 5 2 2 38" xfId="849" xr:uid="{00000000-0005-0000-0000-000047030000}"/>
    <cellStyle name="Normal 2 5 2 2 39" xfId="850" xr:uid="{00000000-0005-0000-0000-000048030000}"/>
    <cellStyle name="Normal 2 5 2 2 4" xfId="851" xr:uid="{00000000-0005-0000-0000-000049030000}"/>
    <cellStyle name="Normal 2 5 2 2 40" xfId="852" xr:uid="{00000000-0005-0000-0000-00004A030000}"/>
    <cellStyle name="Normal 2 5 2 2 41" xfId="853" xr:uid="{00000000-0005-0000-0000-00004B030000}"/>
    <cellStyle name="Normal 2 5 2 2 42" xfId="854" xr:uid="{00000000-0005-0000-0000-00004C030000}"/>
    <cellStyle name="Normal 2 5 2 2 43" xfId="855" xr:uid="{00000000-0005-0000-0000-00004D030000}"/>
    <cellStyle name="Normal 2 5 2 2 44" xfId="856" xr:uid="{00000000-0005-0000-0000-00004E030000}"/>
    <cellStyle name="Normal 2 5 2 2 45" xfId="857" xr:uid="{00000000-0005-0000-0000-00004F030000}"/>
    <cellStyle name="Normal 2 5 2 2 46" xfId="858" xr:uid="{00000000-0005-0000-0000-000050030000}"/>
    <cellStyle name="Normal 2 5 2 2 47" xfId="859" xr:uid="{00000000-0005-0000-0000-000051030000}"/>
    <cellStyle name="Normal 2 5 2 2 48" xfId="860" xr:uid="{00000000-0005-0000-0000-000052030000}"/>
    <cellStyle name="Normal 2 5 2 2 49" xfId="861" xr:uid="{00000000-0005-0000-0000-000053030000}"/>
    <cellStyle name="Normal 2 5 2 2 5" xfId="862" xr:uid="{00000000-0005-0000-0000-000054030000}"/>
    <cellStyle name="Normal 2 5 2 2 50" xfId="863" xr:uid="{00000000-0005-0000-0000-000055030000}"/>
    <cellStyle name="Normal 2 5 2 2 51" xfId="864" xr:uid="{00000000-0005-0000-0000-000056030000}"/>
    <cellStyle name="Normal 2 5 2 2 52" xfId="865" xr:uid="{00000000-0005-0000-0000-000057030000}"/>
    <cellStyle name="Normal 2 5 2 2 53" xfId="866" xr:uid="{00000000-0005-0000-0000-000058030000}"/>
    <cellStyle name="Normal 2 5 2 2 54" xfId="867" xr:uid="{00000000-0005-0000-0000-000059030000}"/>
    <cellStyle name="Normal 2 5 2 2 55" xfId="868" xr:uid="{00000000-0005-0000-0000-00005A030000}"/>
    <cellStyle name="Normal 2 5 2 2 6" xfId="869" xr:uid="{00000000-0005-0000-0000-00005B030000}"/>
    <cellStyle name="Normal 2 5 2 2 7" xfId="870" xr:uid="{00000000-0005-0000-0000-00005C030000}"/>
    <cellStyle name="Normal 2 5 2 2 8" xfId="871" xr:uid="{00000000-0005-0000-0000-00005D030000}"/>
    <cellStyle name="Normal 2 5 2 2 9" xfId="872" xr:uid="{00000000-0005-0000-0000-00005E030000}"/>
    <cellStyle name="Normal 2 5 2 20" xfId="873" xr:uid="{00000000-0005-0000-0000-00005F030000}"/>
    <cellStyle name="Normal 2 5 2 21" xfId="874" xr:uid="{00000000-0005-0000-0000-000060030000}"/>
    <cellStyle name="Normal 2 5 2 22" xfId="875" xr:uid="{00000000-0005-0000-0000-000061030000}"/>
    <cellStyle name="Normal 2 5 2 23" xfId="876" xr:uid="{00000000-0005-0000-0000-000062030000}"/>
    <cellStyle name="Normal 2 5 2 24" xfId="877" xr:uid="{00000000-0005-0000-0000-000063030000}"/>
    <cellStyle name="Normal 2 5 2 25" xfId="878" xr:uid="{00000000-0005-0000-0000-000064030000}"/>
    <cellStyle name="Normal 2 5 2 26" xfId="879" xr:uid="{00000000-0005-0000-0000-000065030000}"/>
    <cellStyle name="Normal 2 5 2 27" xfId="880" xr:uid="{00000000-0005-0000-0000-000066030000}"/>
    <cellStyle name="Normal 2 5 2 28" xfId="881" xr:uid="{00000000-0005-0000-0000-000067030000}"/>
    <cellStyle name="Normal 2 5 2 29" xfId="882" xr:uid="{00000000-0005-0000-0000-000068030000}"/>
    <cellStyle name="Normal 2 5 2 3" xfId="883" xr:uid="{00000000-0005-0000-0000-000069030000}"/>
    <cellStyle name="Normal 2 5 2 30" xfId="884" xr:uid="{00000000-0005-0000-0000-00006A030000}"/>
    <cellStyle name="Normal 2 5 2 31" xfId="885" xr:uid="{00000000-0005-0000-0000-00006B030000}"/>
    <cellStyle name="Normal 2 5 2 32" xfId="886" xr:uid="{00000000-0005-0000-0000-00006C030000}"/>
    <cellStyle name="Normal 2 5 2 33" xfId="887" xr:uid="{00000000-0005-0000-0000-00006D030000}"/>
    <cellStyle name="Normal 2 5 2 4" xfId="888" xr:uid="{00000000-0005-0000-0000-00006E030000}"/>
    <cellStyle name="Normal 2 5 2 5" xfId="889" xr:uid="{00000000-0005-0000-0000-00006F030000}"/>
    <cellStyle name="Normal 2 5 2 6" xfId="890" xr:uid="{00000000-0005-0000-0000-000070030000}"/>
    <cellStyle name="Normal 2 5 2 7" xfId="891" xr:uid="{00000000-0005-0000-0000-000071030000}"/>
    <cellStyle name="Normal 2 5 2 8" xfId="892" xr:uid="{00000000-0005-0000-0000-000072030000}"/>
    <cellStyle name="Normal 2 5 2 9" xfId="893" xr:uid="{00000000-0005-0000-0000-000073030000}"/>
    <cellStyle name="Normal 2 5 20" xfId="894" xr:uid="{00000000-0005-0000-0000-000074030000}"/>
    <cellStyle name="Normal 2 5 21" xfId="895" xr:uid="{00000000-0005-0000-0000-000075030000}"/>
    <cellStyle name="Normal 2 5 22" xfId="896" xr:uid="{00000000-0005-0000-0000-000076030000}"/>
    <cellStyle name="Normal 2 5 23" xfId="897" xr:uid="{00000000-0005-0000-0000-000077030000}"/>
    <cellStyle name="Normal 2 5 24" xfId="898" xr:uid="{00000000-0005-0000-0000-000078030000}"/>
    <cellStyle name="Normal 2 5 25" xfId="899" xr:uid="{00000000-0005-0000-0000-000079030000}"/>
    <cellStyle name="Normal 2 5 26" xfId="900" xr:uid="{00000000-0005-0000-0000-00007A030000}"/>
    <cellStyle name="Normal 2 5 27" xfId="901" xr:uid="{00000000-0005-0000-0000-00007B030000}"/>
    <cellStyle name="Normal 2 5 28" xfId="902" xr:uid="{00000000-0005-0000-0000-00007C030000}"/>
    <cellStyle name="Normal 2 5 29" xfId="903" xr:uid="{00000000-0005-0000-0000-00007D030000}"/>
    <cellStyle name="Normal 2 5 3" xfId="904" xr:uid="{00000000-0005-0000-0000-00007E030000}"/>
    <cellStyle name="Normal 2 5 30" xfId="905" xr:uid="{00000000-0005-0000-0000-00007F030000}"/>
    <cellStyle name="Normal 2 5 31" xfId="906" xr:uid="{00000000-0005-0000-0000-000080030000}"/>
    <cellStyle name="Normal 2 5 32" xfId="907" xr:uid="{00000000-0005-0000-0000-000081030000}"/>
    <cellStyle name="Normal 2 5 33" xfId="908" xr:uid="{00000000-0005-0000-0000-000082030000}"/>
    <cellStyle name="Normal 2 5 34" xfId="909" xr:uid="{00000000-0005-0000-0000-000083030000}"/>
    <cellStyle name="Normal 2 5 35" xfId="910" xr:uid="{00000000-0005-0000-0000-000084030000}"/>
    <cellStyle name="Normal 2 5 36" xfId="911" xr:uid="{00000000-0005-0000-0000-000085030000}"/>
    <cellStyle name="Normal 2 5 37" xfId="912" xr:uid="{00000000-0005-0000-0000-000086030000}"/>
    <cellStyle name="Normal 2 5 38" xfId="913" xr:uid="{00000000-0005-0000-0000-000087030000}"/>
    <cellStyle name="Normal 2 5 39" xfId="914" xr:uid="{00000000-0005-0000-0000-000088030000}"/>
    <cellStyle name="Normal 2 5 4" xfId="915" xr:uid="{00000000-0005-0000-0000-000089030000}"/>
    <cellStyle name="Normal 2 5 40" xfId="916" xr:uid="{00000000-0005-0000-0000-00008A030000}"/>
    <cellStyle name="Normal 2 5 41" xfId="917" xr:uid="{00000000-0005-0000-0000-00008B030000}"/>
    <cellStyle name="Normal 2 5 42" xfId="918" xr:uid="{00000000-0005-0000-0000-00008C030000}"/>
    <cellStyle name="Normal 2 5 43" xfId="919" xr:uid="{00000000-0005-0000-0000-00008D030000}"/>
    <cellStyle name="Normal 2 5 44" xfId="920" xr:uid="{00000000-0005-0000-0000-00008E030000}"/>
    <cellStyle name="Normal 2 5 45" xfId="921" xr:uid="{00000000-0005-0000-0000-00008F030000}"/>
    <cellStyle name="Normal 2 5 46" xfId="922" xr:uid="{00000000-0005-0000-0000-000090030000}"/>
    <cellStyle name="Normal 2 5 47" xfId="923" xr:uid="{00000000-0005-0000-0000-000091030000}"/>
    <cellStyle name="Normal 2 5 48" xfId="924" xr:uid="{00000000-0005-0000-0000-000092030000}"/>
    <cellStyle name="Normal 2 5 49" xfId="925" xr:uid="{00000000-0005-0000-0000-000093030000}"/>
    <cellStyle name="Normal 2 5 5" xfId="926" xr:uid="{00000000-0005-0000-0000-000094030000}"/>
    <cellStyle name="Normal 2 5 50" xfId="927" xr:uid="{00000000-0005-0000-0000-000095030000}"/>
    <cellStyle name="Normal 2 5 51" xfId="928" xr:uid="{00000000-0005-0000-0000-000096030000}"/>
    <cellStyle name="Normal 2 5 52" xfId="929" xr:uid="{00000000-0005-0000-0000-000097030000}"/>
    <cellStyle name="Normal 2 5 53" xfId="930" xr:uid="{00000000-0005-0000-0000-000098030000}"/>
    <cellStyle name="Normal 2 5 54" xfId="931" xr:uid="{00000000-0005-0000-0000-000099030000}"/>
    <cellStyle name="Normal 2 5 55" xfId="932" xr:uid="{00000000-0005-0000-0000-00009A030000}"/>
    <cellStyle name="Normal 2 5 56" xfId="933" xr:uid="{00000000-0005-0000-0000-00009B030000}"/>
    <cellStyle name="Normal 2 5 57" xfId="934" xr:uid="{00000000-0005-0000-0000-00009C030000}"/>
    <cellStyle name="Normal 2 5 58" xfId="935" xr:uid="{00000000-0005-0000-0000-00009D030000}"/>
    <cellStyle name="Normal 2 5 59" xfId="936" xr:uid="{00000000-0005-0000-0000-00009E030000}"/>
    <cellStyle name="Normal 2 5 6" xfId="937" xr:uid="{00000000-0005-0000-0000-00009F030000}"/>
    <cellStyle name="Normal 2 5 60" xfId="938" xr:uid="{00000000-0005-0000-0000-0000A0030000}"/>
    <cellStyle name="Normal 2 5 61" xfId="939" xr:uid="{00000000-0005-0000-0000-0000A1030000}"/>
    <cellStyle name="Normal 2 5 62" xfId="940" xr:uid="{00000000-0005-0000-0000-0000A2030000}"/>
    <cellStyle name="Normal 2 5 63" xfId="941" xr:uid="{00000000-0005-0000-0000-0000A3030000}"/>
    <cellStyle name="Normal 2 5 64" xfId="942" xr:uid="{00000000-0005-0000-0000-0000A4030000}"/>
    <cellStyle name="Normal 2 5 65" xfId="943" xr:uid="{00000000-0005-0000-0000-0000A5030000}"/>
    <cellStyle name="Normal 2 5 66" xfId="944" xr:uid="{00000000-0005-0000-0000-0000A6030000}"/>
    <cellStyle name="Normal 2 5 67" xfId="945" xr:uid="{00000000-0005-0000-0000-0000A7030000}"/>
    <cellStyle name="Normal 2 5 68" xfId="946" xr:uid="{00000000-0005-0000-0000-0000A8030000}"/>
    <cellStyle name="Normal 2 5 69" xfId="947" xr:uid="{00000000-0005-0000-0000-0000A9030000}"/>
    <cellStyle name="Normal 2 5 7" xfId="948" xr:uid="{00000000-0005-0000-0000-0000AA030000}"/>
    <cellStyle name="Normal 2 5 70" xfId="949" xr:uid="{00000000-0005-0000-0000-0000AB030000}"/>
    <cellStyle name="Normal 2 5 71" xfId="950" xr:uid="{00000000-0005-0000-0000-0000AC030000}"/>
    <cellStyle name="Normal 2 5 72" xfId="951" xr:uid="{00000000-0005-0000-0000-0000AD030000}"/>
    <cellStyle name="Normal 2 5 73" xfId="952" xr:uid="{00000000-0005-0000-0000-0000AE030000}"/>
    <cellStyle name="Normal 2 5 74" xfId="953" xr:uid="{00000000-0005-0000-0000-0000AF030000}"/>
    <cellStyle name="Normal 2 5 75" xfId="954" xr:uid="{00000000-0005-0000-0000-0000B0030000}"/>
    <cellStyle name="Normal 2 5 76" xfId="955" xr:uid="{00000000-0005-0000-0000-0000B1030000}"/>
    <cellStyle name="Normal 2 5 77" xfId="956" xr:uid="{00000000-0005-0000-0000-0000B2030000}"/>
    <cellStyle name="Normal 2 5 78" xfId="957" xr:uid="{00000000-0005-0000-0000-0000B3030000}"/>
    <cellStyle name="Normal 2 5 79" xfId="958" xr:uid="{00000000-0005-0000-0000-0000B4030000}"/>
    <cellStyle name="Normal 2 5 8" xfId="959" xr:uid="{00000000-0005-0000-0000-0000B5030000}"/>
    <cellStyle name="Normal 2 5 80" xfId="960" xr:uid="{00000000-0005-0000-0000-0000B6030000}"/>
    <cellStyle name="Normal 2 5 81" xfId="961" xr:uid="{00000000-0005-0000-0000-0000B7030000}"/>
    <cellStyle name="Normal 2 5 82" xfId="962" xr:uid="{00000000-0005-0000-0000-0000B8030000}"/>
    <cellStyle name="Normal 2 5 83" xfId="963" xr:uid="{00000000-0005-0000-0000-0000B9030000}"/>
    <cellStyle name="Normal 2 5 84" xfId="964" xr:uid="{00000000-0005-0000-0000-0000BA030000}"/>
    <cellStyle name="Normal 2 5 85" xfId="965" xr:uid="{00000000-0005-0000-0000-0000BB030000}"/>
    <cellStyle name="Normal 2 5 86" xfId="966" xr:uid="{00000000-0005-0000-0000-0000BC030000}"/>
    <cellStyle name="Normal 2 5 87" xfId="967" xr:uid="{00000000-0005-0000-0000-0000BD030000}"/>
    <cellStyle name="Normal 2 5 9" xfId="968" xr:uid="{00000000-0005-0000-0000-0000BE030000}"/>
    <cellStyle name="Normal 2 5_DEER 032008 Cost Summary Delivery - Rev 4 (2)" xfId="969" xr:uid="{00000000-0005-0000-0000-0000BF030000}"/>
    <cellStyle name="Normal 2 50" xfId="970" xr:uid="{00000000-0005-0000-0000-0000C0030000}"/>
    <cellStyle name="Normal 2 51" xfId="971" xr:uid="{00000000-0005-0000-0000-0000C1030000}"/>
    <cellStyle name="Normal 2 52" xfId="972" xr:uid="{00000000-0005-0000-0000-0000C2030000}"/>
    <cellStyle name="Normal 2 53" xfId="973" xr:uid="{00000000-0005-0000-0000-0000C3030000}"/>
    <cellStyle name="Normal 2 54" xfId="974" xr:uid="{00000000-0005-0000-0000-0000C4030000}"/>
    <cellStyle name="Normal 2 55" xfId="975" xr:uid="{00000000-0005-0000-0000-0000C5030000}"/>
    <cellStyle name="Normal 2 56" xfId="976" xr:uid="{00000000-0005-0000-0000-0000C6030000}"/>
    <cellStyle name="Normal 2 57" xfId="977" xr:uid="{00000000-0005-0000-0000-0000C7030000}"/>
    <cellStyle name="Normal 2 58" xfId="978" xr:uid="{00000000-0005-0000-0000-0000C8030000}"/>
    <cellStyle name="Normal 2 59" xfId="979" xr:uid="{00000000-0005-0000-0000-0000C9030000}"/>
    <cellStyle name="Normal 2 6" xfId="980" xr:uid="{00000000-0005-0000-0000-0000CA030000}"/>
    <cellStyle name="Normal 2 60" xfId="981" xr:uid="{00000000-0005-0000-0000-0000CB030000}"/>
    <cellStyle name="Normal 2 61" xfId="982" xr:uid="{00000000-0005-0000-0000-0000CC030000}"/>
    <cellStyle name="Normal 2 62" xfId="983" xr:uid="{00000000-0005-0000-0000-0000CD030000}"/>
    <cellStyle name="Normal 2 63" xfId="984" xr:uid="{00000000-0005-0000-0000-0000CE030000}"/>
    <cellStyle name="Normal 2 64" xfId="985" xr:uid="{00000000-0005-0000-0000-0000CF030000}"/>
    <cellStyle name="Normal 2 65" xfId="986" xr:uid="{00000000-0005-0000-0000-0000D0030000}"/>
    <cellStyle name="Normal 2 66" xfId="987" xr:uid="{00000000-0005-0000-0000-0000D1030000}"/>
    <cellStyle name="Normal 2 67" xfId="988" xr:uid="{00000000-0005-0000-0000-0000D2030000}"/>
    <cellStyle name="Normal 2 68" xfId="989" xr:uid="{00000000-0005-0000-0000-0000D3030000}"/>
    <cellStyle name="Normal 2 69" xfId="990" xr:uid="{00000000-0005-0000-0000-0000D4030000}"/>
    <cellStyle name="Normal 2 7" xfId="991" xr:uid="{00000000-0005-0000-0000-0000D5030000}"/>
    <cellStyle name="Normal 2 70" xfId="992" xr:uid="{00000000-0005-0000-0000-0000D6030000}"/>
    <cellStyle name="Normal 2 71" xfId="993" xr:uid="{00000000-0005-0000-0000-0000D7030000}"/>
    <cellStyle name="Normal 2 72" xfId="994" xr:uid="{00000000-0005-0000-0000-0000D8030000}"/>
    <cellStyle name="Normal 2 73" xfId="995" xr:uid="{00000000-0005-0000-0000-0000D9030000}"/>
    <cellStyle name="Normal 2 74" xfId="996" xr:uid="{00000000-0005-0000-0000-0000DA030000}"/>
    <cellStyle name="Normal 2 75" xfId="997" xr:uid="{00000000-0005-0000-0000-0000DB030000}"/>
    <cellStyle name="Normal 2 76" xfId="998" xr:uid="{00000000-0005-0000-0000-0000DC030000}"/>
    <cellStyle name="Normal 2 77" xfId="999" xr:uid="{00000000-0005-0000-0000-0000DD030000}"/>
    <cellStyle name="Normal 2 78" xfId="1000" xr:uid="{00000000-0005-0000-0000-0000DE030000}"/>
    <cellStyle name="Normal 2 79" xfId="1001" xr:uid="{00000000-0005-0000-0000-0000DF030000}"/>
    <cellStyle name="Normal 2 8" xfId="1002" xr:uid="{00000000-0005-0000-0000-0000E0030000}"/>
    <cellStyle name="Normal 2 8 10" xfId="1003" xr:uid="{00000000-0005-0000-0000-0000E1030000}"/>
    <cellStyle name="Normal 2 8 11" xfId="1004" xr:uid="{00000000-0005-0000-0000-0000E2030000}"/>
    <cellStyle name="Normal 2 8 12" xfId="1005" xr:uid="{00000000-0005-0000-0000-0000E3030000}"/>
    <cellStyle name="Normal 2 8 13" xfId="1006" xr:uid="{00000000-0005-0000-0000-0000E4030000}"/>
    <cellStyle name="Normal 2 8 14" xfId="1007" xr:uid="{00000000-0005-0000-0000-0000E5030000}"/>
    <cellStyle name="Normal 2 8 15" xfId="1008" xr:uid="{00000000-0005-0000-0000-0000E6030000}"/>
    <cellStyle name="Normal 2 8 16" xfId="1009" xr:uid="{00000000-0005-0000-0000-0000E7030000}"/>
    <cellStyle name="Normal 2 8 17" xfId="1010" xr:uid="{00000000-0005-0000-0000-0000E8030000}"/>
    <cellStyle name="Normal 2 8 18" xfId="1011" xr:uid="{00000000-0005-0000-0000-0000E9030000}"/>
    <cellStyle name="Normal 2 8 19" xfId="1012" xr:uid="{00000000-0005-0000-0000-0000EA030000}"/>
    <cellStyle name="Normal 2 8 2" xfId="1013" xr:uid="{00000000-0005-0000-0000-0000EB030000}"/>
    <cellStyle name="Normal 2 8 20" xfId="1014" xr:uid="{00000000-0005-0000-0000-0000EC030000}"/>
    <cellStyle name="Normal 2 8 21" xfId="1015" xr:uid="{00000000-0005-0000-0000-0000ED030000}"/>
    <cellStyle name="Normal 2 8 22" xfId="1016" xr:uid="{00000000-0005-0000-0000-0000EE030000}"/>
    <cellStyle name="Normal 2 8 23" xfId="1017" xr:uid="{00000000-0005-0000-0000-0000EF030000}"/>
    <cellStyle name="Normal 2 8 3" xfId="1018" xr:uid="{00000000-0005-0000-0000-0000F0030000}"/>
    <cellStyle name="Normal 2 8 4" xfId="1019" xr:uid="{00000000-0005-0000-0000-0000F1030000}"/>
    <cellStyle name="Normal 2 8 5" xfId="1020" xr:uid="{00000000-0005-0000-0000-0000F2030000}"/>
    <cellStyle name="Normal 2 8 6" xfId="1021" xr:uid="{00000000-0005-0000-0000-0000F3030000}"/>
    <cellStyle name="Normal 2 8 7" xfId="1022" xr:uid="{00000000-0005-0000-0000-0000F4030000}"/>
    <cellStyle name="Normal 2 8 8" xfId="1023" xr:uid="{00000000-0005-0000-0000-0000F5030000}"/>
    <cellStyle name="Normal 2 8 9" xfId="1024" xr:uid="{00000000-0005-0000-0000-0000F6030000}"/>
    <cellStyle name="Normal 2 80" xfId="1025" xr:uid="{00000000-0005-0000-0000-0000F7030000}"/>
    <cellStyle name="Normal 2 81" xfId="1026" xr:uid="{00000000-0005-0000-0000-0000F8030000}"/>
    <cellStyle name="Normal 2 82" xfId="1027" xr:uid="{00000000-0005-0000-0000-0000F9030000}"/>
    <cellStyle name="Normal 2 83" xfId="1028" xr:uid="{00000000-0005-0000-0000-0000FA030000}"/>
    <cellStyle name="Normal 2 84" xfId="1029" xr:uid="{00000000-0005-0000-0000-0000FB030000}"/>
    <cellStyle name="Normal 2 85" xfId="1030" xr:uid="{00000000-0005-0000-0000-0000FC030000}"/>
    <cellStyle name="Normal 2 86" xfId="1031" xr:uid="{00000000-0005-0000-0000-0000FD030000}"/>
    <cellStyle name="Normal 2 87" xfId="1032" xr:uid="{00000000-0005-0000-0000-0000FE030000}"/>
    <cellStyle name="Normal 2 88" xfId="1033" xr:uid="{00000000-0005-0000-0000-0000FF030000}"/>
    <cellStyle name="Normal 2 89" xfId="1034" xr:uid="{00000000-0005-0000-0000-000000040000}"/>
    <cellStyle name="Normal 2 9" xfId="1035" xr:uid="{00000000-0005-0000-0000-000001040000}"/>
    <cellStyle name="Normal 2 9 10" xfId="1036" xr:uid="{00000000-0005-0000-0000-000002040000}"/>
    <cellStyle name="Normal 2 9 11" xfId="1037" xr:uid="{00000000-0005-0000-0000-000003040000}"/>
    <cellStyle name="Normal 2 9 12" xfId="1038" xr:uid="{00000000-0005-0000-0000-000004040000}"/>
    <cellStyle name="Normal 2 9 13" xfId="1039" xr:uid="{00000000-0005-0000-0000-000005040000}"/>
    <cellStyle name="Normal 2 9 14" xfId="1040" xr:uid="{00000000-0005-0000-0000-000006040000}"/>
    <cellStyle name="Normal 2 9 15" xfId="1041" xr:uid="{00000000-0005-0000-0000-000007040000}"/>
    <cellStyle name="Normal 2 9 16" xfId="1042" xr:uid="{00000000-0005-0000-0000-000008040000}"/>
    <cellStyle name="Normal 2 9 17" xfId="1043" xr:uid="{00000000-0005-0000-0000-000009040000}"/>
    <cellStyle name="Normal 2 9 18" xfId="1044" xr:uid="{00000000-0005-0000-0000-00000A040000}"/>
    <cellStyle name="Normal 2 9 19" xfId="1045" xr:uid="{00000000-0005-0000-0000-00000B040000}"/>
    <cellStyle name="Normal 2 9 2" xfId="1046" xr:uid="{00000000-0005-0000-0000-00000C040000}"/>
    <cellStyle name="Normal 2 9 20" xfId="1047" xr:uid="{00000000-0005-0000-0000-00000D040000}"/>
    <cellStyle name="Normal 2 9 21" xfId="1048" xr:uid="{00000000-0005-0000-0000-00000E040000}"/>
    <cellStyle name="Normal 2 9 22" xfId="1049" xr:uid="{00000000-0005-0000-0000-00000F040000}"/>
    <cellStyle name="Normal 2 9 23" xfId="1050" xr:uid="{00000000-0005-0000-0000-000010040000}"/>
    <cellStyle name="Normal 2 9 3" xfId="1051" xr:uid="{00000000-0005-0000-0000-000011040000}"/>
    <cellStyle name="Normal 2 9 4" xfId="1052" xr:uid="{00000000-0005-0000-0000-000012040000}"/>
    <cellStyle name="Normal 2 9 5" xfId="1053" xr:uid="{00000000-0005-0000-0000-000013040000}"/>
    <cellStyle name="Normal 2 9 6" xfId="1054" xr:uid="{00000000-0005-0000-0000-000014040000}"/>
    <cellStyle name="Normal 2 9 7" xfId="1055" xr:uid="{00000000-0005-0000-0000-000015040000}"/>
    <cellStyle name="Normal 2 9 8" xfId="1056" xr:uid="{00000000-0005-0000-0000-000016040000}"/>
    <cellStyle name="Normal 2 9 9" xfId="1057" xr:uid="{00000000-0005-0000-0000-000017040000}"/>
    <cellStyle name="Normal 2 90" xfId="1058" xr:uid="{00000000-0005-0000-0000-000018040000}"/>
    <cellStyle name="Normal 2 91" xfId="1059" xr:uid="{00000000-0005-0000-0000-000019040000}"/>
    <cellStyle name="Normal 2 92" xfId="1060" xr:uid="{00000000-0005-0000-0000-00001A040000}"/>
    <cellStyle name="Normal 2 93" xfId="1061" xr:uid="{00000000-0005-0000-0000-00001B040000}"/>
    <cellStyle name="Normal 2 94" xfId="54" xr:uid="{00000000-0005-0000-0000-00001C040000}"/>
    <cellStyle name="Normal 2_DEER 032008 Cost Summary Delivery - Rev 4 (2)" xfId="1062" xr:uid="{00000000-0005-0000-0000-00001D040000}"/>
    <cellStyle name="Normal 3" xfId="50" xr:uid="{00000000-0005-0000-0000-00001E040000}"/>
    <cellStyle name="Normal 3 10" xfId="1064" xr:uid="{00000000-0005-0000-0000-00001F040000}"/>
    <cellStyle name="Normal 3 10 10" xfId="1065" xr:uid="{00000000-0005-0000-0000-000020040000}"/>
    <cellStyle name="Normal 3 10 11" xfId="1066" xr:uid="{00000000-0005-0000-0000-000021040000}"/>
    <cellStyle name="Normal 3 10 12" xfId="1067" xr:uid="{00000000-0005-0000-0000-000022040000}"/>
    <cellStyle name="Normal 3 10 13" xfId="1068" xr:uid="{00000000-0005-0000-0000-000023040000}"/>
    <cellStyle name="Normal 3 10 14" xfId="1069" xr:uid="{00000000-0005-0000-0000-000024040000}"/>
    <cellStyle name="Normal 3 10 15" xfId="1070" xr:uid="{00000000-0005-0000-0000-000025040000}"/>
    <cellStyle name="Normal 3 10 16" xfId="1071" xr:uid="{00000000-0005-0000-0000-000026040000}"/>
    <cellStyle name="Normal 3 10 17" xfId="1072" xr:uid="{00000000-0005-0000-0000-000027040000}"/>
    <cellStyle name="Normal 3 10 18" xfId="1073" xr:uid="{00000000-0005-0000-0000-000028040000}"/>
    <cellStyle name="Normal 3 10 19" xfId="1074" xr:uid="{00000000-0005-0000-0000-000029040000}"/>
    <cellStyle name="Normal 3 10 2" xfId="1075" xr:uid="{00000000-0005-0000-0000-00002A040000}"/>
    <cellStyle name="Normal 3 10 20" xfId="1076" xr:uid="{00000000-0005-0000-0000-00002B040000}"/>
    <cellStyle name="Normal 3 10 21" xfId="1077" xr:uid="{00000000-0005-0000-0000-00002C040000}"/>
    <cellStyle name="Normal 3 10 22" xfId="1078" xr:uid="{00000000-0005-0000-0000-00002D040000}"/>
    <cellStyle name="Normal 3 10 23" xfId="1079" xr:uid="{00000000-0005-0000-0000-00002E040000}"/>
    <cellStyle name="Normal 3 10 3" xfId="1080" xr:uid="{00000000-0005-0000-0000-00002F040000}"/>
    <cellStyle name="Normal 3 10 4" xfId="1081" xr:uid="{00000000-0005-0000-0000-000030040000}"/>
    <cellStyle name="Normal 3 10 5" xfId="1082" xr:uid="{00000000-0005-0000-0000-000031040000}"/>
    <cellStyle name="Normal 3 10 6" xfId="1083" xr:uid="{00000000-0005-0000-0000-000032040000}"/>
    <cellStyle name="Normal 3 10 7" xfId="1084" xr:uid="{00000000-0005-0000-0000-000033040000}"/>
    <cellStyle name="Normal 3 10 8" xfId="1085" xr:uid="{00000000-0005-0000-0000-000034040000}"/>
    <cellStyle name="Normal 3 10 9" xfId="1086" xr:uid="{00000000-0005-0000-0000-000035040000}"/>
    <cellStyle name="Normal 3 11" xfId="1087" xr:uid="{00000000-0005-0000-0000-000036040000}"/>
    <cellStyle name="Normal 3 11 10" xfId="1088" xr:uid="{00000000-0005-0000-0000-000037040000}"/>
    <cellStyle name="Normal 3 11 11" xfId="1089" xr:uid="{00000000-0005-0000-0000-000038040000}"/>
    <cellStyle name="Normal 3 11 12" xfId="1090" xr:uid="{00000000-0005-0000-0000-000039040000}"/>
    <cellStyle name="Normal 3 11 13" xfId="1091" xr:uid="{00000000-0005-0000-0000-00003A040000}"/>
    <cellStyle name="Normal 3 11 14" xfId="1092" xr:uid="{00000000-0005-0000-0000-00003B040000}"/>
    <cellStyle name="Normal 3 11 15" xfId="1093" xr:uid="{00000000-0005-0000-0000-00003C040000}"/>
    <cellStyle name="Normal 3 11 16" xfId="1094" xr:uid="{00000000-0005-0000-0000-00003D040000}"/>
    <cellStyle name="Normal 3 11 17" xfId="1095" xr:uid="{00000000-0005-0000-0000-00003E040000}"/>
    <cellStyle name="Normal 3 11 18" xfId="1096" xr:uid="{00000000-0005-0000-0000-00003F040000}"/>
    <cellStyle name="Normal 3 11 19" xfId="1097" xr:uid="{00000000-0005-0000-0000-000040040000}"/>
    <cellStyle name="Normal 3 11 2" xfId="1098" xr:uid="{00000000-0005-0000-0000-000041040000}"/>
    <cellStyle name="Normal 3 11 20" xfId="1099" xr:uid="{00000000-0005-0000-0000-000042040000}"/>
    <cellStyle name="Normal 3 11 21" xfId="1100" xr:uid="{00000000-0005-0000-0000-000043040000}"/>
    <cellStyle name="Normal 3 11 22" xfId="1101" xr:uid="{00000000-0005-0000-0000-000044040000}"/>
    <cellStyle name="Normal 3 11 23" xfId="1102" xr:uid="{00000000-0005-0000-0000-000045040000}"/>
    <cellStyle name="Normal 3 11 3" xfId="1103" xr:uid="{00000000-0005-0000-0000-000046040000}"/>
    <cellStyle name="Normal 3 11 4" xfId="1104" xr:uid="{00000000-0005-0000-0000-000047040000}"/>
    <cellStyle name="Normal 3 11 5" xfId="1105" xr:uid="{00000000-0005-0000-0000-000048040000}"/>
    <cellStyle name="Normal 3 11 6" xfId="1106" xr:uid="{00000000-0005-0000-0000-000049040000}"/>
    <cellStyle name="Normal 3 11 7" xfId="1107" xr:uid="{00000000-0005-0000-0000-00004A040000}"/>
    <cellStyle name="Normal 3 11 8" xfId="1108" xr:uid="{00000000-0005-0000-0000-00004B040000}"/>
    <cellStyle name="Normal 3 11 9" xfId="1109" xr:uid="{00000000-0005-0000-0000-00004C040000}"/>
    <cellStyle name="Normal 3 12" xfId="1110" xr:uid="{00000000-0005-0000-0000-00004D040000}"/>
    <cellStyle name="Normal 3 12 10" xfId="1111" xr:uid="{00000000-0005-0000-0000-00004E040000}"/>
    <cellStyle name="Normal 3 12 11" xfId="1112" xr:uid="{00000000-0005-0000-0000-00004F040000}"/>
    <cellStyle name="Normal 3 12 12" xfId="1113" xr:uid="{00000000-0005-0000-0000-000050040000}"/>
    <cellStyle name="Normal 3 12 13" xfId="1114" xr:uid="{00000000-0005-0000-0000-000051040000}"/>
    <cellStyle name="Normal 3 12 14" xfId="1115" xr:uid="{00000000-0005-0000-0000-000052040000}"/>
    <cellStyle name="Normal 3 12 15" xfId="1116" xr:uid="{00000000-0005-0000-0000-000053040000}"/>
    <cellStyle name="Normal 3 12 16" xfId="1117" xr:uid="{00000000-0005-0000-0000-000054040000}"/>
    <cellStyle name="Normal 3 12 17" xfId="1118" xr:uid="{00000000-0005-0000-0000-000055040000}"/>
    <cellStyle name="Normal 3 12 18" xfId="1119" xr:uid="{00000000-0005-0000-0000-000056040000}"/>
    <cellStyle name="Normal 3 12 19" xfId="1120" xr:uid="{00000000-0005-0000-0000-000057040000}"/>
    <cellStyle name="Normal 3 12 2" xfId="1121" xr:uid="{00000000-0005-0000-0000-000058040000}"/>
    <cellStyle name="Normal 3 12 20" xfId="1122" xr:uid="{00000000-0005-0000-0000-000059040000}"/>
    <cellStyle name="Normal 3 12 21" xfId="1123" xr:uid="{00000000-0005-0000-0000-00005A040000}"/>
    <cellStyle name="Normal 3 12 22" xfId="1124" xr:uid="{00000000-0005-0000-0000-00005B040000}"/>
    <cellStyle name="Normal 3 12 23" xfId="1125" xr:uid="{00000000-0005-0000-0000-00005C040000}"/>
    <cellStyle name="Normal 3 12 3" xfId="1126" xr:uid="{00000000-0005-0000-0000-00005D040000}"/>
    <cellStyle name="Normal 3 12 4" xfId="1127" xr:uid="{00000000-0005-0000-0000-00005E040000}"/>
    <cellStyle name="Normal 3 12 5" xfId="1128" xr:uid="{00000000-0005-0000-0000-00005F040000}"/>
    <cellStyle name="Normal 3 12 6" xfId="1129" xr:uid="{00000000-0005-0000-0000-000060040000}"/>
    <cellStyle name="Normal 3 12 7" xfId="1130" xr:uid="{00000000-0005-0000-0000-000061040000}"/>
    <cellStyle name="Normal 3 12 8" xfId="1131" xr:uid="{00000000-0005-0000-0000-000062040000}"/>
    <cellStyle name="Normal 3 12 9" xfId="1132" xr:uid="{00000000-0005-0000-0000-000063040000}"/>
    <cellStyle name="Normal 3 13" xfId="1133" xr:uid="{00000000-0005-0000-0000-000064040000}"/>
    <cellStyle name="Normal 3 13 10" xfId="1134" xr:uid="{00000000-0005-0000-0000-000065040000}"/>
    <cellStyle name="Normal 3 13 11" xfId="1135" xr:uid="{00000000-0005-0000-0000-000066040000}"/>
    <cellStyle name="Normal 3 13 12" xfId="1136" xr:uid="{00000000-0005-0000-0000-000067040000}"/>
    <cellStyle name="Normal 3 13 13" xfId="1137" xr:uid="{00000000-0005-0000-0000-000068040000}"/>
    <cellStyle name="Normal 3 13 14" xfId="1138" xr:uid="{00000000-0005-0000-0000-000069040000}"/>
    <cellStyle name="Normal 3 13 15" xfId="1139" xr:uid="{00000000-0005-0000-0000-00006A040000}"/>
    <cellStyle name="Normal 3 13 16" xfId="1140" xr:uid="{00000000-0005-0000-0000-00006B040000}"/>
    <cellStyle name="Normal 3 13 17" xfId="1141" xr:uid="{00000000-0005-0000-0000-00006C040000}"/>
    <cellStyle name="Normal 3 13 18" xfId="1142" xr:uid="{00000000-0005-0000-0000-00006D040000}"/>
    <cellStyle name="Normal 3 13 19" xfId="1143" xr:uid="{00000000-0005-0000-0000-00006E040000}"/>
    <cellStyle name="Normal 3 13 2" xfId="1144" xr:uid="{00000000-0005-0000-0000-00006F040000}"/>
    <cellStyle name="Normal 3 13 20" xfId="1145" xr:uid="{00000000-0005-0000-0000-000070040000}"/>
    <cellStyle name="Normal 3 13 21" xfId="1146" xr:uid="{00000000-0005-0000-0000-000071040000}"/>
    <cellStyle name="Normal 3 13 22" xfId="1147" xr:uid="{00000000-0005-0000-0000-000072040000}"/>
    <cellStyle name="Normal 3 13 23" xfId="1148" xr:uid="{00000000-0005-0000-0000-000073040000}"/>
    <cellStyle name="Normal 3 13 3" xfId="1149" xr:uid="{00000000-0005-0000-0000-000074040000}"/>
    <cellStyle name="Normal 3 13 4" xfId="1150" xr:uid="{00000000-0005-0000-0000-000075040000}"/>
    <cellStyle name="Normal 3 13 5" xfId="1151" xr:uid="{00000000-0005-0000-0000-000076040000}"/>
    <cellStyle name="Normal 3 13 6" xfId="1152" xr:uid="{00000000-0005-0000-0000-000077040000}"/>
    <cellStyle name="Normal 3 13 7" xfId="1153" xr:uid="{00000000-0005-0000-0000-000078040000}"/>
    <cellStyle name="Normal 3 13 8" xfId="1154" xr:uid="{00000000-0005-0000-0000-000079040000}"/>
    <cellStyle name="Normal 3 13 9" xfId="1155" xr:uid="{00000000-0005-0000-0000-00007A040000}"/>
    <cellStyle name="Normal 3 14" xfId="1156" xr:uid="{00000000-0005-0000-0000-00007B040000}"/>
    <cellStyle name="Normal 3 14 10" xfId="1157" xr:uid="{00000000-0005-0000-0000-00007C040000}"/>
    <cellStyle name="Normal 3 14 11" xfId="1158" xr:uid="{00000000-0005-0000-0000-00007D040000}"/>
    <cellStyle name="Normal 3 14 12" xfId="1159" xr:uid="{00000000-0005-0000-0000-00007E040000}"/>
    <cellStyle name="Normal 3 14 13" xfId="1160" xr:uid="{00000000-0005-0000-0000-00007F040000}"/>
    <cellStyle name="Normal 3 14 14" xfId="1161" xr:uid="{00000000-0005-0000-0000-000080040000}"/>
    <cellStyle name="Normal 3 14 15" xfId="1162" xr:uid="{00000000-0005-0000-0000-000081040000}"/>
    <cellStyle name="Normal 3 14 16" xfId="1163" xr:uid="{00000000-0005-0000-0000-000082040000}"/>
    <cellStyle name="Normal 3 14 17" xfId="1164" xr:uid="{00000000-0005-0000-0000-000083040000}"/>
    <cellStyle name="Normal 3 14 18" xfId="1165" xr:uid="{00000000-0005-0000-0000-000084040000}"/>
    <cellStyle name="Normal 3 14 19" xfId="1166" xr:uid="{00000000-0005-0000-0000-000085040000}"/>
    <cellStyle name="Normal 3 14 2" xfId="1167" xr:uid="{00000000-0005-0000-0000-000086040000}"/>
    <cellStyle name="Normal 3 14 20" xfId="1168" xr:uid="{00000000-0005-0000-0000-000087040000}"/>
    <cellStyle name="Normal 3 14 21" xfId="1169" xr:uid="{00000000-0005-0000-0000-000088040000}"/>
    <cellStyle name="Normal 3 14 22" xfId="1170" xr:uid="{00000000-0005-0000-0000-000089040000}"/>
    <cellStyle name="Normal 3 14 23" xfId="1171" xr:uid="{00000000-0005-0000-0000-00008A040000}"/>
    <cellStyle name="Normal 3 14 3" xfId="1172" xr:uid="{00000000-0005-0000-0000-00008B040000}"/>
    <cellStyle name="Normal 3 14 4" xfId="1173" xr:uid="{00000000-0005-0000-0000-00008C040000}"/>
    <cellStyle name="Normal 3 14 5" xfId="1174" xr:uid="{00000000-0005-0000-0000-00008D040000}"/>
    <cellStyle name="Normal 3 14 6" xfId="1175" xr:uid="{00000000-0005-0000-0000-00008E040000}"/>
    <cellStyle name="Normal 3 14 7" xfId="1176" xr:uid="{00000000-0005-0000-0000-00008F040000}"/>
    <cellStyle name="Normal 3 14 8" xfId="1177" xr:uid="{00000000-0005-0000-0000-000090040000}"/>
    <cellStyle name="Normal 3 14 9" xfId="1178" xr:uid="{00000000-0005-0000-0000-000091040000}"/>
    <cellStyle name="Normal 3 15" xfId="1179" xr:uid="{00000000-0005-0000-0000-000092040000}"/>
    <cellStyle name="Normal 3 15 10" xfId="1180" xr:uid="{00000000-0005-0000-0000-000093040000}"/>
    <cellStyle name="Normal 3 15 11" xfId="1181" xr:uid="{00000000-0005-0000-0000-000094040000}"/>
    <cellStyle name="Normal 3 15 12" xfId="1182" xr:uid="{00000000-0005-0000-0000-000095040000}"/>
    <cellStyle name="Normal 3 15 13" xfId="1183" xr:uid="{00000000-0005-0000-0000-000096040000}"/>
    <cellStyle name="Normal 3 15 14" xfId="1184" xr:uid="{00000000-0005-0000-0000-000097040000}"/>
    <cellStyle name="Normal 3 15 15" xfId="1185" xr:uid="{00000000-0005-0000-0000-000098040000}"/>
    <cellStyle name="Normal 3 15 16" xfId="1186" xr:uid="{00000000-0005-0000-0000-000099040000}"/>
    <cellStyle name="Normal 3 15 17" xfId="1187" xr:uid="{00000000-0005-0000-0000-00009A040000}"/>
    <cellStyle name="Normal 3 15 18" xfId="1188" xr:uid="{00000000-0005-0000-0000-00009B040000}"/>
    <cellStyle name="Normal 3 15 19" xfId="1189" xr:uid="{00000000-0005-0000-0000-00009C040000}"/>
    <cellStyle name="Normal 3 15 2" xfId="1190" xr:uid="{00000000-0005-0000-0000-00009D040000}"/>
    <cellStyle name="Normal 3 15 20" xfId="1191" xr:uid="{00000000-0005-0000-0000-00009E040000}"/>
    <cellStyle name="Normal 3 15 21" xfId="1192" xr:uid="{00000000-0005-0000-0000-00009F040000}"/>
    <cellStyle name="Normal 3 15 22" xfId="1193" xr:uid="{00000000-0005-0000-0000-0000A0040000}"/>
    <cellStyle name="Normal 3 15 23" xfId="1194" xr:uid="{00000000-0005-0000-0000-0000A1040000}"/>
    <cellStyle name="Normal 3 15 3" xfId="1195" xr:uid="{00000000-0005-0000-0000-0000A2040000}"/>
    <cellStyle name="Normal 3 15 4" xfId="1196" xr:uid="{00000000-0005-0000-0000-0000A3040000}"/>
    <cellStyle name="Normal 3 15 5" xfId="1197" xr:uid="{00000000-0005-0000-0000-0000A4040000}"/>
    <cellStyle name="Normal 3 15 6" xfId="1198" xr:uid="{00000000-0005-0000-0000-0000A5040000}"/>
    <cellStyle name="Normal 3 15 7" xfId="1199" xr:uid="{00000000-0005-0000-0000-0000A6040000}"/>
    <cellStyle name="Normal 3 15 8" xfId="1200" xr:uid="{00000000-0005-0000-0000-0000A7040000}"/>
    <cellStyle name="Normal 3 15 9" xfId="1201" xr:uid="{00000000-0005-0000-0000-0000A8040000}"/>
    <cellStyle name="Normal 3 16" xfId="1202" xr:uid="{00000000-0005-0000-0000-0000A9040000}"/>
    <cellStyle name="Normal 3 16 10" xfId="1203" xr:uid="{00000000-0005-0000-0000-0000AA040000}"/>
    <cellStyle name="Normal 3 16 11" xfId="1204" xr:uid="{00000000-0005-0000-0000-0000AB040000}"/>
    <cellStyle name="Normal 3 16 12" xfId="1205" xr:uid="{00000000-0005-0000-0000-0000AC040000}"/>
    <cellStyle name="Normal 3 16 13" xfId="1206" xr:uid="{00000000-0005-0000-0000-0000AD040000}"/>
    <cellStyle name="Normal 3 16 14" xfId="1207" xr:uid="{00000000-0005-0000-0000-0000AE040000}"/>
    <cellStyle name="Normal 3 16 15" xfId="1208" xr:uid="{00000000-0005-0000-0000-0000AF040000}"/>
    <cellStyle name="Normal 3 16 16" xfId="1209" xr:uid="{00000000-0005-0000-0000-0000B0040000}"/>
    <cellStyle name="Normal 3 16 17" xfId="1210" xr:uid="{00000000-0005-0000-0000-0000B1040000}"/>
    <cellStyle name="Normal 3 16 18" xfId="1211" xr:uid="{00000000-0005-0000-0000-0000B2040000}"/>
    <cellStyle name="Normal 3 16 19" xfId="1212" xr:uid="{00000000-0005-0000-0000-0000B3040000}"/>
    <cellStyle name="Normal 3 16 2" xfId="1213" xr:uid="{00000000-0005-0000-0000-0000B4040000}"/>
    <cellStyle name="Normal 3 16 20" xfId="1214" xr:uid="{00000000-0005-0000-0000-0000B5040000}"/>
    <cellStyle name="Normal 3 16 21" xfId="1215" xr:uid="{00000000-0005-0000-0000-0000B6040000}"/>
    <cellStyle name="Normal 3 16 22" xfId="1216" xr:uid="{00000000-0005-0000-0000-0000B7040000}"/>
    <cellStyle name="Normal 3 16 23" xfId="1217" xr:uid="{00000000-0005-0000-0000-0000B8040000}"/>
    <cellStyle name="Normal 3 16 3" xfId="1218" xr:uid="{00000000-0005-0000-0000-0000B9040000}"/>
    <cellStyle name="Normal 3 16 4" xfId="1219" xr:uid="{00000000-0005-0000-0000-0000BA040000}"/>
    <cellStyle name="Normal 3 16 5" xfId="1220" xr:uid="{00000000-0005-0000-0000-0000BB040000}"/>
    <cellStyle name="Normal 3 16 6" xfId="1221" xr:uid="{00000000-0005-0000-0000-0000BC040000}"/>
    <cellStyle name="Normal 3 16 7" xfId="1222" xr:uid="{00000000-0005-0000-0000-0000BD040000}"/>
    <cellStyle name="Normal 3 16 8" xfId="1223" xr:uid="{00000000-0005-0000-0000-0000BE040000}"/>
    <cellStyle name="Normal 3 16 9" xfId="1224" xr:uid="{00000000-0005-0000-0000-0000BF040000}"/>
    <cellStyle name="Normal 3 17" xfId="1225" xr:uid="{00000000-0005-0000-0000-0000C0040000}"/>
    <cellStyle name="Normal 3 17 10" xfId="1226" xr:uid="{00000000-0005-0000-0000-0000C1040000}"/>
    <cellStyle name="Normal 3 17 11" xfId="1227" xr:uid="{00000000-0005-0000-0000-0000C2040000}"/>
    <cellStyle name="Normal 3 17 12" xfId="1228" xr:uid="{00000000-0005-0000-0000-0000C3040000}"/>
    <cellStyle name="Normal 3 17 13" xfId="1229" xr:uid="{00000000-0005-0000-0000-0000C4040000}"/>
    <cellStyle name="Normal 3 17 14" xfId="1230" xr:uid="{00000000-0005-0000-0000-0000C5040000}"/>
    <cellStyle name="Normal 3 17 15" xfId="1231" xr:uid="{00000000-0005-0000-0000-0000C6040000}"/>
    <cellStyle name="Normal 3 17 16" xfId="1232" xr:uid="{00000000-0005-0000-0000-0000C7040000}"/>
    <cellStyle name="Normal 3 17 17" xfId="1233" xr:uid="{00000000-0005-0000-0000-0000C8040000}"/>
    <cellStyle name="Normal 3 17 18" xfId="1234" xr:uid="{00000000-0005-0000-0000-0000C9040000}"/>
    <cellStyle name="Normal 3 17 19" xfId="1235" xr:uid="{00000000-0005-0000-0000-0000CA040000}"/>
    <cellStyle name="Normal 3 17 2" xfId="1236" xr:uid="{00000000-0005-0000-0000-0000CB040000}"/>
    <cellStyle name="Normal 3 17 20" xfId="1237" xr:uid="{00000000-0005-0000-0000-0000CC040000}"/>
    <cellStyle name="Normal 3 17 21" xfId="1238" xr:uid="{00000000-0005-0000-0000-0000CD040000}"/>
    <cellStyle name="Normal 3 17 22" xfId="1239" xr:uid="{00000000-0005-0000-0000-0000CE040000}"/>
    <cellStyle name="Normal 3 17 23" xfId="1240" xr:uid="{00000000-0005-0000-0000-0000CF040000}"/>
    <cellStyle name="Normal 3 17 3" xfId="1241" xr:uid="{00000000-0005-0000-0000-0000D0040000}"/>
    <cellStyle name="Normal 3 17 4" xfId="1242" xr:uid="{00000000-0005-0000-0000-0000D1040000}"/>
    <cellStyle name="Normal 3 17 5" xfId="1243" xr:uid="{00000000-0005-0000-0000-0000D2040000}"/>
    <cellStyle name="Normal 3 17 6" xfId="1244" xr:uid="{00000000-0005-0000-0000-0000D3040000}"/>
    <cellStyle name="Normal 3 17 7" xfId="1245" xr:uid="{00000000-0005-0000-0000-0000D4040000}"/>
    <cellStyle name="Normal 3 17 8" xfId="1246" xr:uid="{00000000-0005-0000-0000-0000D5040000}"/>
    <cellStyle name="Normal 3 17 9" xfId="1247" xr:uid="{00000000-0005-0000-0000-0000D6040000}"/>
    <cellStyle name="Normal 3 18" xfId="1248" xr:uid="{00000000-0005-0000-0000-0000D7040000}"/>
    <cellStyle name="Normal 3 18 10" xfId="1249" xr:uid="{00000000-0005-0000-0000-0000D8040000}"/>
    <cellStyle name="Normal 3 18 11" xfId="1250" xr:uid="{00000000-0005-0000-0000-0000D9040000}"/>
    <cellStyle name="Normal 3 18 12" xfId="1251" xr:uid="{00000000-0005-0000-0000-0000DA040000}"/>
    <cellStyle name="Normal 3 18 13" xfId="1252" xr:uid="{00000000-0005-0000-0000-0000DB040000}"/>
    <cellStyle name="Normal 3 18 14" xfId="1253" xr:uid="{00000000-0005-0000-0000-0000DC040000}"/>
    <cellStyle name="Normal 3 18 15" xfId="1254" xr:uid="{00000000-0005-0000-0000-0000DD040000}"/>
    <cellStyle name="Normal 3 18 16" xfId="1255" xr:uid="{00000000-0005-0000-0000-0000DE040000}"/>
    <cellStyle name="Normal 3 18 17" xfId="1256" xr:uid="{00000000-0005-0000-0000-0000DF040000}"/>
    <cellStyle name="Normal 3 18 18" xfId="1257" xr:uid="{00000000-0005-0000-0000-0000E0040000}"/>
    <cellStyle name="Normal 3 18 19" xfId="1258" xr:uid="{00000000-0005-0000-0000-0000E1040000}"/>
    <cellStyle name="Normal 3 18 2" xfId="1259" xr:uid="{00000000-0005-0000-0000-0000E2040000}"/>
    <cellStyle name="Normal 3 18 20" xfId="1260" xr:uid="{00000000-0005-0000-0000-0000E3040000}"/>
    <cellStyle name="Normal 3 18 21" xfId="1261" xr:uid="{00000000-0005-0000-0000-0000E4040000}"/>
    <cellStyle name="Normal 3 18 22" xfId="1262" xr:uid="{00000000-0005-0000-0000-0000E5040000}"/>
    <cellStyle name="Normal 3 18 23" xfId="1263" xr:uid="{00000000-0005-0000-0000-0000E6040000}"/>
    <cellStyle name="Normal 3 18 3" xfId="1264" xr:uid="{00000000-0005-0000-0000-0000E7040000}"/>
    <cellStyle name="Normal 3 18 4" xfId="1265" xr:uid="{00000000-0005-0000-0000-0000E8040000}"/>
    <cellStyle name="Normal 3 18 5" xfId="1266" xr:uid="{00000000-0005-0000-0000-0000E9040000}"/>
    <cellStyle name="Normal 3 18 6" xfId="1267" xr:uid="{00000000-0005-0000-0000-0000EA040000}"/>
    <cellStyle name="Normal 3 18 7" xfId="1268" xr:uid="{00000000-0005-0000-0000-0000EB040000}"/>
    <cellStyle name="Normal 3 18 8" xfId="1269" xr:uid="{00000000-0005-0000-0000-0000EC040000}"/>
    <cellStyle name="Normal 3 18 9" xfId="1270" xr:uid="{00000000-0005-0000-0000-0000ED040000}"/>
    <cellStyle name="Normal 3 19" xfId="1271" xr:uid="{00000000-0005-0000-0000-0000EE040000}"/>
    <cellStyle name="Normal 3 19 10" xfId="1272" xr:uid="{00000000-0005-0000-0000-0000EF040000}"/>
    <cellStyle name="Normal 3 19 11" xfId="1273" xr:uid="{00000000-0005-0000-0000-0000F0040000}"/>
    <cellStyle name="Normal 3 19 12" xfId="1274" xr:uid="{00000000-0005-0000-0000-0000F1040000}"/>
    <cellStyle name="Normal 3 19 13" xfId="1275" xr:uid="{00000000-0005-0000-0000-0000F2040000}"/>
    <cellStyle name="Normal 3 19 14" xfId="1276" xr:uid="{00000000-0005-0000-0000-0000F3040000}"/>
    <cellStyle name="Normal 3 19 15" xfId="1277" xr:uid="{00000000-0005-0000-0000-0000F4040000}"/>
    <cellStyle name="Normal 3 19 16" xfId="1278" xr:uid="{00000000-0005-0000-0000-0000F5040000}"/>
    <cellStyle name="Normal 3 19 17" xfId="1279" xr:uid="{00000000-0005-0000-0000-0000F6040000}"/>
    <cellStyle name="Normal 3 19 18" xfId="1280" xr:uid="{00000000-0005-0000-0000-0000F7040000}"/>
    <cellStyle name="Normal 3 19 19" xfId="1281" xr:uid="{00000000-0005-0000-0000-0000F8040000}"/>
    <cellStyle name="Normal 3 19 2" xfId="1282" xr:uid="{00000000-0005-0000-0000-0000F9040000}"/>
    <cellStyle name="Normal 3 19 20" xfId="1283" xr:uid="{00000000-0005-0000-0000-0000FA040000}"/>
    <cellStyle name="Normal 3 19 21" xfId="1284" xr:uid="{00000000-0005-0000-0000-0000FB040000}"/>
    <cellStyle name="Normal 3 19 22" xfId="1285" xr:uid="{00000000-0005-0000-0000-0000FC040000}"/>
    <cellStyle name="Normal 3 19 23" xfId="1286" xr:uid="{00000000-0005-0000-0000-0000FD040000}"/>
    <cellStyle name="Normal 3 19 3" xfId="1287" xr:uid="{00000000-0005-0000-0000-0000FE040000}"/>
    <cellStyle name="Normal 3 19 4" xfId="1288" xr:uid="{00000000-0005-0000-0000-0000FF040000}"/>
    <cellStyle name="Normal 3 19 5" xfId="1289" xr:uid="{00000000-0005-0000-0000-000000050000}"/>
    <cellStyle name="Normal 3 19 6" xfId="1290" xr:uid="{00000000-0005-0000-0000-000001050000}"/>
    <cellStyle name="Normal 3 19 7" xfId="1291" xr:uid="{00000000-0005-0000-0000-000002050000}"/>
    <cellStyle name="Normal 3 19 8" xfId="1292" xr:uid="{00000000-0005-0000-0000-000003050000}"/>
    <cellStyle name="Normal 3 19 9" xfId="1293" xr:uid="{00000000-0005-0000-0000-000004050000}"/>
    <cellStyle name="Normal 3 2" xfId="1294" xr:uid="{00000000-0005-0000-0000-000005050000}"/>
    <cellStyle name="Normal 3 2 10" xfId="1295" xr:uid="{00000000-0005-0000-0000-000006050000}"/>
    <cellStyle name="Normal 3 2 11" xfId="1296" xr:uid="{00000000-0005-0000-0000-000007050000}"/>
    <cellStyle name="Normal 3 2 12" xfId="1297" xr:uid="{00000000-0005-0000-0000-000008050000}"/>
    <cellStyle name="Normal 3 2 13" xfId="1298" xr:uid="{00000000-0005-0000-0000-000009050000}"/>
    <cellStyle name="Normal 3 2 14" xfId="1299" xr:uid="{00000000-0005-0000-0000-00000A050000}"/>
    <cellStyle name="Normal 3 2 15" xfId="1300" xr:uid="{00000000-0005-0000-0000-00000B050000}"/>
    <cellStyle name="Normal 3 2 16" xfId="1301" xr:uid="{00000000-0005-0000-0000-00000C050000}"/>
    <cellStyle name="Normal 3 2 17" xfId="1302" xr:uid="{00000000-0005-0000-0000-00000D050000}"/>
    <cellStyle name="Normal 3 2 18" xfId="1303" xr:uid="{00000000-0005-0000-0000-00000E050000}"/>
    <cellStyle name="Normal 3 2 19" xfId="1304" xr:uid="{00000000-0005-0000-0000-00000F050000}"/>
    <cellStyle name="Normal 3 2 2" xfId="1305" xr:uid="{00000000-0005-0000-0000-000010050000}"/>
    <cellStyle name="Normal 3 2 2 10" xfId="1306" xr:uid="{00000000-0005-0000-0000-000011050000}"/>
    <cellStyle name="Normal 3 2 2 11" xfId="1307" xr:uid="{00000000-0005-0000-0000-000012050000}"/>
    <cellStyle name="Normal 3 2 2 12" xfId="1308" xr:uid="{00000000-0005-0000-0000-000013050000}"/>
    <cellStyle name="Normal 3 2 2 13" xfId="1309" xr:uid="{00000000-0005-0000-0000-000014050000}"/>
    <cellStyle name="Normal 3 2 2 14" xfId="1310" xr:uid="{00000000-0005-0000-0000-000015050000}"/>
    <cellStyle name="Normal 3 2 2 15" xfId="1311" xr:uid="{00000000-0005-0000-0000-000016050000}"/>
    <cellStyle name="Normal 3 2 2 16" xfId="1312" xr:uid="{00000000-0005-0000-0000-000017050000}"/>
    <cellStyle name="Normal 3 2 2 17" xfId="1313" xr:uid="{00000000-0005-0000-0000-000018050000}"/>
    <cellStyle name="Normal 3 2 2 18" xfId="1314" xr:uid="{00000000-0005-0000-0000-000019050000}"/>
    <cellStyle name="Normal 3 2 2 19" xfId="1315" xr:uid="{00000000-0005-0000-0000-00001A050000}"/>
    <cellStyle name="Normal 3 2 2 2" xfId="1316" xr:uid="{00000000-0005-0000-0000-00001B050000}"/>
    <cellStyle name="Normal 3 2 2 20" xfId="1317" xr:uid="{00000000-0005-0000-0000-00001C050000}"/>
    <cellStyle name="Normal 3 2 2 21" xfId="1318" xr:uid="{00000000-0005-0000-0000-00001D050000}"/>
    <cellStyle name="Normal 3 2 2 22" xfId="1319" xr:uid="{00000000-0005-0000-0000-00001E050000}"/>
    <cellStyle name="Normal 3 2 2 23" xfId="1320" xr:uid="{00000000-0005-0000-0000-00001F050000}"/>
    <cellStyle name="Normal 3 2 2 24" xfId="1321" xr:uid="{00000000-0005-0000-0000-000020050000}"/>
    <cellStyle name="Normal 3 2 2 25" xfId="1322" xr:uid="{00000000-0005-0000-0000-000021050000}"/>
    <cellStyle name="Normal 3 2 2 26" xfId="1323" xr:uid="{00000000-0005-0000-0000-000022050000}"/>
    <cellStyle name="Normal 3 2 2 27" xfId="1324" xr:uid="{00000000-0005-0000-0000-000023050000}"/>
    <cellStyle name="Normal 3 2 2 28" xfId="1325" xr:uid="{00000000-0005-0000-0000-000024050000}"/>
    <cellStyle name="Normal 3 2 2 29" xfId="1326" xr:uid="{00000000-0005-0000-0000-000025050000}"/>
    <cellStyle name="Normal 3 2 2 3" xfId="1327" xr:uid="{00000000-0005-0000-0000-000026050000}"/>
    <cellStyle name="Normal 3 2 2 30" xfId="1328" xr:uid="{00000000-0005-0000-0000-000027050000}"/>
    <cellStyle name="Normal 3 2 2 31" xfId="1329" xr:uid="{00000000-0005-0000-0000-000028050000}"/>
    <cellStyle name="Normal 3 2 2 32" xfId="1330" xr:uid="{00000000-0005-0000-0000-000029050000}"/>
    <cellStyle name="Normal 3 2 2 33" xfId="1331" xr:uid="{00000000-0005-0000-0000-00002A050000}"/>
    <cellStyle name="Normal 3 2 2 4" xfId="1332" xr:uid="{00000000-0005-0000-0000-00002B050000}"/>
    <cellStyle name="Normal 3 2 2 5" xfId="1333" xr:uid="{00000000-0005-0000-0000-00002C050000}"/>
    <cellStyle name="Normal 3 2 2 6" xfId="1334" xr:uid="{00000000-0005-0000-0000-00002D050000}"/>
    <cellStyle name="Normal 3 2 2 7" xfId="1335" xr:uid="{00000000-0005-0000-0000-00002E050000}"/>
    <cellStyle name="Normal 3 2 2 8" xfId="1336" xr:uid="{00000000-0005-0000-0000-00002F050000}"/>
    <cellStyle name="Normal 3 2 2 9" xfId="1337" xr:uid="{00000000-0005-0000-0000-000030050000}"/>
    <cellStyle name="Normal 3 2 20" xfId="1338" xr:uid="{00000000-0005-0000-0000-000031050000}"/>
    <cellStyle name="Normal 3 2 21" xfId="1339" xr:uid="{00000000-0005-0000-0000-000032050000}"/>
    <cellStyle name="Normal 3 2 22" xfId="1340" xr:uid="{00000000-0005-0000-0000-000033050000}"/>
    <cellStyle name="Normal 3 2 23" xfId="1341" xr:uid="{00000000-0005-0000-0000-000034050000}"/>
    <cellStyle name="Normal 3 2 24" xfId="1342" xr:uid="{00000000-0005-0000-0000-000035050000}"/>
    <cellStyle name="Normal 3 2 25" xfId="1343" xr:uid="{00000000-0005-0000-0000-000036050000}"/>
    <cellStyle name="Normal 3 2 26" xfId="1344" xr:uid="{00000000-0005-0000-0000-000037050000}"/>
    <cellStyle name="Normal 3 2 27" xfId="1345" xr:uid="{00000000-0005-0000-0000-000038050000}"/>
    <cellStyle name="Normal 3 2 28" xfId="1346" xr:uid="{00000000-0005-0000-0000-000039050000}"/>
    <cellStyle name="Normal 3 2 29" xfId="1347" xr:uid="{00000000-0005-0000-0000-00003A050000}"/>
    <cellStyle name="Normal 3 2 3" xfId="1348" xr:uid="{00000000-0005-0000-0000-00003B050000}"/>
    <cellStyle name="Normal 3 2 30" xfId="1349" xr:uid="{00000000-0005-0000-0000-00003C050000}"/>
    <cellStyle name="Normal 3 2 31" xfId="1350" xr:uid="{00000000-0005-0000-0000-00003D050000}"/>
    <cellStyle name="Normal 3 2 32" xfId="1351" xr:uid="{00000000-0005-0000-0000-00003E050000}"/>
    <cellStyle name="Normal 3 2 33" xfId="1352" xr:uid="{00000000-0005-0000-0000-00003F050000}"/>
    <cellStyle name="Normal 3 2 34" xfId="1353" xr:uid="{00000000-0005-0000-0000-000040050000}"/>
    <cellStyle name="Normal 3 2 35" xfId="1354" xr:uid="{00000000-0005-0000-0000-000041050000}"/>
    <cellStyle name="Normal 3 2 36" xfId="1355" xr:uid="{00000000-0005-0000-0000-000042050000}"/>
    <cellStyle name="Normal 3 2 37" xfId="1356" xr:uid="{00000000-0005-0000-0000-000043050000}"/>
    <cellStyle name="Normal 3 2 38" xfId="1357" xr:uid="{00000000-0005-0000-0000-000044050000}"/>
    <cellStyle name="Normal 3 2 39" xfId="1358" xr:uid="{00000000-0005-0000-0000-000045050000}"/>
    <cellStyle name="Normal 3 2 4" xfId="1359" xr:uid="{00000000-0005-0000-0000-000046050000}"/>
    <cellStyle name="Normal 3 2 40" xfId="1360" xr:uid="{00000000-0005-0000-0000-000047050000}"/>
    <cellStyle name="Normal 3 2 41" xfId="1361" xr:uid="{00000000-0005-0000-0000-000048050000}"/>
    <cellStyle name="Normal 3 2 42" xfId="1362" xr:uid="{00000000-0005-0000-0000-000049050000}"/>
    <cellStyle name="Normal 3 2 43" xfId="1363" xr:uid="{00000000-0005-0000-0000-00004A050000}"/>
    <cellStyle name="Normal 3 2 44" xfId="1364" xr:uid="{00000000-0005-0000-0000-00004B050000}"/>
    <cellStyle name="Normal 3 2 45" xfId="1365" xr:uid="{00000000-0005-0000-0000-00004C050000}"/>
    <cellStyle name="Normal 3 2 46" xfId="1366" xr:uid="{00000000-0005-0000-0000-00004D050000}"/>
    <cellStyle name="Normal 3 2 47" xfId="1367" xr:uid="{00000000-0005-0000-0000-00004E050000}"/>
    <cellStyle name="Normal 3 2 48" xfId="1368" xr:uid="{00000000-0005-0000-0000-00004F050000}"/>
    <cellStyle name="Normal 3 2 49" xfId="1369" xr:uid="{00000000-0005-0000-0000-000050050000}"/>
    <cellStyle name="Normal 3 2 5" xfId="1370" xr:uid="{00000000-0005-0000-0000-000051050000}"/>
    <cellStyle name="Normal 3 2 50" xfId="1371" xr:uid="{00000000-0005-0000-0000-000052050000}"/>
    <cellStyle name="Normal 3 2 51" xfId="1372" xr:uid="{00000000-0005-0000-0000-000053050000}"/>
    <cellStyle name="Normal 3 2 52" xfId="1373" xr:uid="{00000000-0005-0000-0000-000054050000}"/>
    <cellStyle name="Normal 3 2 53" xfId="1374" xr:uid="{00000000-0005-0000-0000-000055050000}"/>
    <cellStyle name="Normal 3 2 54" xfId="1375" xr:uid="{00000000-0005-0000-0000-000056050000}"/>
    <cellStyle name="Normal 3 2 55" xfId="1376" xr:uid="{00000000-0005-0000-0000-000057050000}"/>
    <cellStyle name="Normal 3 2 6" xfId="1377" xr:uid="{00000000-0005-0000-0000-000058050000}"/>
    <cellStyle name="Normal 3 2 7" xfId="1378" xr:uid="{00000000-0005-0000-0000-000059050000}"/>
    <cellStyle name="Normal 3 2 8" xfId="1379" xr:uid="{00000000-0005-0000-0000-00005A050000}"/>
    <cellStyle name="Normal 3 2 9" xfId="1380" xr:uid="{00000000-0005-0000-0000-00005B050000}"/>
    <cellStyle name="Normal 3 20" xfId="1381" xr:uid="{00000000-0005-0000-0000-00005C050000}"/>
    <cellStyle name="Normal 3 20 10" xfId="1382" xr:uid="{00000000-0005-0000-0000-00005D050000}"/>
    <cellStyle name="Normal 3 20 11" xfId="1383" xr:uid="{00000000-0005-0000-0000-00005E050000}"/>
    <cellStyle name="Normal 3 20 12" xfId="1384" xr:uid="{00000000-0005-0000-0000-00005F050000}"/>
    <cellStyle name="Normal 3 20 13" xfId="1385" xr:uid="{00000000-0005-0000-0000-000060050000}"/>
    <cellStyle name="Normal 3 20 14" xfId="1386" xr:uid="{00000000-0005-0000-0000-000061050000}"/>
    <cellStyle name="Normal 3 20 15" xfId="1387" xr:uid="{00000000-0005-0000-0000-000062050000}"/>
    <cellStyle name="Normal 3 20 16" xfId="1388" xr:uid="{00000000-0005-0000-0000-000063050000}"/>
    <cellStyle name="Normal 3 20 17" xfId="1389" xr:uid="{00000000-0005-0000-0000-000064050000}"/>
    <cellStyle name="Normal 3 20 18" xfId="1390" xr:uid="{00000000-0005-0000-0000-000065050000}"/>
    <cellStyle name="Normal 3 20 19" xfId="1391" xr:uid="{00000000-0005-0000-0000-000066050000}"/>
    <cellStyle name="Normal 3 20 2" xfId="1392" xr:uid="{00000000-0005-0000-0000-000067050000}"/>
    <cellStyle name="Normal 3 20 20" xfId="1393" xr:uid="{00000000-0005-0000-0000-000068050000}"/>
    <cellStyle name="Normal 3 20 21" xfId="1394" xr:uid="{00000000-0005-0000-0000-000069050000}"/>
    <cellStyle name="Normal 3 20 22" xfId="1395" xr:uid="{00000000-0005-0000-0000-00006A050000}"/>
    <cellStyle name="Normal 3 20 23" xfId="1396" xr:uid="{00000000-0005-0000-0000-00006B050000}"/>
    <cellStyle name="Normal 3 20 3" xfId="1397" xr:uid="{00000000-0005-0000-0000-00006C050000}"/>
    <cellStyle name="Normal 3 20 4" xfId="1398" xr:uid="{00000000-0005-0000-0000-00006D050000}"/>
    <cellStyle name="Normal 3 20 5" xfId="1399" xr:uid="{00000000-0005-0000-0000-00006E050000}"/>
    <cellStyle name="Normal 3 20 6" xfId="1400" xr:uid="{00000000-0005-0000-0000-00006F050000}"/>
    <cellStyle name="Normal 3 20 7" xfId="1401" xr:uid="{00000000-0005-0000-0000-000070050000}"/>
    <cellStyle name="Normal 3 20 8" xfId="1402" xr:uid="{00000000-0005-0000-0000-000071050000}"/>
    <cellStyle name="Normal 3 20 9" xfId="1403" xr:uid="{00000000-0005-0000-0000-000072050000}"/>
    <cellStyle name="Normal 3 21" xfId="1404" xr:uid="{00000000-0005-0000-0000-000073050000}"/>
    <cellStyle name="Normal 3 21 10" xfId="1405" xr:uid="{00000000-0005-0000-0000-000074050000}"/>
    <cellStyle name="Normal 3 21 11" xfId="1406" xr:uid="{00000000-0005-0000-0000-000075050000}"/>
    <cellStyle name="Normal 3 21 12" xfId="1407" xr:uid="{00000000-0005-0000-0000-000076050000}"/>
    <cellStyle name="Normal 3 21 13" xfId="1408" xr:uid="{00000000-0005-0000-0000-000077050000}"/>
    <cellStyle name="Normal 3 21 14" xfId="1409" xr:uid="{00000000-0005-0000-0000-000078050000}"/>
    <cellStyle name="Normal 3 21 15" xfId="1410" xr:uid="{00000000-0005-0000-0000-000079050000}"/>
    <cellStyle name="Normal 3 21 16" xfId="1411" xr:uid="{00000000-0005-0000-0000-00007A050000}"/>
    <cellStyle name="Normal 3 21 17" xfId="1412" xr:uid="{00000000-0005-0000-0000-00007B050000}"/>
    <cellStyle name="Normal 3 21 18" xfId="1413" xr:uid="{00000000-0005-0000-0000-00007C050000}"/>
    <cellStyle name="Normal 3 21 19" xfId="1414" xr:uid="{00000000-0005-0000-0000-00007D050000}"/>
    <cellStyle name="Normal 3 21 2" xfId="1415" xr:uid="{00000000-0005-0000-0000-00007E050000}"/>
    <cellStyle name="Normal 3 21 20" xfId="1416" xr:uid="{00000000-0005-0000-0000-00007F050000}"/>
    <cellStyle name="Normal 3 21 21" xfId="1417" xr:uid="{00000000-0005-0000-0000-000080050000}"/>
    <cellStyle name="Normal 3 21 22" xfId="1418" xr:uid="{00000000-0005-0000-0000-000081050000}"/>
    <cellStyle name="Normal 3 21 23" xfId="1419" xr:uid="{00000000-0005-0000-0000-000082050000}"/>
    <cellStyle name="Normal 3 21 3" xfId="1420" xr:uid="{00000000-0005-0000-0000-000083050000}"/>
    <cellStyle name="Normal 3 21 4" xfId="1421" xr:uid="{00000000-0005-0000-0000-000084050000}"/>
    <cellStyle name="Normal 3 21 5" xfId="1422" xr:uid="{00000000-0005-0000-0000-000085050000}"/>
    <cellStyle name="Normal 3 21 6" xfId="1423" xr:uid="{00000000-0005-0000-0000-000086050000}"/>
    <cellStyle name="Normal 3 21 7" xfId="1424" xr:uid="{00000000-0005-0000-0000-000087050000}"/>
    <cellStyle name="Normal 3 21 8" xfId="1425" xr:uid="{00000000-0005-0000-0000-000088050000}"/>
    <cellStyle name="Normal 3 21 9" xfId="1426" xr:uid="{00000000-0005-0000-0000-000089050000}"/>
    <cellStyle name="Normal 3 22" xfId="1427" xr:uid="{00000000-0005-0000-0000-00008A050000}"/>
    <cellStyle name="Normal 3 22 10" xfId="1428" xr:uid="{00000000-0005-0000-0000-00008B050000}"/>
    <cellStyle name="Normal 3 22 11" xfId="1429" xr:uid="{00000000-0005-0000-0000-00008C050000}"/>
    <cellStyle name="Normal 3 22 12" xfId="1430" xr:uid="{00000000-0005-0000-0000-00008D050000}"/>
    <cellStyle name="Normal 3 22 13" xfId="1431" xr:uid="{00000000-0005-0000-0000-00008E050000}"/>
    <cellStyle name="Normal 3 22 14" xfId="1432" xr:uid="{00000000-0005-0000-0000-00008F050000}"/>
    <cellStyle name="Normal 3 22 15" xfId="1433" xr:uid="{00000000-0005-0000-0000-000090050000}"/>
    <cellStyle name="Normal 3 22 16" xfId="1434" xr:uid="{00000000-0005-0000-0000-000091050000}"/>
    <cellStyle name="Normal 3 22 17" xfId="1435" xr:uid="{00000000-0005-0000-0000-000092050000}"/>
    <cellStyle name="Normal 3 22 18" xfId="1436" xr:uid="{00000000-0005-0000-0000-000093050000}"/>
    <cellStyle name="Normal 3 22 19" xfId="1437" xr:uid="{00000000-0005-0000-0000-000094050000}"/>
    <cellStyle name="Normal 3 22 2" xfId="1438" xr:uid="{00000000-0005-0000-0000-000095050000}"/>
    <cellStyle name="Normal 3 22 20" xfId="1439" xr:uid="{00000000-0005-0000-0000-000096050000}"/>
    <cellStyle name="Normal 3 22 21" xfId="1440" xr:uid="{00000000-0005-0000-0000-000097050000}"/>
    <cellStyle name="Normal 3 22 22" xfId="1441" xr:uid="{00000000-0005-0000-0000-000098050000}"/>
    <cellStyle name="Normal 3 22 23" xfId="1442" xr:uid="{00000000-0005-0000-0000-000099050000}"/>
    <cellStyle name="Normal 3 22 3" xfId="1443" xr:uid="{00000000-0005-0000-0000-00009A050000}"/>
    <cellStyle name="Normal 3 22 4" xfId="1444" xr:uid="{00000000-0005-0000-0000-00009B050000}"/>
    <cellStyle name="Normal 3 22 5" xfId="1445" xr:uid="{00000000-0005-0000-0000-00009C050000}"/>
    <cellStyle name="Normal 3 22 6" xfId="1446" xr:uid="{00000000-0005-0000-0000-00009D050000}"/>
    <cellStyle name="Normal 3 22 7" xfId="1447" xr:uid="{00000000-0005-0000-0000-00009E050000}"/>
    <cellStyle name="Normal 3 22 8" xfId="1448" xr:uid="{00000000-0005-0000-0000-00009F050000}"/>
    <cellStyle name="Normal 3 22 9" xfId="1449" xr:uid="{00000000-0005-0000-0000-0000A0050000}"/>
    <cellStyle name="Normal 3 23" xfId="1450" xr:uid="{00000000-0005-0000-0000-0000A1050000}"/>
    <cellStyle name="Normal 3 23 10" xfId="1451" xr:uid="{00000000-0005-0000-0000-0000A2050000}"/>
    <cellStyle name="Normal 3 23 11" xfId="1452" xr:uid="{00000000-0005-0000-0000-0000A3050000}"/>
    <cellStyle name="Normal 3 23 12" xfId="1453" xr:uid="{00000000-0005-0000-0000-0000A4050000}"/>
    <cellStyle name="Normal 3 23 13" xfId="1454" xr:uid="{00000000-0005-0000-0000-0000A5050000}"/>
    <cellStyle name="Normal 3 23 14" xfId="1455" xr:uid="{00000000-0005-0000-0000-0000A6050000}"/>
    <cellStyle name="Normal 3 23 15" xfId="1456" xr:uid="{00000000-0005-0000-0000-0000A7050000}"/>
    <cellStyle name="Normal 3 23 16" xfId="1457" xr:uid="{00000000-0005-0000-0000-0000A8050000}"/>
    <cellStyle name="Normal 3 23 17" xfId="1458" xr:uid="{00000000-0005-0000-0000-0000A9050000}"/>
    <cellStyle name="Normal 3 23 18" xfId="1459" xr:uid="{00000000-0005-0000-0000-0000AA050000}"/>
    <cellStyle name="Normal 3 23 19" xfId="1460" xr:uid="{00000000-0005-0000-0000-0000AB050000}"/>
    <cellStyle name="Normal 3 23 2" xfId="1461" xr:uid="{00000000-0005-0000-0000-0000AC050000}"/>
    <cellStyle name="Normal 3 23 20" xfId="1462" xr:uid="{00000000-0005-0000-0000-0000AD050000}"/>
    <cellStyle name="Normal 3 23 21" xfId="1463" xr:uid="{00000000-0005-0000-0000-0000AE050000}"/>
    <cellStyle name="Normal 3 23 22" xfId="1464" xr:uid="{00000000-0005-0000-0000-0000AF050000}"/>
    <cellStyle name="Normal 3 23 23" xfId="1465" xr:uid="{00000000-0005-0000-0000-0000B0050000}"/>
    <cellStyle name="Normal 3 23 3" xfId="1466" xr:uid="{00000000-0005-0000-0000-0000B1050000}"/>
    <cellStyle name="Normal 3 23 4" xfId="1467" xr:uid="{00000000-0005-0000-0000-0000B2050000}"/>
    <cellStyle name="Normal 3 23 5" xfId="1468" xr:uid="{00000000-0005-0000-0000-0000B3050000}"/>
    <cellStyle name="Normal 3 23 6" xfId="1469" xr:uid="{00000000-0005-0000-0000-0000B4050000}"/>
    <cellStyle name="Normal 3 23 7" xfId="1470" xr:uid="{00000000-0005-0000-0000-0000B5050000}"/>
    <cellStyle name="Normal 3 23 8" xfId="1471" xr:uid="{00000000-0005-0000-0000-0000B6050000}"/>
    <cellStyle name="Normal 3 23 9" xfId="1472" xr:uid="{00000000-0005-0000-0000-0000B7050000}"/>
    <cellStyle name="Normal 3 24" xfId="1473" xr:uid="{00000000-0005-0000-0000-0000B8050000}"/>
    <cellStyle name="Normal 3 24 10" xfId="1474" xr:uid="{00000000-0005-0000-0000-0000B9050000}"/>
    <cellStyle name="Normal 3 24 11" xfId="1475" xr:uid="{00000000-0005-0000-0000-0000BA050000}"/>
    <cellStyle name="Normal 3 24 12" xfId="1476" xr:uid="{00000000-0005-0000-0000-0000BB050000}"/>
    <cellStyle name="Normal 3 24 13" xfId="1477" xr:uid="{00000000-0005-0000-0000-0000BC050000}"/>
    <cellStyle name="Normal 3 24 14" xfId="1478" xr:uid="{00000000-0005-0000-0000-0000BD050000}"/>
    <cellStyle name="Normal 3 24 15" xfId="1479" xr:uid="{00000000-0005-0000-0000-0000BE050000}"/>
    <cellStyle name="Normal 3 24 16" xfId="1480" xr:uid="{00000000-0005-0000-0000-0000BF050000}"/>
    <cellStyle name="Normal 3 24 17" xfId="1481" xr:uid="{00000000-0005-0000-0000-0000C0050000}"/>
    <cellStyle name="Normal 3 24 18" xfId="1482" xr:uid="{00000000-0005-0000-0000-0000C1050000}"/>
    <cellStyle name="Normal 3 24 19" xfId="1483" xr:uid="{00000000-0005-0000-0000-0000C2050000}"/>
    <cellStyle name="Normal 3 24 2" xfId="1484" xr:uid="{00000000-0005-0000-0000-0000C3050000}"/>
    <cellStyle name="Normal 3 24 20" xfId="1485" xr:uid="{00000000-0005-0000-0000-0000C4050000}"/>
    <cellStyle name="Normal 3 24 21" xfId="1486" xr:uid="{00000000-0005-0000-0000-0000C5050000}"/>
    <cellStyle name="Normal 3 24 22" xfId="1487" xr:uid="{00000000-0005-0000-0000-0000C6050000}"/>
    <cellStyle name="Normal 3 24 23" xfId="1488" xr:uid="{00000000-0005-0000-0000-0000C7050000}"/>
    <cellStyle name="Normal 3 24 3" xfId="1489" xr:uid="{00000000-0005-0000-0000-0000C8050000}"/>
    <cellStyle name="Normal 3 24 4" xfId="1490" xr:uid="{00000000-0005-0000-0000-0000C9050000}"/>
    <cellStyle name="Normal 3 24 5" xfId="1491" xr:uid="{00000000-0005-0000-0000-0000CA050000}"/>
    <cellStyle name="Normal 3 24 6" xfId="1492" xr:uid="{00000000-0005-0000-0000-0000CB050000}"/>
    <cellStyle name="Normal 3 24 7" xfId="1493" xr:uid="{00000000-0005-0000-0000-0000CC050000}"/>
    <cellStyle name="Normal 3 24 8" xfId="1494" xr:uid="{00000000-0005-0000-0000-0000CD050000}"/>
    <cellStyle name="Normal 3 24 9" xfId="1495" xr:uid="{00000000-0005-0000-0000-0000CE050000}"/>
    <cellStyle name="Normal 3 25" xfId="1496" xr:uid="{00000000-0005-0000-0000-0000CF050000}"/>
    <cellStyle name="Normal 3 25 10" xfId="1497" xr:uid="{00000000-0005-0000-0000-0000D0050000}"/>
    <cellStyle name="Normal 3 25 11" xfId="1498" xr:uid="{00000000-0005-0000-0000-0000D1050000}"/>
    <cellStyle name="Normal 3 25 12" xfId="1499" xr:uid="{00000000-0005-0000-0000-0000D2050000}"/>
    <cellStyle name="Normal 3 25 13" xfId="1500" xr:uid="{00000000-0005-0000-0000-0000D3050000}"/>
    <cellStyle name="Normal 3 25 14" xfId="1501" xr:uid="{00000000-0005-0000-0000-0000D4050000}"/>
    <cellStyle name="Normal 3 25 15" xfId="1502" xr:uid="{00000000-0005-0000-0000-0000D5050000}"/>
    <cellStyle name="Normal 3 25 16" xfId="1503" xr:uid="{00000000-0005-0000-0000-0000D6050000}"/>
    <cellStyle name="Normal 3 25 17" xfId="1504" xr:uid="{00000000-0005-0000-0000-0000D7050000}"/>
    <cellStyle name="Normal 3 25 18" xfId="1505" xr:uid="{00000000-0005-0000-0000-0000D8050000}"/>
    <cellStyle name="Normal 3 25 19" xfId="1506" xr:uid="{00000000-0005-0000-0000-0000D9050000}"/>
    <cellStyle name="Normal 3 25 2" xfId="1507" xr:uid="{00000000-0005-0000-0000-0000DA050000}"/>
    <cellStyle name="Normal 3 25 20" xfId="1508" xr:uid="{00000000-0005-0000-0000-0000DB050000}"/>
    <cellStyle name="Normal 3 25 21" xfId="1509" xr:uid="{00000000-0005-0000-0000-0000DC050000}"/>
    <cellStyle name="Normal 3 25 22" xfId="1510" xr:uid="{00000000-0005-0000-0000-0000DD050000}"/>
    <cellStyle name="Normal 3 25 23" xfId="1511" xr:uid="{00000000-0005-0000-0000-0000DE050000}"/>
    <cellStyle name="Normal 3 25 3" xfId="1512" xr:uid="{00000000-0005-0000-0000-0000DF050000}"/>
    <cellStyle name="Normal 3 25 4" xfId="1513" xr:uid="{00000000-0005-0000-0000-0000E0050000}"/>
    <cellStyle name="Normal 3 25 5" xfId="1514" xr:uid="{00000000-0005-0000-0000-0000E1050000}"/>
    <cellStyle name="Normal 3 25 6" xfId="1515" xr:uid="{00000000-0005-0000-0000-0000E2050000}"/>
    <cellStyle name="Normal 3 25 7" xfId="1516" xr:uid="{00000000-0005-0000-0000-0000E3050000}"/>
    <cellStyle name="Normal 3 25 8" xfId="1517" xr:uid="{00000000-0005-0000-0000-0000E4050000}"/>
    <cellStyle name="Normal 3 25 9" xfId="1518" xr:uid="{00000000-0005-0000-0000-0000E5050000}"/>
    <cellStyle name="Normal 3 26" xfId="1519" xr:uid="{00000000-0005-0000-0000-0000E6050000}"/>
    <cellStyle name="Normal 3 26 10" xfId="1520" xr:uid="{00000000-0005-0000-0000-0000E7050000}"/>
    <cellStyle name="Normal 3 26 11" xfId="1521" xr:uid="{00000000-0005-0000-0000-0000E8050000}"/>
    <cellStyle name="Normal 3 26 12" xfId="1522" xr:uid="{00000000-0005-0000-0000-0000E9050000}"/>
    <cellStyle name="Normal 3 26 13" xfId="1523" xr:uid="{00000000-0005-0000-0000-0000EA050000}"/>
    <cellStyle name="Normal 3 26 14" xfId="1524" xr:uid="{00000000-0005-0000-0000-0000EB050000}"/>
    <cellStyle name="Normal 3 26 15" xfId="1525" xr:uid="{00000000-0005-0000-0000-0000EC050000}"/>
    <cellStyle name="Normal 3 26 16" xfId="1526" xr:uid="{00000000-0005-0000-0000-0000ED050000}"/>
    <cellStyle name="Normal 3 26 17" xfId="1527" xr:uid="{00000000-0005-0000-0000-0000EE050000}"/>
    <cellStyle name="Normal 3 26 18" xfId="1528" xr:uid="{00000000-0005-0000-0000-0000EF050000}"/>
    <cellStyle name="Normal 3 26 19" xfId="1529" xr:uid="{00000000-0005-0000-0000-0000F0050000}"/>
    <cellStyle name="Normal 3 26 2" xfId="1530" xr:uid="{00000000-0005-0000-0000-0000F1050000}"/>
    <cellStyle name="Normal 3 26 20" xfId="1531" xr:uid="{00000000-0005-0000-0000-0000F2050000}"/>
    <cellStyle name="Normal 3 26 21" xfId="1532" xr:uid="{00000000-0005-0000-0000-0000F3050000}"/>
    <cellStyle name="Normal 3 26 22" xfId="1533" xr:uid="{00000000-0005-0000-0000-0000F4050000}"/>
    <cellStyle name="Normal 3 26 23" xfId="1534" xr:uid="{00000000-0005-0000-0000-0000F5050000}"/>
    <cellStyle name="Normal 3 26 3" xfId="1535" xr:uid="{00000000-0005-0000-0000-0000F6050000}"/>
    <cellStyle name="Normal 3 26 4" xfId="1536" xr:uid="{00000000-0005-0000-0000-0000F7050000}"/>
    <cellStyle name="Normal 3 26 5" xfId="1537" xr:uid="{00000000-0005-0000-0000-0000F8050000}"/>
    <cellStyle name="Normal 3 26 6" xfId="1538" xr:uid="{00000000-0005-0000-0000-0000F9050000}"/>
    <cellStyle name="Normal 3 26 7" xfId="1539" xr:uid="{00000000-0005-0000-0000-0000FA050000}"/>
    <cellStyle name="Normal 3 26 8" xfId="1540" xr:uid="{00000000-0005-0000-0000-0000FB050000}"/>
    <cellStyle name="Normal 3 26 9" xfId="1541" xr:uid="{00000000-0005-0000-0000-0000FC050000}"/>
    <cellStyle name="Normal 3 27" xfId="1542" xr:uid="{00000000-0005-0000-0000-0000FD050000}"/>
    <cellStyle name="Normal 3 27 10" xfId="1543" xr:uid="{00000000-0005-0000-0000-0000FE050000}"/>
    <cellStyle name="Normal 3 27 11" xfId="1544" xr:uid="{00000000-0005-0000-0000-0000FF050000}"/>
    <cellStyle name="Normal 3 27 12" xfId="1545" xr:uid="{00000000-0005-0000-0000-000000060000}"/>
    <cellStyle name="Normal 3 27 13" xfId="1546" xr:uid="{00000000-0005-0000-0000-000001060000}"/>
    <cellStyle name="Normal 3 27 14" xfId="1547" xr:uid="{00000000-0005-0000-0000-000002060000}"/>
    <cellStyle name="Normal 3 27 15" xfId="1548" xr:uid="{00000000-0005-0000-0000-000003060000}"/>
    <cellStyle name="Normal 3 27 16" xfId="1549" xr:uid="{00000000-0005-0000-0000-000004060000}"/>
    <cellStyle name="Normal 3 27 17" xfId="1550" xr:uid="{00000000-0005-0000-0000-000005060000}"/>
    <cellStyle name="Normal 3 27 18" xfId="1551" xr:uid="{00000000-0005-0000-0000-000006060000}"/>
    <cellStyle name="Normal 3 27 19" xfId="1552" xr:uid="{00000000-0005-0000-0000-000007060000}"/>
    <cellStyle name="Normal 3 27 2" xfId="1553" xr:uid="{00000000-0005-0000-0000-000008060000}"/>
    <cellStyle name="Normal 3 27 20" xfId="1554" xr:uid="{00000000-0005-0000-0000-000009060000}"/>
    <cellStyle name="Normal 3 27 21" xfId="1555" xr:uid="{00000000-0005-0000-0000-00000A060000}"/>
    <cellStyle name="Normal 3 27 22" xfId="1556" xr:uid="{00000000-0005-0000-0000-00000B060000}"/>
    <cellStyle name="Normal 3 27 23" xfId="1557" xr:uid="{00000000-0005-0000-0000-00000C060000}"/>
    <cellStyle name="Normal 3 27 3" xfId="1558" xr:uid="{00000000-0005-0000-0000-00000D060000}"/>
    <cellStyle name="Normal 3 27 4" xfId="1559" xr:uid="{00000000-0005-0000-0000-00000E060000}"/>
    <cellStyle name="Normal 3 27 5" xfId="1560" xr:uid="{00000000-0005-0000-0000-00000F060000}"/>
    <cellStyle name="Normal 3 27 6" xfId="1561" xr:uid="{00000000-0005-0000-0000-000010060000}"/>
    <cellStyle name="Normal 3 27 7" xfId="1562" xr:uid="{00000000-0005-0000-0000-000011060000}"/>
    <cellStyle name="Normal 3 27 8" xfId="1563" xr:uid="{00000000-0005-0000-0000-000012060000}"/>
    <cellStyle name="Normal 3 27 9" xfId="1564" xr:uid="{00000000-0005-0000-0000-000013060000}"/>
    <cellStyle name="Normal 3 28" xfId="1565" xr:uid="{00000000-0005-0000-0000-000014060000}"/>
    <cellStyle name="Normal 3 28 10" xfId="1566" xr:uid="{00000000-0005-0000-0000-000015060000}"/>
    <cellStyle name="Normal 3 28 11" xfId="1567" xr:uid="{00000000-0005-0000-0000-000016060000}"/>
    <cellStyle name="Normal 3 28 12" xfId="1568" xr:uid="{00000000-0005-0000-0000-000017060000}"/>
    <cellStyle name="Normal 3 28 13" xfId="1569" xr:uid="{00000000-0005-0000-0000-000018060000}"/>
    <cellStyle name="Normal 3 28 14" xfId="1570" xr:uid="{00000000-0005-0000-0000-000019060000}"/>
    <cellStyle name="Normal 3 28 15" xfId="1571" xr:uid="{00000000-0005-0000-0000-00001A060000}"/>
    <cellStyle name="Normal 3 28 16" xfId="1572" xr:uid="{00000000-0005-0000-0000-00001B060000}"/>
    <cellStyle name="Normal 3 28 17" xfId="1573" xr:uid="{00000000-0005-0000-0000-00001C060000}"/>
    <cellStyle name="Normal 3 28 18" xfId="1574" xr:uid="{00000000-0005-0000-0000-00001D060000}"/>
    <cellStyle name="Normal 3 28 19" xfId="1575" xr:uid="{00000000-0005-0000-0000-00001E060000}"/>
    <cellStyle name="Normal 3 28 2" xfId="1576" xr:uid="{00000000-0005-0000-0000-00001F060000}"/>
    <cellStyle name="Normal 3 28 20" xfId="1577" xr:uid="{00000000-0005-0000-0000-000020060000}"/>
    <cellStyle name="Normal 3 28 21" xfId="1578" xr:uid="{00000000-0005-0000-0000-000021060000}"/>
    <cellStyle name="Normal 3 28 22" xfId="1579" xr:uid="{00000000-0005-0000-0000-000022060000}"/>
    <cellStyle name="Normal 3 28 23" xfId="1580" xr:uid="{00000000-0005-0000-0000-000023060000}"/>
    <cellStyle name="Normal 3 28 3" xfId="1581" xr:uid="{00000000-0005-0000-0000-000024060000}"/>
    <cellStyle name="Normal 3 28 4" xfId="1582" xr:uid="{00000000-0005-0000-0000-000025060000}"/>
    <cellStyle name="Normal 3 28 5" xfId="1583" xr:uid="{00000000-0005-0000-0000-000026060000}"/>
    <cellStyle name="Normal 3 28 6" xfId="1584" xr:uid="{00000000-0005-0000-0000-000027060000}"/>
    <cellStyle name="Normal 3 28 7" xfId="1585" xr:uid="{00000000-0005-0000-0000-000028060000}"/>
    <cellStyle name="Normal 3 28 8" xfId="1586" xr:uid="{00000000-0005-0000-0000-000029060000}"/>
    <cellStyle name="Normal 3 28 9" xfId="1587" xr:uid="{00000000-0005-0000-0000-00002A060000}"/>
    <cellStyle name="Normal 3 29" xfId="1588" xr:uid="{00000000-0005-0000-0000-00002B060000}"/>
    <cellStyle name="Normal 3 29 10" xfId="1589" xr:uid="{00000000-0005-0000-0000-00002C060000}"/>
    <cellStyle name="Normal 3 29 11" xfId="1590" xr:uid="{00000000-0005-0000-0000-00002D060000}"/>
    <cellStyle name="Normal 3 29 12" xfId="1591" xr:uid="{00000000-0005-0000-0000-00002E060000}"/>
    <cellStyle name="Normal 3 29 13" xfId="1592" xr:uid="{00000000-0005-0000-0000-00002F060000}"/>
    <cellStyle name="Normal 3 29 14" xfId="1593" xr:uid="{00000000-0005-0000-0000-000030060000}"/>
    <cellStyle name="Normal 3 29 15" xfId="1594" xr:uid="{00000000-0005-0000-0000-000031060000}"/>
    <cellStyle name="Normal 3 29 16" xfId="1595" xr:uid="{00000000-0005-0000-0000-000032060000}"/>
    <cellStyle name="Normal 3 29 17" xfId="1596" xr:uid="{00000000-0005-0000-0000-000033060000}"/>
    <cellStyle name="Normal 3 29 18" xfId="1597" xr:uid="{00000000-0005-0000-0000-000034060000}"/>
    <cellStyle name="Normal 3 29 19" xfId="1598" xr:uid="{00000000-0005-0000-0000-000035060000}"/>
    <cellStyle name="Normal 3 29 2" xfId="1599" xr:uid="{00000000-0005-0000-0000-000036060000}"/>
    <cellStyle name="Normal 3 29 20" xfId="1600" xr:uid="{00000000-0005-0000-0000-000037060000}"/>
    <cellStyle name="Normal 3 29 21" xfId="1601" xr:uid="{00000000-0005-0000-0000-000038060000}"/>
    <cellStyle name="Normal 3 29 22" xfId="1602" xr:uid="{00000000-0005-0000-0000-000039060000}"/>
    <cellStyle name="Normal 3 29 23" xfId="1603" xr:uid="{00000000-0005-0000-0000-00003A060000}"/>
    <cellStyle name="Normal 3 29 3" xfId="1604" xr:uid="{00000000-0005-0000-0000-00003B060000}"/>
    <cellStyle name="Normal 3 29 4" xfId="1605" xr:uid="{00000000-0005-0000-0000-00003C060000}"/>
    <cellStyle name="Normal 3 29 5" xfId="1606" xr:uid="{00000000-0005-0000-0000-00003D060000}"/>
    <cellStyle name="Normal 3 29 6" xfId="1607" xr:uid="{00000000-0005-0000-0000-00003E060000}"/>
    <cellStyle name="Normal 3 29 7" xfId="1608" xr:uid="{00000000-0005-0000-0000-00003F060000}"/>
    <cellStyle name="Normal 3 29 8" xfId="1609" xr:uid="{00000000-0005-0000-0000-000040060000}"/>
    <cellStyle name="Normal 3 29 9" xfId="1610" xr:uid="{00000000-0005-0000-0000-000041060000}"/>
    <cellStyle name="Normal 3 3" xfId="1611" xr:uid="{00000000-0005-0000-0000-000042060000}"/>
    <cellStyle name="Normal 3 3 10" xfId="1612" xr:uid="{00000000-0005-0000-0000-000043060000}"/>
    <cellStyle name="Normal 3 3 11" xfId="1613" xr:uid="{00000000-0005-0000-0000-000044060000}"/>
    <cellStyle name="Normal 3 3 12" xfId="1614" xr:uid="{00000000-0005-0000-0000-000045060000}"/>
    <cellStyle name="Normal 3 3 13" xfId="1615" xr:uid="{00000000-0005-0000-0000-000046060000}"/>
    <cellStyle name="Normal 3 3 14" xfId="1616" xr:uid="{00000000-0005-0000-0000-000047060000}"/>
    <cellStyle name="Normal 3 3 15" xfId="1617" xr:uid="{00000000-0005-0000-0000-000048060000}"/>
    <cellStyle name="Normal 3 3 16" xfId="1618" xr:uid="{00000000-0005-0000-0000-000049060000}"/>
    <cellStyle name="Normal 3 3 17" xfId="1619" xr:uid="{00000000-0005-0000-0000-00004A060000}"/>
    <cellStyle name="Normal 3 3 18" xfId="1620" xr:uid="{00000000-0005-0000-0000-00004B060000}"/>
    <cellStyle name="Normal 3 3 19" xfId="1621" xr:uid="{00000000-0005-0000-0000-00004C060000}"/>
    <cellStyle name="Normal 3 3 2" xfId="1622" xr:uid="{00000000-0005-0000-0000-00004D060000}"/>
    <cellStyle name="Normal 3 3 20" xfId="1623" xr:uid="{00000000-0005-0000-0000-00004E060000}"/>
    <cellStyle name="Normal 3 3 21" xfId="1624" xr:uid="{00000000-0005-0000-0000-00004F060000}"/>
    <cellStyle name="Normal 3 3 22" xfId="1625" xr:uid="{00000000-0005-0000-0000-000050060000}"/>
    <cellStyle name="Normal 3 3 23" xfId="1626" xr:uid="{00000000-0005-0000-0000-000051060000}"/>
    <cellStyle name="Normal 3 3 3" xfId="1627" xr:uid="{00000000-0005-0000-0000-000052060000}"/>
    <cellStyle name="Normal 3 3 4" xfId="1628" xr:uid="{00000000-0005-0000-0000-000053060000}"/>
    <cellStyle name="Normal 3 3 5" xfId="1629" xr:uid="{00000000-0005-0000-0000-000054060000}"/>
    <cellStyle name="Normal 3 3 6" xfId="1630" xr:uid="{00000000-0005-0000-0000-000055060000}"/>
    <cellStyle name="Normal 3 3 7" xfId="1631" xr:uid="{00000000-0005-0000-0000-000056060000}"/>
    <cellStyle name="Normal 3 3 8" xfId="1632" xr:uid="{00000000-0005-0000-0000-000057060000}"/>
    <cellStyle name="Normal 3 3 9" xfId="1633" xr:uid="{00000000-0005-0000-0000-000058060000}"/>
    <cellStyle name="Normal 3 30" xfId="1634" xr:uid="{00000000-0005-0000-0000-000059060000}"/>
    <cellStyle name="Normal 3 30 10" xfId="1635" xr:uid="{00000000-0005-0000-0000-00005A060000}"/>
    <cellStyle name="Normal 3 30 11" xfId="1636" xr:uid="{00000000-0005-0000-0000-00005B060000}"/>
    <cellStyle name="Normal 3 30 12" xfId="1637" xr:uid="{00000000-0005-0000-0000-00005C060000}"/>
    <cellStyle name="Normal 3 30 13" xfId="1638" xr:uid="{00000000-0005-0000-0000-00005D060000}"/>
    <cellStyle name="Normal 3 30 14" xfId="1639" xr:uid="{00000000-0005-0000-0000-00005E060000}"/>
    <cellStyle name="Normal 3 30 15" xfId="1640" xr:uid="{00000000-0005-0000-0000-00005F060000}"/>
    <cellStyle name="Normal 3 30 16" xfId="1641" xr:uid="{00000000-0005-0000-0000-000060060000}"/>
    <cellStyle name="Normal 3 30 17" xfId="1642" xr:uid="{00000000-0005-0000-0000-000061060000}"/>
    <cellStyle name="Normal 3 30 18" xfId="1643" xr:uid="{00000000-0005-0000-0000-000062060000}"/>
    <cellStyle name="Normal 3 30 19" xfId="1644" xr:uid="{00000000-0005-0000-0000-000063060000}"/>
    <cellStyle name="Normal 3 30 2" xfId="1645" xr:uid="{00000000-0005-0000-0000-000064060000}"/>
    <cellStyle name="Normal 3 30 20" xfId="1646" xr:uid="{00000000-0005-0000-0000-000065060000}"/>
    <cellStyle name="Normal 3 30 21" xfId="1647" xr:uid="{00000000-0005-0000-0000-000066060000}"/>
    <cellStyle name="Normal 3 30 22" xfId="1648" xr:uid="{00000000-0005-0000-0000-000067060000}"/>
    <cellStyle name="Normal 3 30 23" xfId="1649" xr:uid="{00000000-0005-0000-0000-000068060000}"/>
    <cellStyle name="Normal 3 30 3" xfId="1650" xr:uid="{00000000-0005-0000-0000-000069060000}"/>
    <cellStyle name="Normal 3 30 4" xfId="1651" xr:uid="{00000000-0005-0000-0000-00006A060000}"/>
    <cellStyle name="Normal 3 30 5" xfId="1652" xr:uid="{00000000-0005-0000-0000-00006B060000}"/>
    <cellStyle name="Normal 3 30 6" xfId="1653" xr:uid="{00000000-0005-0000-0000-00006C060000}"/>
    <cellStyle name="Normal 3 30 7" xfId="1654" xr:uid="{00000000-0005-0000-0000-00006D060000}"/>
    <cellStyle name="Normal 3 30 8" xfId="1655" xr:uid="{00000000-0005-0000-0000-00006E060000}"/>
    <cellStyle name="Normal 3 30 9" xfId="1656" xr:uid="{00000000-0005-0000-0000-00006F060000}"/>
    <cellStyle name="Normal 3 31" xfId="1657" xr:uid="{00000000-0005-0000-0000-000070060000}"/>
    <cellStyle name="Normal 3 31 10" xfId="1658" xr:uid="{00000000-0005-0000-0000-000071060000}"/>
    <cellStyle name="Normal 3 31 11" xfId="1659" xr:uid="{00000000-0005-0000-0000-000072060000}"/>
    <cellStyle name="Normal 3 31 12" xfId="1660" xr:uid="{00000000-0005-0000-0000-000073060000}"/>
    <cellStyle name="Normal 3 31 13" xfId="1661" xr:uid="{00000000-0005-0000-0000-000074060000}"/>
    <cellStyle name="Normal 3 31 14" xfId="1662" xr:uid="{00000000-0005-0000-0000-000075060000}"/>
    <cellStyle name="Normal 3 31 15" xfId="1663" xr:uid="{00000000-0005-0000-0000-000076060000}"/>
    <cellStyle name="Normal 3 31 16" xfId="1664" xr:uid="{00000000-0005-0000-0000-000077060000}"/>
    <cellStyle name="Normal 3 31 17" xfId="1665" xr:uid="{00000000-0005-0000-0000-000078060000}"/>
    <cellStyle name="Normal 3 31 18" xfId="1666" xr:uid="{00000000-0005-0000-0000-000079060000}"/>
    <cellStyle name="Normal 3 31 19" xfId="1667" xr:uid="{00000000-0005-0000-0000-00007A060000}"/>
    <cellStyle name="Normal 3 31 2" xfId="1668" xr:uid="{00000000-0005-0000-0000-00007B060000}"/>
    <cellStyle name="Normal 3 31 20" xfId="1669" xr:uid="{00000000-0005-0000-0000-00007C060000}"/>
    <cellStyle name="Normal 3 31 21" xfId="1670" xr:uid="{00000000-0005-0000-0000-00007D060000}"/>
    <cellStyle name="Normal 3 31 22" xfId="1671" xr:uid="{00000000-0005-0000-0000-00007E060000}"/>
    <cellStyle name="Normal 3 31 23" xfId="1672" xr:uid="{00000000-0005-0000-0000-00007F060000}"/>
    <cellStyle name="Normal 3 31 3" xfId="1673" xr:uid="{00000000-0005-0000-0000-000080060000}"/>
    <cellStyle name="Normal 3 31 4" xfId="1674" xr:uid="{00000000-0005-0000-0000-000081060000}"/>
    <cellStyle name="Normal 3 31 5" xfId="1675" xr:uid="{00000000-0005-0000-0000-000082060000}"/>
    <cellStyle name="Normal 3 31 6" xfId="1676" xr:uid="{00000000-0005-0000-0000-000083060000}"/>
    <cellStyle name="Normal 3 31 7" xfId="1677" xr:uid="{00000000-0005-0000-0000-000084060000}"/>
    <cellStyle name="Normal 3 31 8" xfId="1678" xr:uid="{00000000-0005-0000-0000-000085060000}"/>
    <cellStyle name="Normal 3 31 9" xfId="1679" xr:uid="{00000000-0005-0000-0000-000086060000}"/>
    <cellStyle name="Normal 3 32" xfId="1680" xr:uid="{00000000-0005-0000-0000-000087060000}"/>
    <cellStyle name="Normal 3 32 10" xfId="1681" xr:uid="{00000000-0005-0000-0000-000088060000}"/>
    <cellStyle name="Normal 3 32 11" xfId="1682" xr:uid="{00000000-0005-0000-0000-000089060000}"/>
    <cellStyle name="Normal 3 32 12" xfId="1683" xr:uid="{00000000-0005-0000-0000-00008A060000}"/>
    <cellStyle name="Normal 3 32 13" xfId="1684" xr:uid="{00000000-0005-0000-0000-00008B060000}"/>
    <cellStyle name="Normal 3 32 14" xfId="1685" xr:uid="{00000000-0005-0000-0000-00008C060000}"/>
    <cellStyle name="Normal 3 32 15" xfId="1686" xr:uid="{00000000-0005-0000-0000-00008D060000}"/>
    <cellStyle name="Normal 3 32 16" xfId="1687" xr:uid="{00000000-0005-0000-0000-00008E060000}"/>
    <cellStyle name="Normal 3 32 17" xfId="1688" xr:uid="{00000000-0005-0000-0000-00008F060000}"/>
    <cellStyle name="Normal 3 32 18" xfId="1689" xr:uid="{00000000-0005-0000-0000-000090060000}"/>
    <cellStyle name="Normal 3 32 19" xfId="1690" xr:uid="{00000000-0005-0000-0000-000091060000}"/>
    <cellStyle name="Normal 3 32 2" xfId="1691" xr:uid="{00000000-0005-0000-0000-000092060000}"/>
    <cellStyle name="Normal 3 32 20" xfId="1692" xr:uid="{00000000-0005-0000-0000-000093060000}"/>
    <cellStyle name="Normal 3 32 21" xfId="1693" xr:uid="{00000000-0005-0000-0000-000094060000}"/>
    <cellStyle name="Normal 3 32 22" xfId="1694" xr:uid="{00000000-0005-0000-0000-000095060000}"/>
    <cellStyle name="Normal 3 32 23" xfId="1695" xr:uid="{00000000-0005-0000-0000-000096060000}"/>
    <cellStyle name="Normal 3 32 3" xfId="1696" xr:uid="{00000000-0005-0000-0000-000097060000}"/>
    <cellStyle name="Normal 3 32 4" xfId="1697" xr:uid="{00000000-0005-0000-0000-000098060000}"/>
    <cellStyle name="Normal 3 32 5" xfId="1698" xr:uid="{00000000-0005-0000-0000-000099060000}"/>
    <cellStyle name="Normal 3 32 6" xfId="1699" xr:uid="{00000000-0005-0000-0000-00009A060000}"/>
    <cellStyle name="Normal 3 32 7" xfId="1700" xr:uid="{00000000-0005-0000-0000-00009B060000}"/>
    <cellStyle name="Normal 3 32 8" xfId="1701" xr:uid="{00000000-0005-0000-0000-00009C060000}"/>
    <cellStyle name="Normal 3 32 9" xfId="1702" xr:uid="{00000000-0005-0000-0000-00009D060000}"/>
    <cellStyle name="Normal 3 33" xfId="1703" xr:uid="{00000000-0005-0000-0000-00009E060000}"/>
    <cellStyle name="Normal 3 33 10" xfId="1704" xr:uid="{00000000-0005-0000-0000-00009F060000}"/>
    <cellStyle name="Normal 3 33 11" xfId="1705" xr:uid="{00000000-0005-0000-0000-0000A0060000}"/>
    <cellStyle name="Normal 3 33 12" xfId="1706" xr:uid="{00000000-0005-0000-0000-0000A1060000}"/>
    <cellStyle name="Normal 3 33 13" xfId="1707" xr:uid="{00000000-0005-0000-0000-0000A2060000}"/>
    <cellStyle name="Normal 3 33 14" xfId="1708" xr:uid="{00000000-0005-0000-0000-0000A3060000}"/>
    <cellStyle name="Normal 3 33 15" xfId="1709" xr:uid="{00000000-0005-0000-0000-0000A4060000}"/>
    <cellStyle name="Normal 3 33 16" xfId="1710" xr:uid="{00000000-0005-0000-0000-0000A5060000}"/>
    <cellStyle name="Normal 3 33 17" xfId="1711" xr:uid="{00000000-0005-0000-0000-0000A6060000}"/>
    <cellStyle name="Normal 3 33 18" xfId="1712" xr:uid="{00000000-0005-0000-0000-0000A7060000}"/>
    <cellStyle name="Normal 3 33 19" xfId="1713" xr:uid="{00000000-0005-0000-0000-0000A8060000}"/>
    <cellStyle name="Normal 3 33 2" xfId="1714" xr:uid="{00000000-0005-0000-0000-0000A9060000}"/>
    <cellStyle name="Normal 3 33 20" xfId="1715" xr:uid="{00000000-0005-0000-0000-0000AA060000}"/>
    <cellStyle name="Normal 3 33 21" xfId="1716" xr:uid="{00000000-0005-0000-0000-0000AB060000}"/>
    <cellStyle name="Normal 3 33 22" xfId="1717" xr:uid="{00000000-0005-0000-0000-0000AC060000}"/>
    <cellStyle name="Normal 3 33 23" xfId="1718" xr:uid="{00000000-0005-0000-0000-0000AD060000}"/>
    <cellStyle name="Normal 3 33 3" xfId="1719" xr:uid="{00000000-0005-0000-0000-0000AE060000}"/>
    <cellStyle name="Normal 3 33 4" xfId="1720" xr:uid="{00000000-0005-0000-0000-0000AF060000}"/>
    <cellStyle name="Normal 3 33 5" xfId="1721" xr:uid="{00000000-0005-0000-0000-0000B0060000}"/>
    <cellStyle name="Normal 3 33 6" xfId="1722" xr:uid="{00000000-0005-0000-0000-0000B1060000}"/>
    <cellStyle name="Normal 3 33 7" xfId="1723" xr:uid="{00000000-0005-0000-0000-0000B2060000}"/>
    <cellStyle name="Normal 3 33 8" xfId="1724" xr:uid="{00000000-0005-0000-0000-0000B3060000}"/>
    <cellStyle name="Normal 3 33 9" xfId="1725" xr:uid="{00000000-0005-0000-0000-0000B4060000}"/>
    <cellStyle name="Normal 3 34" xfId="1726" xr:uid="{00000000-0005-0000-0000-0000B5060000}"/>
    <cellStyle name="Normal 3 35" xfId="1727" xr:uid="{00000000-0005-0000-0000-0000B6060000}"/>
    <cellStyle name="Normal 3 36" xfId="1728" xr:uid="{00000000-0005-0000-0000-0000B7060000}"/>
    <cellStyle name="Normal 3 37" xfId="1729" xr:uid="{00000000-0005-0000-0000-0000B8060000}"/>
    <cellStyle name="Normal 3 38" xfId="1730" xr:uid="{00000000-0005-0000-0000-0000B9060000}"/>
    <cellStyle name="Normal 3 39" xfId="1731" xr:uid="{00000000-0005-0000-0000-0000BA060000}"/>
    <cellStyle name="Normal 3 4" xfId="1732" xr:uid="{00000000-0005-0000-0000-0000BB060000}"/>
    <cellStyle name="Normal 3 4 10" xfId="1733" xr:uid="{00000000-0005-0000-0000-0000BC060000}"/>
    <cellStyle name="Normal 3 4 11" xfId="1734" xr:uid="{00000000-0005-0000-0000-0000BD060000}"/>
    <cellStyle name="Normal 3 4 12" xfId="1735" xr:uid="{00000000-0005-0000-0000-0000BE060000}"/>
    <cellStyle name="Normal 3 4 13" xfId="1736" xr:uid="{00000000-0005-0000-0000-0000BF060000}"/>
    <cellStyle name="Normal 3 4 14" xfId="1737" xr:uid="{00000000-0005-0000-0000-0000C0060000}"/>
    <cellStyle name="Normal 3 4 15" xfId="1738" xr:uid="{00000000-0005-0000-0000-0000C1060000}"/>
    <cellStyle name="Normal 3 4 16" xfId="1739" xr:uid="{00000000-0005-0000-0000-0000C2060000}"/>
    <cellStyle name="Normal 3 4 17" xfId="1740" xr:uid="{00000000-0005-0000-0000-0000C3060000}"/>
    <cellStyle name="Normal 3 4 18" xfId="1741" xr:uid="{00000000-0005-0000-0000-0000C4060000}"/>
    <cellStyle name="Normal 3 4 19" xfId="1742" xr:uid="{00000000-0005-0000-0000-0000C5060000}"/>
    <cellStyle name="Normal 3 4 2" xfId="1743" xr:uid="{00000000-0005-0000-0000-0000C6060000}"/>
    <cellStyle name="Normal 3 4 20" xfId="1744" xr:uid="{00000000-0005-0000-0000-0000C7060000}"/>
    <cellStyle name="Normal 3 4 21" xfId="1745" xr:uid="{00000000-0005-0000-0000-0000C8060000}"/>
    <cellStyle name="Normal 3 4 22" xfId="1746" xr:uid="{00000000-0005-0000-0000-0000C9060000}"/>
    <cellStyle name="Normal 3 4 23" xfId="1747" xr:uid="{00000000-0005-0000-0000-0000CA060000}"/>
    <cellStyle name="Normal 3 4 3" xfId="1748" xr:uid="{00000000-0005-0000-0000-0000CB060000}"/>
    <cellStyle name="Normal 3 4 4" xfId="1749" xr:uid="{00000000-0005-0000-0000-0000CC060000}"/>
    <cellStyle name="Normal 3 4 5" xfId="1750" xr:uid="{00000000-0005-0000-0000-0000CD060000}"/>
    <cellStyle name="Normal 3 4 6" xfId="1751" xr:uid="{00000000-0005-0000-0000-0000CE060000}"/>
    <cellStyle name="Normal 3 4 7" xfId="1752" xr:uid="{00000000-0005-0000-0000-0000CF060000}"/>
    <cellStyle name="Normal 3 4 8" xfId="1753" xr:uid="{00000000-0005-0000-0000-0000D0060000}"/>
    <cellStyle name="Normal 3 4 9" xfId="1754" xr:uid="{00000000-0005-0000-0000-0000D1060000}"/>
    <cellStyle name="Normal 3 40" xfId="1755" xr:uid="{00000000-0005-0000-0000-0000D2060000}"/>
    <cellStyle name="Normal 3 41" xfId="1756" xr:uid="{00000000-0005-0000-0000-0000D3060000}"/>
    <cellStyle name="Normal 3 42" xfId="1757" xr:uid="{00000000-0005-0000-0000-0000D4060000}"/>
    <cellStyle name="Normal 3 43" xfId="1758" xr:uid="{00000000-0005-0000-0000-0000D5060000}"/>
    <cellStyle name="Normal 3 44" xfId="1759" xr:uid="{00000000-0005-0000-0000-0000D6060000}"/>
    <cellStyle name="Normal 3 45" xfId="1760" xr:uid="{00000000-0005-0000-0000-0000D7060000}"/>
    <cellStyle name="Normal 3 46" xfId="1761" xr:uid="{00000000-0005-0000-0000-0000D8060000}"/>
    <cellStyle name="Normal 3 47" xfId="1762" xr:uid="{00000000-0005-0000-0000-0000D9060000}"/>
    <cellStyle name="Normal 3 48" xfId="1763" xr:uid="{00000000-0005-0000-0000-0000DA060000}"/>
    <cellStyle name="Normal 3 49" xfId="1764" xr:uid="{00000000-0005-0000-0000-0000DB060000}"/>
    <cellStyle name="Normal 3 5" xfId="1765" xr:uid="{00000000-0005-0000-0000-0000DC060000}"/>
    <cellStyle name="Normal 3 5 10" xfId="1766" xr:uid="{00000000-0005-0000-0000-0000DD060000}"/>
    <cellStyle name="Normal 3 5 11" xfId="1767" xr:uid="{00000000-0005-0000-0000-0000DE060000}"/>
    <cellStyle name="Normal 3 5 12" xfId="1768" xr:uid="{00000000-0005-0000-0000-0000DF060000}"/>
    <cellStyle name="Normal 3 5 13" xfId="1769" xr:uid="{00000000-0005-0000-0000-0000E0060000}"/>
    <cellStyle name="Normal 3 5 14" xfId="1770" xr:uid="{00000000-0005-0000-0000-0000E1060000}"/>
    <cellStyle name="Normal 3 5 15" xfId="1771" xr:uid="{00000000-0005-0000-0000-0000E2060000}"/>
    <cellStyle name="Normal 3 5 16" xfId="1772" xr:uid="{00000000-0005-0000-0000-0000E3060000}"/>
    <cellStyle name="Normal 3 5 17" xfId="1773" xr:uid="{00000000-0005-0000-0000-0000E4060000}"/>
    <cellStyle name="Normal 3 5 18" xfId="1774" xr:uid="{00000000-0005-0000-0000-0000E5060000}"/>
    <cellStyle name="Normal 3 5 19" xfId="1775" xr:uid="{00000000-0005-0000-0000-0000E6060000}"/>
    <cellStyle name="Normal 3 5 2" xfId="1776" xr:uid="{00000000-0005-0000-0000-0000E7060000}"/>
    <cellStyle name="Normal 3 5 20" xfId="1777" xr:uid="{00000000-0005-0000-0000-0000E8060000}"/>
    <cellStyle name="Normal 3 5 21" xfId="1778" xr:uid="{00000000-0005-0000-0000-0000E9060000}"/>
    <cellStyle name="Normal 3 5 22" xfId="1779" xr:uid="{00000000-0005-0000-0000-0000EA060000}"/>
    <cellStyle name="Normal 3 5 23" xfId="1780" xr:uid="{00000000-0005-0000-0000-0000EB060000}"/>
    <cellStyle name="Normal 3 5 3" xfId="1781" xr:uid="{00000000-0005-0000-0000-0000EC060000}"/>
    <cellStyle name="Normal 3 5 4" xfId="1782" xr:uid="{00000000-0005-0000-0000-0000ED060000}"/>
    <cellStyle name="Normal 3 5 5" xfId="1783" xr:uid="{00000000-0005-0000-0000-0000EE060000}"/>
    <cellStyle name="Normal 3 5 6" xfId="1784" xr:uid="{00000000-0005-0000-0000-0000EF060000}"/>
    <cellStyle name="Normal 3 5 7" xfId="1785" xr:uid="{00000000-0005-0000-0000-0000F0060000}"/>
    <cellStyle name="Normal 3 5 8" xfId="1786" xr:uid="{00000000-0005-0000-0000-0000F1060000}"/>
    <cellStyle name="Normal 3 5 9" xfId="1787" xr:uid="{00000000-0005-0000-0000-0000F2060000}"/>
    <cellStyle name="Normal 3 50" xfId="1788" xr:uid="{00000000-0005-0000-0000-0000F3060000}"/>
    <cellStyle name="Normal 3 51" xfId="1789" xr:uid="{00000000-0005-0000-0000-0000F4060000}"/>
    <cellStyle name="Normal 3 52" xfId="1790" xr:uid="{00000000-0005-0000-0000-0000F5060000}"/>
    <cellStyle name="Normal 3 53" xfId="1791" xr:uid="{00000000-0005-0000-0000-0000F6060000}"/>
    <cellStyle name="Normal 3 54" xfId="1792" xr:uid="{00000000-0005-0000-0000-0000F7060000}"/>
    <cellStyle name="Normal 3 55" xfId="1793" xr:uid="{00000000-0005-0000-0000-0000F8060000}"/>
    <cellStyle name="Normal 3 56" xfId="1794" xr:uid="{00000000-0005-0000-0000-0000F9060000}"/>
    <cellStyle name="Normal 3 57" xfId="1795" xr:uid="{00000000-0005-0000-0000-0000FA060000}"/>
    <cellStyle name="Normal 3 58" xfId="1796" xr:uid="{00000000-0005-0000-0000-0000FB060000}"/>
    <cellStyle name="Normal 3 59" xfId="1797" xr:uid="{00000000-0005-0000-0000-0000FC060000}"/>
    <cellStyle name="Normal 3 6" xfId="1798" xr:uid="{00000000-0005-0000-0000-0000FD060000}"/>
    <cellStyle name="Normal 3 6 10" xfId="1799" xr:uid="{00000000-0005-0000-0000-0000FE060000}"/>
    <cellStyle name="Normal 3 6 11" xfId="1800" xr:uid="{00000000-0005-0000-0000-0000FF060000}"/>
    <cellStyle name="Normal 3 6 12" xfId="1801" xr:uid="{00000000-0005-0000-0000-000000070000}"/>
    <cellStyle name="Normal 3 6 13" xfId="1802" xr:uid="{00000000-0005-0000-0000-000001070000}"/>
    <cellStyle name="Normal 3 6 14" xfId="1803" xr:uid="{00000000-0005-0000-0000-000002070000}"/>
    <cellStyle name="Normal 3 6 15" xfId="1804" xr:uid="{00000000-0005-0000-0000-000003070000}"/>
    <cellStyle name="Normal 3 6 16" xfId="1805" xr:uid="{00000000-0005-0000-0000-000004070000}"/>
    <cellStyle name="Normal 3 6 17" xfId="1806" xr:uid="{00000000-0005-0000-0000-000005070000}"/>
    <cellStyle name="Normal 3 6 18" xfId="1807" xr:uid="{00000000-0005-0000-0000-000006070000}"/>
    <cellStyle name="Normal 3 6 19" xfId="1808" xr:uid="{00000000-0005-0000-0000-000007070000}"/>
    <cellStyle name="Normal 3 6 2" xfId="1809" xr:uid="{00000000-0005-0000-0000-000008070000}"/>
    <cellStyle name="Normal 3 6 20" xfId="1810" xr:uid="{00000000-0005-0000-0000-000009070000}"/>
    <cellStyle name="Normal 3 6 21" xfId="1811" xr:uid="{00000000-0005-0000-0000-00000A070000}"/>
    <cellStyle name="Normal 3 6 22" xfId="1812" xr:uid="{00000000-0005-0000-0000-00000B070000}"/>
    <cellStyle name="Normal 3 6 23" xfId="1813" xr:uid="{00000000-0005-0000-0000-00000C070000}"/>
    <cellStyle name="Normal 3 6 3" xfId="1814" xr:uid="{00000000-0005-0000-0000-00000D070000}"/>
    <cellStyle name="Normal 3 6 4" xfId="1815" xr:uid="{00000000-0005-0000-0000-00000E070000}"/>
    <cellStyle name="Normal 3 6 5" xfId="1816" xr:uid="{00000000-0005-0000-0000-00000F070000}"/>
    <cellStyle name="Normal 3 6 6" xfId="1817" xr:uid="{00000000-0005-0000-0000-000010070000}"/>
    <cellStyle name="Normal 3 6 7" xfId="1818" xr:uid="{00000000-0005-0000-0000-000011070000}"/>
    <cellStyle name="Normal 3 6 8" xfId="1819" xr:uid="{00000000-0005-0000-0000-000012070000}"/>
    <cellStyle name="Normal 3 6 9" xfId="1820" xr:uid="{00000000-0005-0000-0000-000013070000}"/>
    <cellStyle name="Normal 3 60" xfId="1821" xr:uid="{00000000-0005-0000-0000-000014070000}"/>
    <cellStyle name="Normal 3 61" xfId="1822" xr:uid="{00000000-0005-0000-0000-000015070000}"/>
    <cellStyle name="Normal 3 62" xfId="1823" xr:uid="{00000000-0005-0000-0000-000016070000}"/>
    <cellStyle name="Normal 3 63" xfId="1824" xr:uid="{00000000-0005-0000-0000-000017070000}"/>
    <cellStyle name="Normal 3 64" xfId="1825" xr:uid="{00000000-0005-0000-0000-000018070000}"/>
    <cellStyle name="Normal 3 65" xfId="1826" xr:uid="{00000000-0005-0000-0000-000019070000}"/>
    <cellStyle name="Normal 3 66" xfId="1063" xr:uid="{00000000-0005-0000-0000-00001A070000}"/>
    <cellStyle name="Normal 3 7" xfId="1827" xr:uid="{00000000-0005-0000-0000-00001B070000}"/>
    <cellStyle name="Normal 3 7 10" xfId="1828" xr:uid="{00000000-0005-0000-0000-00001C070000}"/>
    <cellStyle name="Normal 3 7 11" xfId="1829" xr:uid="{00000000-0005-0000-0000-00001D070000}"/>
    <cellStyle name="Normal 3 7 12" xfId="1830" xr:uid="{00000000-0005-0000-0000-00001E070000}"/>
    <cellStyle name="Normal 3 7 13" xfId="1831" xr:uid="{00000000-0005-0000-0000-00001F070000}"/>
    <cellStyle name="Normal 3 7 14" xfId="1832" xr:uid="{00000000-0005-0000-0000-000020070000}"/>
    <cellStyle name="Normal 3 7 15" xfId="1833" xr:uid="{00000000-0005-0000-0000-000021070000}"/>
    <cellStyle name="Normal 3 7 16" xfId="1834" xr:uid="{00000000-0005-0000-0000-000022070000}"/>
    <cellStyle name="Normal 3 7 17" xfId="1835" xr:uid="{00000000-0005-0000-0000-000023070000}"/>
    <cellStyle name="Normal 3 7 18" xfId="1836" xr:uid="{00000000-0005-0000-0000-000024070000}"/>
    <cellStyle name="Normal 3 7 19" xfId="1837" xr:uid="{00000000-0005-0000-0000-000025070000}"/>
    <cellStyle name="Normal 3 7 2" xfId="1838" xr:uid="{00000000-0005-0000-0000-000026070000}"/>
    <cellStyle name="Normal 3 7 20" xfId="1839" xr:uid="{00000000-0005-0000-0000-000027070000}"/>
    <cellStyle name="Normal 3 7 21" xfId="1840" xr:uid="{00000000-0005-0000-0000-000028070000}"/>
    <cellStyle name="Normal 3 7 22" xfId="1841" xr:uid="{00000000-0005-0000-0000-000029070000}"/>
    <cellStyle name="Normal 3 7 23" xfId="1842" xr:uid="{00000000-0005-0000-0000-00002A070000}"/>
    <cellStyle name="Normal 3 7 3" xfId="1843" xr:uid="{00000000-0005-0000-0000-00002B070000}"/>
    <cellStyle name="Normal 3 7 4" xfId="1844" xr:uid="{00000000-0005-0000-0000-00002C070000}"/>
    <cellStyle name="Normal 3 7 5" xfId="1845" xr:uid="{00000000-0005-0000-0000-00002D070000}"/>
    <cellStyle name="Normal 3 7 6" xfId="1846" xr:uid="{00000000-0005-0000-0000-00002E070000}"/>
    <cellStyle name="Normal 3 7 7" xfId="1847" xr:uid="{00000000-0005-0000-0000-00002F070000}"/>
    <cellStyle name="Normal 3 7 8" xfId="1848" xr:uid="{00000000-0005-0000-0000-000030070000}"/>
    <cellStyle name="Normal 3 7 9" xfId="1849" xr:uid="{00000000-0005-0000-0000-000031070000}"/>
    <cellStyle name="Normal 3 8" xfId="1850" xr:uid="{00000000-0005-0000-0000-000032070000}"/>
    <cellStyle name="Normal 3 8 10" xfId="1851" xr:uid="{00000000-0005-0000-0000-000033070000}"/>
    <cellStyle name="Normal 3 8 11" xfId="1852" xr:uid="{00000000-0005-0000-0000-000034070000}"/>
    <cellStyle name="Normal 3 8 12" xfId="1853" xr:uid="{00000000-0005-0000-0000-000035070000}"/>
    <cellStyle name="Normal 3 8 13" xfId="1854" xr:uid="{00000000-0005-0000-0000-000036070000}"/>
    <cellStyle name="Normal 3 8 14" xfId="1855" xr:uid="{00000000-0005-0000-0000-000037070000}"/>
    <cellStyle name="Normal 3 8 15" xfId="1856" xr:uid="{00000000-0005-0000-0000-000038070000}"/>
    <cellStyle name="Normal 3 8 16" xfId="1857" xr:uid="{00000000-0005-0000-0000-000039070000}"/>
    <cellStyle name="Normal 3 8 17" xfId="1858" xr:uid="{00000000-0005-0000-0000-00003A070000}"/>
    <cellStyle name="Normal 3 8 18" xfId="1859" xr:uid="{00000000-0005-0000-0000-00003B070000}"/>
    <cellStyle name="Normal 3 8 19" xfId="1860" xr:uid="{00000000-0005-0000-0000-00003C070000}"/>
    <cellStyle name="Normal 3 8 2" xfId="1861" xr:uid="{00000000-0005-0000-0000-00003D070000}"/>
    <cellStyle name="Normal 3 8 20" xfId="1862" xr:uid="{00000000-0005-0000-0000-00003E070000}"/>
    <cellStyle name="Normal 3 8 21" xfId="1863" xr:uid="{00000000-0005-0000-0000-00003F070000}"/>
    <cellStyle name="Normal 3 8 22" xfId="1864" xr:uid="{00000000-0005-0000-0000-000040070000}"/>
    <cellStyle name="Normal 3 8 23" xfId="1865" xr:uid="{00000000-0005-0000-0000-000041070000}"/>
    <cellStyle name="Normal 3 8 3" xfId="1866" xr:uid="{00000000-0005-0000-0000-000042070000}"/>
    <cellStyle name="Normal 3 8 4" xfId="1867" xr:uid="{00000000-0005-0000-0000-000043070000}"/>
    <cellStyle name="Normal 3 8 5" xfId="1868" xr:uid="{00000000-0005-0000-0000-000044070000}"/>
    <cellStyle name="Normal 3 8 6" xfId="1869" xr:uid="{00000000-0005-0000-0000-000045070000}"/>
    <cellStyle name="Normal 3 8 7" xfId="1870" xr:uid="{00000000-0005-0000-0000-000046070000}"/>
    <cellStyle name="Normal 3 8 8" xfId="1871" xr:uid="{00000000-0005-0000-0000-000047070000}"/>
    <cellStyle name="Normal 3 8 9" xfId="1872" xr:uid="{00000000-0005-0000-0000-000048070000}"/>
    <cellStyle name="Normal 3 9" xfId="1873" xr:uid="{00000000-0005-0000-0000-000049070000}"/>
    <cellStyle name="Normal 3 9 10" xfId="1874" xr:uid="{00000000-0005-0000-0000-00004A070000}"/>
    <cellStyle name="Normal 3 9 11" xfId="1875" xr:uid="{00000000-0005-0000-0000-00004B070000}"/>
    <cellStyle name="Normal 3 9 12" xfId="1876" xr:uid="{00000000-0005-0000-0000-00004C070000}"/>
    <cellStyle name="Normal 3 9 13" xfId="1877" xr:uid="{00000000-0005-0000-0000-00004D070000}"/>
    <cellStyle name="Normal 3 9 14" xfId="1878" xr:uid="{00000000-0005-0000-0000-00004E070000}"/>
    <cellStyle name="Normal 3 9 15" xfId="1879" xr:uid="{00000000-0005-0000-0000-00004F070000}"/>
    <cellStyle name="Normal 3 9 16" xfId="1880" xr:uid="{00000000-0005-0000-0000-000050070000}"/>
    <cellStyle name="Normal 3 9 17" xfId="1881" xr:uid="{00000000-0005-0000-0000-000051070000}"/>
    <cellStyle name="Normal 3 9 18" xfId="1882" xr:uid="{00000000-0005-0000-0000-000052070000}"/>
    <cellStyle name="Normal 3 9 19" xfId="1883" xr:uid="{00000000-0005-0000-0000-000053070000}"/>
    <cellStyle name="Normal 3 9 2" xfId="1884" xr:uid="{00000000-0005-0000-0000-000054070000}"/>
    <cellStyle name="Normal 3 9 20" xfId="1885" xr:uid="{00000000-0005-0000-0000-000055070000}"/>
    <cellStyle name="Normal 3 9 21" xfId="1886" xr:uid="{00000000-0005-0000-0000-000056070000}"/>
    <cellStyle name="Normal 3 9 22" xfId="1887" xr:uid="{00000000-0005-0000-0000-000057070000}"/>
    <cellStyle name="Normal 3 9 23" xfId="1888" xr:uid="{00000000-0005-0000-0000-000058070000}"/>
    <cellStyle name="Normal 3 9 3" xfId="1889" xr:uid="{00000000-0005-0000-0000-000059070000}"/>
    <cellStyle name="Normal 3 9 4" xfId="1890" xr:uid="{00000000-0005-0000-0000-00005A070000}"/>
    <cellStyle name="Normal 3 9 5" xfId="1891" xr:uid="{00000000-0005-0000-0000-00005B070000}"/>
    <cellStyle name="Normal 3 9 6" xfId="1892" xr:uid="{00000000-0005-0000-0000-00005C070000}"/>
    <cellStyle name="Normal 3 9 7" xfId="1893" xr:uid="{00000000-0005-0000-0000-00005D070000}"/>
    <cellStyle name="Normal 3 9 8" xfId="1894" xr:uid="{00000000-0005-0000-0000-00005E070000}"/>
    <cellStyle name="Normal 3 9 9" xfId="1895" xr:uid="{00000000-0005-0000-0000-00005F070000}"/>
    <cellStyle name="Normal 4" xfId="51" xr:uid="{00000000-0005-0000-0000-000060070000}"/>
    <cellStyle name="Normal 4 2" xfId="1897" xr:uid="{00000000-0005-0000-0000-000061070000}"/>
    <cellStyle name="Normal 4 3" xfId="1896" xr:uid="{00000000-0005-0000-0000-000062070000}"/>
    <cellStyle name="Normal 5" xfId="42" xr:uid="{00000000-0005-0000-0000-000063070000}"/>
    <cellStyle name="Normal 5 10" xfId="1898" xr:uid="{00000000-0005-0000-0000-000064070000}"/>
    <cellStyle name="Normal 5 11" xfId="1899" xr:uid="{00000000-0005-0000-0000-000065070000}"/>
    <cellStyle name="Normal 5 12" xfId="1900" xr:uid="{00000000-0005-0000-0000-000066070000}"/>
    <cellStyle name="Normal 5 13" xfId="1901" xr:uid="{00000000-0005-0000-0000-000067070000}"/>
    <cellStyle name="Normal 5 14" xfId="1902" xr:uid="{00000000-0005-0000-0000-000068070000}"/>
    <cellStyle name="Normal 5 15" xfId="1903" xr:uid="{00000000-0005-0000-0000-000069070000}"/>
    <cellStyle name="Normal 5 16" xfId="1904" xr:uid="{00000000-0005-0000-0000-00006A070000}"/>
    <cellStyle name="Normal 5 17" xfId="1905" xr:uid="{00000000-0005-0000-0000-00006B070000}"/>
    <cellStyle name="Normal 5 18" xfId="1906" xr:uid="{00000000-0005-0000-0000-00006C070000}"/>
    <cellStyle name="Normal 5 19" xfId="1907" xr:uid="{00000000-0005-0000-0000-00006D070000}"/>
    <cellStyle name="Normal 5 2" xfId="1908" xr:uid="{00000000-0005-0000-0000-00006E070000}"/>
    <cellStyle name="Normal 5 2 10" xfId="1909" xr:uid="{00000000-0005-0000-0000-00006F070000}"/>
    <cellStyle name="Normal 5 2 11" xfId="1910" xr:uid="{00000000-0005-0000-0000-000070070000}"/>
    <cellStyle name="Normal 5 2 12" xfId="1911" xr:uid="{00000000-0005-0000-0000-000071070000}"/>
    <cellStyle name="Normal 5 2 13" xfId="1912" xr:uid="{00000000-0005-0000-0000-000072070000}"/>
    <cellStyle name="Normal 5 2 14" xfId="1913" xr:uid="{00000000-0005-0000-0000-000073070000}"/>
    <cellStyle name="Normal 5 2 15" xfId="1914" xr:uid="{00000000-0005-0000-0000-000074070000}"/>
    <cellStyle name="Normal 5 2 16" xfId="1915" xr:uid="{00000000-0005-0000-0000-000075070000}"/>
    <cellStyle name="Normal 5 2 17" xfId="1916" xr:uid="{00000000-0005-0000-0000-000076070000}"/>
    <cellStyle name="Normal 5 2 18" xfId="1917" xr:uid="{00000000-0005-0000-0000-000077070000}"/>
    <cellStyle name="Normal 5 2 19" xfId="1918" xr:uid="{00000000-0005-0000-0000-000078070000}"/>
    <cellStyle name="Normal 5 2 2" xfId="1919" xr:uid="{00000000-0005-0000-0000-000079070000}"/>
    <cellStyle name="Normal 5 2 20" xfId="1920" xr:uid="{00000000-0005-0000-0000-00007A070000}"/>
    <cellStyle name="Normal 5 2 21" xfId="1921" xr:uid="{00000000-0005-0000-0000-00007B070000}"/>
    <cellStyle name="Normal 5 2 22" xfId="1922" xr:uid="{00000000-0005-0000-0000-00007C070000}"/>
    <cellStyle name="Normal 5 2 23" xfId="1923" xr:uid="{00000000-0005-0000-0000-00007D070000}"/>
    <cellStyle name="Normal 5 2 3" xfId="1924" xr:uid="{00000000-0005-0000-0000-00007E070000}"/>
    <cellStyle name="Normal 5 2 4" xfId="1925" xr:uid="{00000000-0005-0000-0000-00007F070000}"/>
    <cellStyle name="Normal 5 2 5" xfId="1926" xr:uid="{00000000-0005-0000-0000-000080070000}"/>
    <cellStyle name="Normal 5 2 6" xfId="1927" xr:uid="{00000000-0005-0000-0000-000081070000}"/>
    <cellStyle name="Normal 5 2 7" xfId="1928" xr:uid="{00000000-0005-0000-0000-000082070000}"/>
    <cellStyle name="Normal 5 2 8" xfId="1929" xr:uid="{00000000-0005-0000-0000-000083070000}"/>
    <cellStyle name="Normal 5 2 9" xfId="1930" xr:uid="{00000000-0005-0000-0000-000084070000}"/>
    <cellStyle name="Normal 5 20" xfId="1931" xr:uid="{00000000-0005-0000-0000-000085070000}"/>
    <cellStyle name="Normal 5 21" xfId="1932" xr:uid="{00000000-0005-0000-0000-000086070000}"/>
    <cellStyle name="Normal 5 22" xfId="1933" xr:uid="{00000000-0005-0000-0000-000087070000}"/>
    <cellStyle name="Normal 5 23" xfId="1934" xr:uid="{00000000-0005-0000-0000-000088070000}"/>
    <cellStyle name="Normal 5 24" xfId="1935" xr:uid="{00000000-0005-0000-0000-000089070000}"/>
    <cellStyle name="Normal 5 3" xfId="1936" xr:uid="{00000000-0005-0000-0000-00008A070000}"/>
    <cellStyle name="Normal 5 4" xfId="1937" xr:uid="{00000000-0005-0000-0000-00008B070000}"/>
    <cellStyle name="Normal 5 5" xfId="1938" xr:uid="{00000000-0005-0000-0000-00008C070000}"/>
    <cellStyle name="Normal 5 6" xfId="1939" xr:uid="{00000000-0005-0000-0000-00008D070000}"/>
    <cellStyle name="Normal 5 7" xfId="1940" xr:uid="{00000000-0005-0000-0000-00008E070000}"/>
    <cellStyle name="Normal 5 8" xfId="1941" xr:uid="{00000000-0005-0000-0000-00008F070000}"/>
    <cellStyle name="Normal 5 9" xfId="1942" xr:uid="{00000000-0005-0000-0000-000090070000}"/>
    <cellStyle name="Normal 6" xfId="1943" xr:uid="{00000000-0005-0000-0000-000091070000}"/>
    <cellStyle name="Normal 7" xfId="1944" xr:uid="{00000000-0005-0000-0000-000092070000}"/>
    <cellStyle name="Normal 7 10" xfId="1945" xr:uid="{00000000-0005-0000-0000-000093070000}"/>
    <cellStyle name="Normal 7 11" xfId="1946" xr:uid="{00000000-0005-0000-0000-000094070000}"/>
    <cellStyle name="Normal 7 12" xfId="1947" xr:uid="{00000000-0005-0000-0000-000095070000}"/>
    <cellStyle name="Normal 7 13" xfId="1948" xr:uid="{00000000-0005-0000-0000-000096070000}"/>
    <cellStyle name="Normal 7 14" xfId="1949" xr:uid="{00000000-0005-0000-0000-000097070000}"/>
    <cellStyle name="Normal 7 15" xfId="1950" xr:uid="{00000000-0005-0000-0000-000098070000}"/>
    <cellStyle name="Normal 7 16" xfId="1951" xr:uid="{00000000-0005-0000-0000-000099070000}"/>
    <cellStyle name="Normal 7 17" xfId="1952" xr:uid="{00000000-0005-0000-0000-00009A070000}"/>
    <cellStyle name="Normal 7 18" xfId="1953" xr:uid="{00000000-0005-0000-0000-00009B070000}"/>
    <cellStyle name="Normal 7 19" xfId="1954" xr:uid="{00000000-0005-0000-0000-00009C070000}"/>
    <cellStyle name="Normal 7 2" xfId="1955" xr:uid="{00000000-0005-0000-0000-00009D070000}"/>
    <cellStyle name="Normal 7 2 10" xfId="1956" xr:uid="{00000000-0005-0000-0000-00009E070000}"/>
    <cellStyle name="Normal 7 2 11" xfId="1957" xr:uid="{00000000-0005-0000-0000-00009F070000}"/>
    <cellStyle name="Normal 7 2 12" xfId="1958" xr:uid="{00000000-0005-0000-0000-0000A0070000}"/>
    <cellStyle name="Normal 7 2 13" xfId="1959" xr:uid="{00000000-0005-0000-0000-0000A1070000}"/>
    <cellStyle name="Normal 7 2 14" xfId="1960" xr:uid="{00000000-0005-0000-0000-0000A2070000}"/>
    <cellStyle name="Normal 7 2 15" xfId="1961" xr:uid="{00000000-0005-0000-0000-0000A3070000}"/>
    <cellStyle name="Normal 7 2 16" xfId="1962" xr:uid="{00000000-0005-0000-0000-0000A4070000}"/>
    <cellStyle name="Normal 7 2 17" xfId="1963" xr:uid="{00000000-0005-0000-0000-0000A5070000}"/>
    <cellStyle name="Normal 7 2 18" xfId="1964" xr:uid="{00000000-0005-0000-0000-0000A6070000}"/>
    <cellStyle name="Normal 7 2 19" xfId="1965" xr:uid="{00000000-0005-0000-0000-0000A7070000}"/>
    <cellStyle name="Normal 7 2 2" xfId="1966" xr:uid="{00000000-0005-0000-0000-0000A8070000}"/>
    <cellStyle name="Normal 7 2 20" xfId="1967" xr:uid="{00000000-0005-0000-0000-0000A9070000}"/>
    <cellStyle name="Normal 7 2 21" xfId="1968" xr:uid="{00000000-0005-0000-0000-0000AA070000}"/>
    <cellStyle name="Normal 7 2 22" xfId="1969" xr:uid="{00000000-0005-0000-0000-0000AB070000}"/>
    <cellStyle name="Normal 7 2 23" xfId="1970" xr:uid="{00000000-0005-0000-0000-0000AC070000}"/>
    <cellStyle name="Normal 7 2 3" xfId="1971" xr:uid="{00000000-0005-0000-0000-0000AD070000}"/>
    <cellStyle name="Normal 7 2 4" xfId="1972" xr:uid="{00000000-0005-0000-0000-0000AE070000}"/>
    <cellStyle name="Normal 7 2 5" xfId="1973" xr:uid="{00000000-0005-0000-0000-0000AF070000}"/>
    <cellStyle name="Normal 7 2 6" xfId="1974" xr:uid="{00000000-0005-0000-0000-0000B0070000}"/>
    <cellStyle name="Normal 7 2 7" xfId="1975" xr:uid="{00000000-0005-0000-0000-0000B1070000}"/>
    <cellStyle name="Normal 7 2 8" xfId="1976" xr:uid="{00000000-0005-0000-0000-0000B2070000}"/>
    <cellStyle name="Normal 7 2 9" xfId="1977" xr:uid="{00000000-0005-0000-0000-0000B3070000}"/>
    <cellStyle name="Normal 7 20" xfId="1978" xr:uid="{00000000-0005-0000-0000-0000B4070000}"/>
    <cellStyle name="Normal 7 21" xfId="1979" xr:uid="{00000000-0005-0000-0000-0000B5070000}"/>
    <cellStyle name="Normal 7 22" xfId="1980" xr:uid="{00000000-0005-0000-0000-0000B6070000}"/>
    <cellStyle name="Normal 7 23" xfId="1981" xr:uid="{00000000-0005-0000-0000-0000B7070000}"/>
    <cellStyle name="Normal 7 24" xfId="1982" xr:uid="{00000000-0005-0000-0000-0000B8070000}"/>
    <cellStyle name="Normal 7 3" xfId="1983" xr:uid="{00000000-0005-0000-0000-0000B9070000}"/>
    <cellStyle name="Normal 7 4" xfId="1984" xr:uid="{00000000-0005-0000-0000-0000BA070000}"/>
    <cellStyle name="Normal 7 5" xfId="1985" xr:uid="{00000000-0005-0000-0000-0000BB070000}"/>
    <cellStyle name="Normal 7 6" xfId="1986" xr:uid="{00000000-0005-0000-0000-0000BC070000}"/>
    <cellStyle name="Normal 7 7" xfId="1987" xr:uid="{00000000-0005-0000-0000-0000BD070000}"/>
    <cellStyle name="Normal 7 8" xfId="1988" xr:uid="{00000000-0005-0000-0000-0000BE070000}"/>
    <cellStyle name="Normal 7 9" xfId="1989" xr:uid="{00000000-0005-0000-0000-0000BF070000}"/>
    <cellStyle name="Normal 8" xfId="1990" xr:uid="{00000000-0005-0000-0000-0000C0070000}"/>
    <cellStyle name="Normal 9" xfId="2002" xr:uid="{7DAB5F1F-CD32-4C1A-9A9C-254E770A70DE}"/>
    <cellStyle name="Note" xfId="15" builtinId="10" customBuiltin="1"/>
    <cellStyle name="Note 2" xfId="1991" xr:uid="{00000000-0005-0000-0000-0000C2070000}"/>
    <cellStyle name="Output" xfId="10" builtinId="21" customBuiltin="1"/>
    <cellStyle name="Output 2" xfId="1992" xr:uid="{00000000-0005-0000-0000-0000C4070000}"/>
    <cellStyle name="Percent" xfId="1998" builtinId="5"/>
    <cellStyle name="Percent 2" xfId="53" xr:uid="{00000000-0005-0000-0000-0000C5070000}"/>
    <cellStyle name="Percent 3" xfId="52" xr:uid="{00000000-0005-0000-0000-0000C6070000}"/>
    <cellStyle name="Percent 4" xfId="1993" xr:uid="{00000000-0005-0000-0000-0000C7070000}"/>
    <cellStyle name="Title" xfId="1" builtinId="15" customBuiltin="1"/>
    <cellStyle name="Title 2" xfId="1994" xr:uid="{00000000-0005-0000-0000-0000C9070000}"/>
    <cellStyle name="Total" xfId="17" builtinId="25" customBuiltin="1"/>
    <cellStyle name="Total 2" xfId="1995" xr:uid="{00000000-0005-0000-0000-0000CB070000}"/>
    <cellStyle name="Warning Text" xfId="14" builtinId="11" customBuiltin="1"/>
    <cellStyle name="Warning Text 2" xfId="1996" xr:uid="{00000000-0005-0000-0000-0000CD070000}"/>
  </cellStyles>
  <dxfs count="36">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ill>
        <patternFill patternType="darkDown"/>
      </fill>
    </dxf>
    <dxf>
      <font>
        <b/>
        <i val="0"/>
        <strike val="0"/>
      </font>
      <fill>
        <patternFill>
          <bgColor rgb="FFC00000"/>
        </patternFill>
      </fill>
    </dxf>
    <dxf>
      <fill>
        <patternFill patternType="darkDown"/>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ont>
        <b/>
        <i val="0"/>
        <strike val="0"/>
      </font>
      <fill>
        <patternFill>
          <bgColor rgb="FFC00000"/>
        </patternFill>
      </fill>
    </dxf>
    <dxf>
      <fill>
        <patternFill patternType="darkUp"/>
      </fill>
    </dxf>
    <dxf>
      <fill>
        <patternFill patternType="darkUp"/>
      </fill>
    </dxf>
    <dxf>
      <font>
        <b/>
        <i val="0"/>
        <strike val="0"/>
      </font>
      <fill>
        <patternFill>
          <bgColor rgb="FFC00000"/>
        </patternFill>
      </fill>
    </dxf>
    <dxf>
      <font>
        <b/>
        <i val="0"/>
        <strike val="0"/>
      </font>
      <fill>
        <patternFill>
          <bgColor rgb="FFC00000"/>
        </patternFill>
      </fill>
    </dxf>
    <dxf>
      <font>
        <b/>
        <i val="0"/>
        <strike val="0"/>
        <color auto="1"/>
      </font>
      <fill>
        <patternFill>
          <bgColor rgb="FFC00000"/>
        </patternFill>
      </fill>
    </dxf>
    <dxf>
      <font>
        <b/>
        <i val="0"/>
        <strike val="0"/>
      </font>
      <fill>
        <patternFill>
          <bgColor rgb="FFC00000"/>
        </patternFill>
      </fill>
    </dxf>
    <dxf>
      <font>
        <b/>
        <i val="0"/>
      </font>
      <fill>
        <patternFill>
          <bgColor rgb="FFFFFF00"/>
        </patternFill>
      </fill>
    </dxf>
    <dxf>
      <fill>
        <patternFill>
          <bgColor rgb="FFFF0000"/>
        </patternFill>
      </fill>
    </dxf>
    <dxf>
      <font>
        <b/>
        <i val="0"/>
      </font>
      <fill>
        <patternFill>
          <bgColor rgb="FFFFFF00"/>
        </patternFill>
      </fill>
    </dxf>
    <dxf>
      <fill>
        <patternFill>
          <bgColor rgb="FFFF0000"/>
        </patternFill>
      </fill>
    </dxf>
    <dxf>
      <font>
        <b/>
        <i val="0"/>
      </font>
      <fill>
        <patternFill>
          <bgColor rgb="FFFFFF00"/>
        </patternFill>
      </fill>
    </dxf>
    <dxf>
      <fill>
        <patternFill>
          <bgColor rgb="FFFF0000"/>
        </patternFill>
      </fill>
    </dxf>
    <dxf>
      <fill>
        <patternFill>
          <bgColor rgb="FF001489"/>
        </patternFill>
      </fill>
    </dxf>
    <dxf>
      <fill>
        <patternFill>
          <bgColor rgb="FF7030A0"/>
        </patternFill>
      </fill>
    </dxf>
    <dxf>
      <fill>
        <patternFill>
          <bgColor rgb="FF1E427C"/>
        </patternFill>
      </fill>
    </dxf>
    <dxf>
      <fill>
        <patternFill>
          <bgColor rgb="FF001489"/>
        </patternFill>
      </fill>
    </dxf>
    <dxf>
      <fill>
        <patternFill>
          <bgColor rgb="FF7030A0"/>
        </patternFill>
      </fill>
    </dxf>
    <dxf>
      <fill>
        <patternFill>
          <bgColor rgb="FF1E427C"/>
        </patternFill>
      </fill>
    </dxf>
    <dxf>
      <border>
        <left/>
        <right/>
        <top/>
        <bottom/>
        <vertical/>
        <horizontal/>
      </border>
    </dxf>
  </dxfs>
  <tableStyles count="0" defaultTableStyle="TableStyleMedium2" defaultPivotStyle="PivotStyleLight16"/>
  <colors>
    <mruColors>
      <color rgb="FF001489"/>
      <color rgb="FF054B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7.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6.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29" Type="http://schemas.openxmlformats.org/officeDocument/2006/relationships/image" Target="../media/image30.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25.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9.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8.png"/></Relationships>
</file>

<file path=xl/drawings/_rels/drawing2.xml.rels><?xml version="1.0" encoding="UTF-8" standalone="yes"?>
<Relationships xmlns="http://schemas.openxmlformats.org/package/2006/relationships"><Relationship Id="rId8" Type="http://schemas.openxmlformats.org/officeDocument/2006/relationships/image" Target="../media/image38.png"/><Relationship Id="rId13" Type="http://schemas.openxmlformats.org/officeDocument/2006/relationships/image" Target="../media/image43.png"/><Relationship Id="rId3" Type="http://schemas.openxmlformats.org/officeDocument/2006/relationships/image" Target="../media/image33.png"/><Relationship Id="rId7" Type="http://schemas.openxmlformats.org/officeDocument/2006/relationships/image" Target="../media/image37.png"/><Relationship Id="rId12" Type="http://schemas.openxmlformats.org/officeDocument/2006/relationships/image" Target="../media/image42.png"/><Relationship Id="rId17" Type="http://schemas.openxmlformats.org/officeDocument/2006/relationships/image" Target="../media/image47.png"/><Relationship Id="rId2" Type="http://schemas.openxmlformats.org/officeDocument/2006/relationships/image" Target="../media/image32.png"/><Relationship Id="rId16" Type="http://schemas.openxmlformats.org/officeDocument/2006/relationships/image" Target="../media/image46.png"/><Relationship Id="rId1" Type="http://schemas.openxmlformats.org/officeDocument/2006/relationships/image" Target="../media/image31.png"/><Relationship Id="rId6" Type="http://schemas.openxmlformats.org/officeDocument/2006/relationships/image" Target="../media/image36.png"/><Relationship Id="rId11" Type="http://schemas.openxmlformats.org/officeDocument/2006/relationships/image" Target="../media/image41.png"/><Relationship Id="rId5" Type="http://schemas.openxmlformats.org/officeDocument/2006/relationships/image" Target="../media/image35.png"/><Relationship Id="rId15" Type="http://schemas.openxmlformats.org/officeDocument/2006/relationships/image" Target="../media/image45.png"/><Relationship Id="rId10" Type="http://schemas.openxmlformats.org/officeDocument/2006/relationships/image" Target="../media/image40.png"/><Relationship Id="rId4" Type="http://schemas.openxmlformats.org/officeDocument/2006/relationships/image" Target="../media/image34.png"/><Relationship Id="rId9" Type="http://schemas.openxmlformats.org/officeDocument/2006/relationships/image" Target="../media/image39.png"/><Relationship Id="rId14" Type="http://schemas.openxmlformats.org/officeDocument/2006/relationships/image" Target="../media/image44.png"/></Relationships>
</file>

<file path=xl/drawings/_rels/drawing3.xml.rels><?xml version="1.0" encoding="UTF-8" standalone="yes"?>
<Relationships xmlns="http://schemas.openxmlformats.org/package/2006/relationships"><Relationship Id="rId3" Type="http://schemas.openxmlformats.org/officeDocument/2006/relationships/image" Target="../media/image50.png"/><Relationship Id="rId2" Type="http://schemas.openxmlformats.org/officeDocument/2006/relationships/image" Target="../media/image49.png"/><Relationship Id="rId1" Type="http://schemas.openxmlformats.org/officeDocument/2006/relationships/image" Target="../media/image48.png"/><Relationship Id="rId6" Type="http://schemas.openxmlformats.org/officeDocument/2006/relationships/image" Target="../media/image53.png"/><Relationship Id="rId5" Type="http://schemas.openxmlformats.org/officeDocument/2006/relationships/image" Target="../media/image52.png"/><Relationship Id="rId4" Type="http://schemas.openxmlformats.org/officeDocument/2006/relationships/image" Target="../media/image5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4.emf"/></Relationships>
</file>

<file path=xl/drawings/_rels/drawing5.xml.rels><?xml version="1.0" encoding="UTF-8" standalone="yes"?>
<Relationships xmlns="http://schemas.openxmlformats.org/package/2006/relationships"><Relationship Id="rId3" Type="http://schemas.openxmlformats.org/officeDocument/2006/relationships/image" Target="../media/image57.png"/><Relationship Id="rId7" Type="http://schemas.openxmlformats.org/officeDocument/2006/relationships/image" Target="../media/image54.emf"/><Relationship Id="rId2" Type="http://schemas.openxmlformats.org/officeDocument/2006/relationships/image" Target="../media/image48.png"/><Relationship Id="rId1" Type="http://schemas.openxmlformats.org/officeDocument/2006/relationships/image" Target="../media/image56.png"/><Relationship Id="rId6" Type="http://schemas.openxmlformats.org/officeDocument/2006/relationships/image" Target="../media/image60.jpeg"/><Relationship Id="rId5" Type="http://schemas.openxmlformats.org/officeDocument/2006/relationships/image" Target="../media/image59.png"/><Relationship Id="rId4" Type="http://schemas.openxmlformats.org/officeDocument/2006/relationships/image" Target="../media/image58.png"/></Relationships>
</file>

<file path=xl/drawings/_rels/drawing6.xml.rels><?xml version="1.0" encoding="UTF-8" standalone="yes"?>
<Relationships xmlns="http://schemas.openxmlformats.org/package/2006/relationships"><Relationship Id="rId1" Type="http://schemas.openxmlformats.org/officeDocument/2006/relationships/image" Target="../media/image61.png"/></Relationships>
</file>

<file path=xl/drawings/_rels/drawing7.xml.rels><?xml version="1.0" encoding="UTF-8" standalone="yes"?>
<Relationships xmlns="http://schemas.openxmlformats.org/package/2006/relationships"><Relationship Id="rId2" Type="http://schemas.openxmlformats.org/officeDocument/2006/relationships/image" Target="../media/image62.png"/><Relationship Id="rId1" Type="http://schemas.openxmlformats.org/officeDocument/2006/relationships/image" Target="../media/image6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5.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5.emf"/></Relationships>
</file>

<file path=xl/drawings/drawing1.xml><?xml version="1.0" encoding="utf-8"?>
<xdr:wsDr xmlns:xdr="http://schemas.openxmlformats.org/drawingml/2006/spreadsheetDrawing" xmlns:a="http://schemas.openxmlformats.org/drawingml/2006/main">
  <xdr:twoCellAnchor>
    <xdr:from>
      <xdr:col>0</xdr:col>
      <xdr:colOff>98611</xdr:colOff>
      <xdr:row>8</xdr:row>
      <xdr:rowOff>125506</xdr:rowOff>
    </xdr:from>
    <xdr:to>
      <xdr:col>6</xdr:col>
      <xdr:colOff>426618</xdr:colOff>
      <xdr:row>56</xdr:row>
      <xdr:rowOff>77789</xdr:rowOff>
    </xdr:to>
    <xdr:grpSp>
      <xdr:nvGrpSpPr>
        <xdr:cNvPr id="2" name="Group 1">
          <a:extLst>
            <a:ext uri="{FF2B5EF4-FFF2-40B4-BE49-F238E27FC236}">
              <a16:creationId xmlns:a16="http://schemas.microsoft.com/office/drawing/2014/main" id="{3AE89B5B-A005-46C1-8531-03482149CD2B}"/>
            </a:ext>
          </a:extLst>
        </xdr:cNvPr>
        <xdr:cNvGrpSpPr/>
      </xdr:nvGrpSpPr>
      <xdr:grpSpPr>
        <a:xfrm>
          <a:off x="98611" y="1615888"/>
          <a:ext cx="3958713" cy="8558401"/>
          <a:chOff x="98611" y="1559859"/>
          <a:chExt cx="3985607" cy="8558401"/>
        </a:xfrm>
      </xdr:grpSpPr>
      <xdr:pic>
        <xdr:nvPicPr>
          <xdr:cNvPr id="3" name="Picture 2">
            <a:extLst>
              <a:ext uri="{FF2B5EF4-FFF2-40B4-BE49-F238E27FC236}">
                <a16:creationId xmlns:a16="http://schemas.microsoft.com/office/drawing/2014/main" id="{1A751AB9-5873-48C5-B32C-EF69B89144FA}"/>
              </a:ext>
            </a:extLst>
          </xdr:cNvPr>
          <xdr:cNvPicPr>
            <a:picLocks noChangeAspect="1"/>
          </xdr:cNvPicPr>
        </xdr:nvPicPr>
        <xdr:blipFill>
          <a:blip xmlns:r="http://schemas.openxmlformats.org/officeDocument/2006/relationships" r:embed="rId1"/>
          <a:stretch>
            <a:fillRect/>
          </a:stretch>
        </xdr:blipFill>
        <xdr:spPr>
          <a:xfrm>
            <a:off x="98611" y="1559859"/>
            <a:ext cx="2209992" cy="647756"/>
          </a:xfrm>
          <a:prstGeom prst="rect">
            <a:avLst/>
          </a:prstGeom>
        </xdr:spPr>
      </xdr:pic>
      <xdr:pic>
        <xdr:nvPicPr>
          <xdr:cNvPr id="4" name="Picture 3">
            <a:extLst>
              <a:ext uri="{FF2B5EF4-FFF2-40B4-BE49-F238E27FC236}">
                <a16:creationId xmlns:a16="http://schemas.microsoft.com/office/drawing/2014/main" id="{41CCE4E6-0A44-4859-8480-0514850D507E}"/>
              </a:ext>
            </a:extLst>
          </xdr:cNvPr>
          <xdr:cNvPicPr>
            <a:picLocks noChangeAspect="1"/>
          </xdr:cNvPicPr>
        </xdr:nvPicPr>
        <xdr:blipFill>
          <a:blip xmlns:r="http://schemas.openxmlformats.org/officeDocument/2006/relationships" r:embed="rId2"/>
          <a:stretch>
            <a:fillRect/>
          </a:stretch>
        </xdr:blipFill>
        <xdr:spPr>
          <a:xfrm>
            <a:off x="107576" y="2232212"/>
            <a:ext cx="3935974" cy="4948517"/>
          </a:xfrm>
          <a:prstGeom prst="rect">
            <a:avLst/>
          </a:prstGeom>
        </xdr:spPr>
      </xdr:pic>
      <xdr:pic>
        <xdr:nvPicPr>
          <xdr:cNvPr id="5" name="Picture 4">
            <a:extLst>
              <a:ext uri="{FF2B5EF4-FFF2-40B4-BE49-F238E27FC236}">
                <a16:creationId xmlns:a16="http://schemas.microsoft.com/office/drawing/2014/main" id="{26BA9B7E-D74F-457A-A188-0A519969A1D1}"/>
              </a:ext>
            </a:extLst>
          </xdr:cNvPr>
          <xdr:cNvPicPr>
            <a:picLocks noChangeAspect="1"/>
          </xdr:cNvPicPr>
        </xdr:nvPicPr>
        <xdr:blipFill>
          <a:blip xmlns:r="http://schemas.openxmlformats.org/officeDocument/2006/relationships" r:embed="rId3"/>
          <a:stretch>
            <a:fillRect/>
          </a:stretch>
        </xdr:blipFill>
        <xdr:spPr>
          <a:xfrm>
            <a:off x="98612" y="7306236"/>
            <a:ext cx="3985606" cy="2812024"/>
          </a:xfrm>
          <a:prstGeom prst="rect">
            <a:avLst/>
          </a:prstGeom>
        </xdr:spPr>
      </xdr:pic>
    </xdr:grpSp>
    <xdr:clientData/>
  </xdr:twoCellAnchor>
  <xdr:twoCellAnchor>
    <xdr:from>
      <xdr:col>10</xdr:col>
      <xdr:colOff>62752</xdr:colOff>
      <xdr:row>7</xdr:row>
      <xdr:rowOff>116540</xdr:rowOff>
    </xdr:from>
    <xdr:to>
      <xdr:col>16</xdr:col>
      <xdr:colOff>446791</xdr:colOff>
      <xdr:row>50</xdr:row>
      <xdr:rowOff>143163</xdr:rowOff>
    </xdr:to>
    <xdr:grpSp>
      <xdr:nvGrpSpPr>
        <xdr:cNvPr id="6" name="Group 5">
          <a:extLst>
            <a:ext uri="{FF2B5EF4-FFF2-40B4-BE49-F238E27FC236}">
              <a16:creationId xmlns:a16="http://schemas.microsoft.com/office/drawing/2014/main" id="{0D2C9259-37EE-4B6D-80C4-4E494D4CB04F}"/>
            </a:ext>
          </a:extLst>
        </xdr:cNvPr>
        <xdr:cNvGrpSpPr/>
      </xdr:nvGrpSpPr>
      <xdr:grpSpPr>
        <a:xfrm>
          <a:off x="5587252" y="1427628"/>
          <a:ext cx="4014745" cy="7736270"/>
          <a:chOff x="5629834" y="1371599"/>
          <a:chExt cx="4041639" cy="7736270"/>
        </a:xfrm>
      </xdr:grpSpPr>
      <xdr:pic>
        <xdr:nvPicPr>
          <xdr:cNvPr id="7" name="Picture 6">
            <a:extLst>
              <a:ext uri="{FF2B5EF4-FFF2-40B4-BE49-F238E27FC236}">
                <a16:creationId xmlns:a16="http://schemas.microsoft.com/office/drawing/2014/main" id="{9A9DC7DC-90BD-486E-93D4-321E7CE2B360}"/>
              </a:ext>
            </a:extLst>
          </xdr:cNvPr>
          <xdr:cNvPicPr>
            <a:picLocks noChangeAspect="1"/>
          </xdr:cNvPicPr>
        </xdr:nvPicPr>
        <xdr:blipFill>
          <a:blip xmlns:r="http://schemas.openxmlformats.org/officeDocument/2006/relationships" r:embed="rId4"/>
          <a:stretch>
            <a:fillRect/>
          </a:stretch>
        </xdr:blipFill>
        <xdr:spPr>
          <a:xfrm>
            <a:off x="5638799" y="1371599"/>
            <a:ext cx="3170195" cy="1150720"/>
          </a:xfrm>
          <a:prstGeom prst="rect">
            <a:avLst/>
          </a:prstGeom>
        </xdr:spPr>
      </xdr:pic>
      <xdr:pic>
        <xdr:nvPicPr>
          <xdr:cNvPr id="8" name="Picture 7">
            <a:extLst>
              <a:ext uri="{FF2B5EF4-FFF2-40B4-BE49-F238E27FC236}">
                <a16:creationId xmlns:a16="http://schemas.microsoft.com/office/drawing/2014/main" id="{CCC1DBBA-F8CD-4E47-B896-0D06A12D7882}"/>
              </a:ext>
            </a:extLst>
          </xdr:cNvPr>
          <xdr:cNvPicPr>
            <a:picLocks noChangeAspect="1"/>
          </xdr:cNvPicPr>
        </xdr:nvPicPr>
        <xdr:blipFill>
          <a:blip xmlns:r="http://schemas.openxmlformats.org/officeDocument/2006/relationships" r:embed="rId5"/>
          <a:stretch>
            <a:fillRect/>
          </a:stretch>
        </xdr:blipFill>
        <xdr:spPr>
          <a:xfrm>
            <a:off x="5629834" y="2474258"/>
            <a:ext cx="3292125" cy="1219306"/>
          </a:xfrm>
          <a:prstGeom prst="rect">
            <a:avLst/>
          </a:prstGeom>
        </xdr:spPr>
      </xdr:pic>
      <xdr:pic>
        <xdr:nvPicPr>
          <xdr:cNvPr id="9" name="Picture 8">
            <a:extLst>
              <a:ext uri="{FF2B5EF4-FFF2-40B4-BE49-F238E27FC236}">
                <a16:creationId xmlns:a16="http://schemas.microsoft.com/office/drawing/2014/main" id="{6F7F6F1E-B319-4AC0-9E7D-7F086E9F99CA}"/>
              </a:ext>
            </a:extLst>
          </xdr:cNvPr>
          <xdr:cNvPicPr>
            <a:picLocks noChangeAspect="1"/>
          </xdr:cNvPicPr>
        </xdr:nvPicPr>
        <xdr:blipFill>
          <a:blip xmlns:r="http://schemas.openxmlformats.org/officeDocument/2006/relationships" r:embed="rId6"/>
          <a:stretch>
            <a:fillRect/>
          </a:stretch>
        </xdr:blipFill>
        <xdr:spPr>
          <a:xfrm>
            <a:off x="5647764" y="3630705"/>
            <a:ext cx="4023709" cy="3436918"/>
          </a:xfrm>
          <a:prstGeom prst="rect">
            <a:avLst/>
          </a:prstGeom>
        </xdr:spPr>
      </xdr:pic>
      <xdr:pic>
        <xdr:nvPicPr>
          <xdr:cNvPr id="10" name="Picture 9">
            <a:extLst>
              <a:ext uri="{FF2B5EF4-FFF2-40B4-BE49-F238E27FC236}">
                <a16:creationId xmlns:a16="http://schemas.microsoft.com/office/drawing/2014/main" id="{86583F4E-A701-4FC7-8464-1154F02BB408}"/>
              </a:ext>
            </a:extLst>
          </xdr:cNvPr>
          <xdr:cNvPicPr>
            <a:picLocks noChangeAspect="1"/>
          </xdr:cNvPicPr>
        </xdr:nvPicPr>
        <xdr:blipFill>
          <a:blip xmlns:r="http://schemas.openxmlformats.org/officeDocument/2006/relationships" r:embed="rId7"/>
          <a:stretch>
            <a:fillRect/>
          </a:stretch>
        </xdr:blipFill>
        <xdr:spPr>
          <a:xfrm>
            <a:off x="5665694" y="7073153"/>
            <a:ext cx="3962744" cy="2034716"/>
          </a:xfrm>
          <a:prstGeom prst="rect">
            <a:avLst/>
          </a:prstGeom>
        </xdr:spPr>
      </xdr:pic>
    </xdr:grpSp>
    <xdr:clientData/>
  </xdr:twoCellAnchor>
  <xdr:twoCellAnchor>
    <xdr:from>
      <xdr:col>20</xdr:col>
      <xdr:colOff>26894</xdr:colOff>
      <xdr:row>7</xdr:row>
      <xdr:rowOff>80681</xdr:rowOff>
    </xdr:from>
    <xdr:to>
      <xdr:col>26</xdr:col>
      <xdr:colOff>482650</xdr:colOff>
      <xdr:row>56</xdr:row>
      <xdr:rowOff>161576</xdr:rowOff>
    </xdr:to>
    <xdr:grpSp>
      <xdr:nvGrpSpPr>
        <xdr:cNvPr id="11" name="Group 10">
          <a:extLst>
            <a:ext uri="{FF2B5EF4-FFF2-40B4-BE49-F238E27FC236}">
              <a16:creationId xmlns:a16="http://schemas.microsoft.com/office/drawing/2014/main" id="{C3DDB9DE-468D-4B3A-90B4-338F4E5B7C84}"/>
            </a:ext>
          </a:extLst>
        </xdr:cNvPr>
        <xdr:cNvGrpSpPr/>
      </xdr:nvGrpSpPr>
      <xdr:grpSpPr>
        <a:xfrm>
          <a:off x="11075894" y="1391769"/>
          <a:ext cx="4086462" cy="8866307"/>
          <a:chOff x="11161059" y="1335740"/>
          <a:chExt cx="4113356" cy="8866307"/>
        </a:xfrm>
      </xdr:grpSpPr>
      <xdr:pic>
        <xdr:nvPicPr>
          <xdr:cNvPr id="12" name="Picture 11">
            <a:extLst>
              <a:ext uri="{FF2B5EF4-FFF2-40B4-BE49-F238E27FC236}">
                <a16:creationId xmlns:a16="http://schemas.microsoft.com/office/drawing/2014/main" id="{A7EF8117-F53E-42FE-A2CA-A3C84AB8236C}"/>
              </a:ext>
            </a:extLst>
          </xdr:cNvPr>
          <xdr:cNvPicPr>
            <a:picLocks noChangeAspect="1"/>
          </xdr:cNvPicPr>
        </xdr:nvPicPr>
        <xdr:blipFill>
          <a:blip xmlns:r="http://schemas.openxmlformats.org/officeDocument/2006/relationships" r:embed="rId8"/>
          <a:stretch>
            <a:fillRect/>
          </a:stretch>
        </xdr:blipFill>
        <xdr:spPr>
          <a:xfrm>
            <a:off x="11161059" y="1335740"/>
            <a:ext cx="3360711" cy="1249788"/>
          </a:xfrm>
          <a:prstGeom prst="rect">
            <a:avLst/>
          </a:prstGeom>
        </xdr:spPr>
      </xdr:pic>
      <xdr:pic>
        <xdr:nvPicPr>
          <xdr:cNvPr id="13" name="Picture 12">
            <a:extLst>
              <a:ext uri="{FF2B5EF4-FFF2-40B4-BE49-F238E27FC236}">
                <a16:creationId xmlns:a16="http://schemas.microsoft.com/office/drawing/2014/main" id="{A6791E79-B96A-42B2-9EE7-C9B9F46D03FB}"/>
              </a:ext>
            </a:extLst>
          </xdr:cNvPr>
          <xdr:cNvPicPr>
            <a:picLocks noChangeAspect="1"/>
          </xdr:cNvPicPr>
        </xdr:nvPicPr>
        <xdr:blipFill>
          <a:blip xmlns:r="http://schemas.openxmlformats.org/officeDocument/2006/relationships" r:embed="rId9"/>
          <a:stretch>
            <a:fillRect/>
          </a:stretch>
        </xdr:blipFill>
        <xdr:spPr>
          <a:xfrm>
            <a:off x="11161059" y="2483223"/>
            <a:ext cx="3497883" cy="1158340"/>
          </a:xfrm>
          <a:prstGeom prst="rect">
            <a:avLst/>
          </a:prstGeom>
        </xdr:spPr>
      </xdr:pic>
      <xdr:pic>
        <xdr:nvPicPr>
          <xdr:cNvPr id="14" name="Picture 13">
            <a:extLst>
              <a:ext uri="{FF2B5EF4-FFF2-40B4-BE49-F238E27FC236}">
                <a16:creationId xmlns:a16="http://schemas.microsoft.com/office/drawing/2014/main" id="{F88F384B-B105-4F4E-AE49-DE41CAEC6484}"/>
              </a:ext>
            </a:extLst>
          </xdr:cNvPr>
          <xdr:cNvPicPr>
            <a:picLocks noChangeAspect="1"/>
          </xdr:cNvPicPr>
        </xdr:nvPicPr>
        <xdr:blipFill>
          <a:blip xmlns:r="http://schemas.openxmlformats.org/officeDocument/2006/relationships" r:embed="rId10"/>
          <a:stretch>
            <a:fillRect/>
          </a:stretch>
        </xdr:blipFill>
        <xdr:spPr>
          <a:xfrm>
            <a:off x="11241741" y="3738283"/>
            <a:ext cx="4031330" cy="4061812"/>
          </a:xfrm>
          <a:prstGeom prst="rect">
            <a:avLst/>
          </a:prstGeom>
        </xdr:spPr>
      </xdr:pic>
      <xdr:pic>
        <xdr:nvPicPr>
          <xdr:cNvPr id="15" name="Picture 14">
            <a:extLst>
              <a:ext uri="{FF2B5EF4-FFF2-40B4-BE49-F238E27FC236}">
                <a16:creationId xmlns:a16="http://schemas.microsoft.com/office/drawing/2014/main" id="{897D1EA2-894A-451D-9960-86D326E0FF12}"/>
              </a:ext>
            </a:extLst>
          </xdr:cNvPr>
          <xdr:cNvPicPr>
            <a:picLocks noChangeAspect="1"/>
          </xdr:cNvPicPr>
        </xdr:nvPicPr>
        <xdr:blipFill>
          <a:blip xmlns:r="http://schemas.openxmlformats.org/officeDocument/2006/relationships" r:embed="rId11"/>
          <a:stretch>
            <a:fillRect/>
          </a:stretch>
        </xdr:blipFill>
        <xdr:spPr>
          <a:xfrm>
            <a:off x="11250706" y="7763436"/>
            <a:ext cx="4023709" cy="2438611"/>
          </a:xfrm>
          <a:prstGeom prst="rect">
            <a:avLst/>
          </a:prstGeom>
        </xdr:spPr>
      </xdr:pic>
    </xdr:grpSp>
    <xdr:clientData/>
  </xdr:twoCellAnchor>
  <xdr:twoCellAnchor>
    <xdr:from>
      <xdr:col>30</xdr:col>
      <xdr:colOff>89647</xdr:colOff>
      <xdr:row>5</xdr:row>
      <xdr:rowOff>55131</xdr:rowOff>
    </xdr:from>
    <xdr:to>
      <xdr:col>36</xdr:col>
      <xdr:colOff>580362</xdr:colOff>
      <xdr:row>45</xdr:row>
      <xdr:rowOff>119361</xdr:rowOff>
    </xdr:to>
    <xdr:grpSp>
      <xdr:nvGrpSpPr>
        <xdr:cNvPr id="16" name="Group 15">
          <a:extLst>
            <a:ext uri="{FF2B5EF4-FFF2-40B4-BE49-F238E27FC236}">
              <a16:creationId xmlns:a16="http://schemas.microsoft.com/office/drawing/2014/main" id="{2D5269C1-5DD3-4C22-B53E-44934AE78B1D}"/>
            </a:ext>
          </a:extLst>
        </xdr:cNvPr>
        <xdr:cNvGrpSpPr/>
      </xdr:nvGrpSpPr>
      <xdr:grpSpPr>
        <a:xfrm>
          <a:off x="16663147" y="1007631"/>
          <a:ext cx="4121421" cy="7235995"/>
          <a:chOff x="16790894" y="951602"/>
          <a:chExt cx="4148315" cy="7235994"/>
        </a:xfrm>
      </xdr:grpSpPr>
      <xdr:pic>
        <xdr:nvPicPr>
          <xdr:cNvPr id="17" name="Picture 16">
            <a:extLst>
              <a:ext uri="{FF2B5EF4-FFF2-40B4-BE49-F238E27FC236}">
                <a16:creationId xmlns:a16="http://schemas.microsoft.com/office/drawing/2014/main" id="{DC0B6C37-9D12-485A-8821-6467CF85E89E}"/>
              </a:ext>
            </a:extLst>
          </xdr:cNvPr>
          <xdr:cNvPicPr>
            <a:picLocks noChangeAspect="1"/>
          </xdr:cNvPicPr>
        </xdr:nvPicPr>
        <xdr:blipFill>
          <a:blip xmlns:r="http://schemas.openxmlformats.org/officeDocument/2006/relationships" r:embed="rId12"/>
          <a:stretch>
            <a:fillRect/>
          </a:stretch>
        </xdr:blipFill>
        <xdr:spPr>
          <a:xfrm>
            <a:off x="16790894" y="951602"/>
            <a:ext cx="3200678" cy="1204064"/>
          </a:xfrm>
          <a:prstGeom prst="rect">
            <a:avLst/>
          </a:prstGeom>
        </xdr:spPr>
      </xdr:pic>
      <xdr:pic>
        <xdr:nvPicPr>
          <xdr:cNvPr id="18" name="Picture 17">
            <a:extLst>
              <a:ext uri="{FF2B5EF4-FFF2-40B4-BE49-F238E27FC236}">
                <a16:creationId xmlns:a16="http://schemas.microsoft.com/office/drawing/2014/main" id="{D87CFA20-F1FF-4D0E-958F-F297C49589D0}"/>
              </a:ext>
            </a:extLst>
          </xdr:cNvPr>
          <xdr:cNvPicPr>
            <a:picLocks noChangeAspect="1"/>
          </xdr:cNvPicPr>
        </xdr:nvPicPr>
        <xdr:blipFill>
          <a:blip xmlns:r="http://schemas.openxmlformats.org/officeDocument/2006/relationships" r:embed="rId13"/>
          <a:stretch>
            <a:fillRect/>
          </a:stretch>
        </xdr:blipFill>
        <xdr:spPr>
          <a:xfrm>
            <a:off x="16808823" y="2151529"/>
            <a:ext cx="2095682" cy="365792"/>
          </a:xfrm>
          <a:prstGeom prst="rect">
            <a:avLst/>
          </a:prstGeom>
        </xdr:spPr>
      </xdr:pic>
      <xdr:pic>
        <xdr:nvPicPr>
          <xdr:cNvPr id="19" name="Picture 18">
            <a:extLst>
              <a:ext uri="{FF2B5EF4-FFF2-40B4-BE49-F238E27FC236}">
                <a16:creationId xmlns:a16="http://schemas.microsoft.com/office/drawing/2014/main" id="{D9391FF4-A05A-484D-B08A-CCBA02EA33AE}"/>
              </a:ext>
            </a:extLst>
          </xdr:cNvPr>
          <xdr:cNvPicPr>
            <a:picLocks noChangeAspect="1"/>
          </xdr:cNvPicPr>
        </xdr:nvPicPr>
        <xdr:blipFill>
          <a:blip xmlns:r="http://schemas.openxmlformats.org/officeDocument/2006/relationships" r:embed="rId14"/>
          <a:stretch>
            <a:fillRect/>
          </a:stretch>
        </xdr:blipFill>
        <xdr:spPr>
          <a:xfrm>
            <a:off x="16952259" y="2671482"/>
            <a:ext cx="3977985" cy="4038950"/>
          </a:xfrm>
          <a:prstGeom prst="rect">
            <a:avLst/>
          </a:prstGeom>
        </xdr:spPr>
      </xdr:pic>
      <xdr:pic>
        <xdr:nvPicPr>
          <xdr:cNvPr id="20" name="Picture 19">
            <a:extLst>
              <a:ext uri="{FF2B5EF4-FFF2-40B4-BE49-F238E27FC236}">
                <a16:creationId xmlns:a16="http://schemas.microsoft.com/office/drawing/2014/main" id="{5C1DBC5D-DE45-48C3-89DC-6618468F9786}"/>
              </a:ext>
            </a:extLst>
          </xdr:cNvPr>
          <xdr:cNvPicPr>
            <a:picLocks noChangeAspect="1"/>
          </xdr:cNvPicPr>
        </xdr:nvPicPr>
        <xdr:blipFill>
          <a:blip xmlns:r="http://schemas.openxmlformats.org/officeDocument/2006/relationships" r:embed="rId15"/>
          <a:stretch>
            <a:fillRect/>
          </a:stretch>
        </xdr:blipFill>
        <xdr:spPr>
          <a:xfrm>
            <a:off x="16961224" y="6678705"/>
            <a:ext cx="3977985" cy="1508891"/>
          </a:xfrm>
          <a:prstGeom prst="rect">
            <a:avLst/>
          </a:prstGeom>
        </xdr:spPr>
      </xdr:pic>
    </xdr:grpSp>
    <xdr:clientData/>
  </xdr:twoCellAnchor>
  <xdr:twoCellAnchor>
    <xdr:from>
      <xdr:col>0</xdr:col>
      <xdr:colOff>215153</xdr:colOff>
      <xdr:row>73</xdr:row>
      <xdr:rowOff>98613</xdr:rowOff>
    </xdr:from>
    <xdr:to>
      <xdr:col>7</xdr:col>
      <xdr:colOff>343</xdr:colOff>
      <xdr:row>112</xdr:row>
      <xdr:rowOff>26895</xdr:rowOff>
    </xdr:to>
    <xdr:grpSp>
      <xdr:nvGrpSpPr>
        <xdr:cNvPr id="21" name="Group 20">
          <a:extLst>
            <a:ext uri="{FF2B5EF4-FFF2-40B4-BE49-F238E27FC236}">
              <a16:creationId xmlns:a16="http://schemas.microsoft.com/office/drawing/2014/main" id="{69B36C86-85E5-4D71-A094-481CAB6E3CD9}"/>
            </a:ext>
          </a:extLst>
        </xdr:cNvPr>
        <xdr:cNvGrpSpPr/>
      </xdr:nvGrpSpPr>
      <xdr:grpSpPr>
        <a:xfrm>
          <a:off x="215153" y="13097437"/>
          <a:ext cx="4021014" cy="6707840"/>
          <a:chOff x="215153" y="12989860"/>
          <a:chExt cx="4052390" cy="6714564"/>
        </a:xfrm>
      </xdr:grpSpPr>
      <xdr:pic>
        <xdr:nvPicPr>
          <xdr:cNvPr id="22" name="Picture 21">
            <a:extLst>
              <a:ext uri="{FF2B5EF4-FFF2-40B4-BE49-F238E27FC236}">
                <a16:creationId xmlns:a16="http://schemas.microsoft.com/office/drawing/2014/main" id="{729F0187-8CC8-400A-88FE-83D770C8AB88}"/>
              </a:ext>
            </a:extLst>
          </xdr:cNvPr>
          <xdr:cNvPicPr>
            <a:picLocks noChangeAspect="1"/>
          </xdr:cNvPicPr>
        </xdr:nvPicPr>
        <xdr:blipFill>
          <a:blip xmlns:r="http://schemas.openxmlformats.org/officeDocument/2006/relationships" r:embed="rId16"/>
          <a:stretch>
            <a:fillRect/>
          </a:stretch>
        </xdr:blipFill>
        <xdr:spPr>
          <a:xfrm>
            <a:off x="268941" y="12989860"/>
            <a:ext cx="1950889" cy="281964"/>
          </a:xfrm>
          <a:prstGeom prst="rect">
            <a:avLst/>
          </a:prstGeom>
        </xdr:spPr>
      </xdr:pic>
      <xdr:pic>
        <xdr:nvPicPr>
          <xdr:cNvPr id="23" name="Picture 22">
            <a:extLst>
              <a:ext uri="{FF2B5EF4-FFF2-40B4-BE49-F238E27FC236}">
                <a16:creationId xmlns:a16="http://schemas.microsoft.com/office/drawing/2014/main" id="{02BA4852-4F87-457E-9826-9AD4D07420F7}"/>
              </a:ext>
            </a:extLst>
          </xdr:cNvPr>
          <xdr:cNvPicPr>
            <a:picLocks noChangeAspect="1"/>
          </xdr:cNvPicPr>
        </xdr:nvPicPr>
        <xdr:blipFill>
          <a:blip xmlns:r="http://schemas.openxmlformats.org/officeDocument/2006/relationships" r:embed="rId17"/>
          <a:stretch>
            <a:fillRect/>
          </a:stretch>
        </xdr:blipFill>
        <xdr:spPr>
          <a:xfrm>
            <a:off x="233082" y="13456024"/>
            <a:ext cx="2126164" cy="716342"/>
          </a:xfrm>
          <a:prstGeom prst="rect">
            <a:avLst/>
          </a:prstGeom>
        </xdr:spPr>
      </xdr:pic>
      <xdr:pic>
        <xdr:nvPicPr>
          <xdr:cNvPr id="24" name="Picture 23">
            <a:extLst>
              <a:ext uri="{FF2B5EF4-FFF2-40B4-BE49-F238E27FC236}">
                <a16:creationId xmlns:a16="http://schemas.microsoft.com/office/drawing/2014/main" id="{02B8A9B7-D3B9-4125-ABF0-12D1CDFE30AC}"/>
              </a:ext>
            </a:extLst>
          </xdr:cNvPr>
          <xdr:cNvPicPr>
            <a:picLocks noChangeAspect="1"/>
          </xdr:cNvPicPr>
        </xdr:nvPicPr>
        <xdr:blipFill>
          <a:blip xmlns:r="http://schemas.openxmlformats.org/officeDocument/2006/relationships" r:embed="rId18"/>
          <a:stretch>
            <a:fillRect/>
          </a:stretch>
        </xdr:blipFill>
        <xdr:spPr>
          <a:xfrm>
            <a:off x="215153" y="14191130"/>
            <a:ext cx="4008468" cy="3177816"/>
          </a:xfrm>
          <a:prstGeom prst="rect">
            <a:avLst/>
          </a:prstGeom>
        </xdr:spPr>
      </xdr:pic>
      <xdr:pic>
        <xdr:nvPicPr>
          <xdr:cNvPr id="25" name="Picture 24">
            <a:extLst>
              <a:ext uri="{FF2B5EF4-FFF2-40B4-BE49-F238E27FC236}">
                <a16:creationId xmlns:a16="http://schemas.microsoft.com/office/drawing/2014/main" id="{65A7A6F1-E0CD-468C-AD28-613E91B5FB88}"/>
              </a:ext>
            </a:extLst>
          </xdr:cNvPr>
          <xdr:cNvPicPr>
            <a:picLocks noChangeAspect="1"/>
          </xdr:cNvPicPr>
        </xdr:nvPicPr>
        <xdr:blipFill rotWithShape="1">
          <a:blip xmlns:r="http://schemas.openxmlformats.org/officeDocument/2006/relationships" r:embed="rId19"/>
          <a:srcRect b="49216"/>
          <a:stretch/>
        </xdr:blipFill>
        <xdr:spPr>
          <a:xfrm>
            <a:off x="304799" y="17409460"/>
            <a:ext cx="3962744" cy="2294964"/>
          </a:xfrm>
          <a:prstGeom prst="rect">
            <a:avLst/>
          </a:prstGeom>
        </xdr:spPr>
      </xdr:pic>
    </xdr:grpSp>
    <xdr:clientData/>
  </xdr:twoCellAnchor>
  <xdr:twoCellAnchor>
    <xdr:from>
      <xdr:col>10</xdr:col>
      <xdr:colOff>134470</xdr:colOff>
      <xdr:row>65</xdr:row>
      <xdr:rowOff>98612</xdr:rowOff>
    </xdr:from>
    <xdr:to>
      <xdr:col>17</xdr:col>
      <xdr:colOff>73875</xdr:colOff>
      <xdr:row>110</xdr:row>
      <xdr:rowOff>41419</xdr:rowOff>
    </xdr:to>
    <xdr:grpSp>
      <xdr:nvGrpSpPr>
        <xdr:cNvPr id="26" name="Group 25">
          <a:extLst>
            <a:ext uri="{FF2B5EF4-FFF2-40B4-BE49-F238E27FC236}">
              <a16:creationId xmlns:a16="http://schemas.microsoft.com/office/drawing/2014/main" id="{0A66E0EE-22A8-4202-9794-FA731C529BCA}"/>
            </a:ext>
          </a:extLst>
        </xdr:cNvPr>
        <xdr:cNvGrpSpPr/>
      </xdr:nvGrpSpPr>
      <xdr:grpSpPr>
        <a:xfrm>
          <a:off x="5658970" y="11663083"/>
          <a:ext cx="4175229" cy="7798130"/>
          <a:chOff x="5701552" y="11555506"/>
          <a:chExt cx="4206605" cy="7804854"/>
        </a:xfrm>
      </xdr:grpSpPr>
      <xdr:pic>
        <xdr:nvPicPr>
          <xdr:cNvPr id="27" name="Picture 26">
            <a:extLst>
              <a:ext uri="{FF2B5EF4-FFF2-40B4-BE49-F238E27FC236}">
                <a16:creationId xmlns:a16="http://schemas.microsoft.com/office/drawing/2014/main" id="{7BD8F9FD-1D00-44DA-8975-22B8404CACCF}"/>
              </a:ext>
            </a:extLst>
          </xdr:cNvPr>
          <xdr:cNvPicPr>
            <a:picLocks noChangeAspect="1"/>
          </xdr:cNvPicPr>
        </xdr:nvPicPr>
        <xdr:blipFill>
          <a:blip xmlns:r="http://schemas.openxmlformats.org/officeDocument/2006/relationships" r:embed="rId20"/>
          <a:stretch>
            <a:fillRect/>
          </a:stretch>
        </xdr:blipFill>
        <xdr:spPr>
          <a:xfrm>
            <a:off x="5773271" y="11555506"/>
            <a:ext cx="2979678" cy="1333616"/>
          </a:xfrm>
          <a:prstGeom prst="rect">
            <a:avLst/>
          </a:prstGeom>
        </xdr:spPr>
      </xdr:pic>
      <xdr:pic>
        <xdr:nvPicPr>
          <xdr:cNvPr id="28" name="Picture 27">
            <a:extLst>
              <a:ext uri="{FF2B5EF4-FFF2-40B4-BE49-F238E27FC236}">
                <a16:creationId xmlns:a16="http://schemas.microsoft.com/office/drawing/2014/main" id="{32EDCADB-26B7-4574-995B-8F9015841ED7}"/>
              </a:ext>
            </a:extLst>
          </xdr:cNvPr>
          <xdr:cNvPicPr>
            <a:picLocks noChangeAspect="1"/>
          </xdr:cNvPicPr>
        </xdr:nvPicPr>
        <xdr:blipFill>
          <a:blip xmlns:r="http://schemas.openxmlformats.org/officeDocument/2006/relationships" r:embed="rId21"/>
          <a:stretch>
            <a:fillRect/>
          </a:stretch>
        </xdr:blipFill>
        <xdr:spPr>
          <a:xfrm>
            <a:off x="5701552" y="12962966"/>
            <a:ext cx="4206605" cy="1303133"/>
          </a:xfrm>
          <a:prstGeom prst="rect">
            <a:avLst/>
          </a:prstGeom>
        </xdr:spPr>
      </xdr:pic>
      <xdr:pic>
        <xdr:nvPicPr>
          <xdr:cNvPr id="29" name="Picture 28">
            <a:extLst>
              <a:ext uri="{FF2B5EF4-FFF2-40B4-BE49-F238E27FC236}">
                <a16:creationId xmlns:a16="http://schemas.microsoft.com/office/drawing/2014/main" id="{ED4ED925-B6A8-4F3F-9650-5E91079EC330}"/>
              </a:ext>
            </a:extLst>
          </xdr:cNvPr>
          <xdr:cNvPicPr>
            <a:picLocks noChangeAspect="1"/>
          </xdr:cNvPicPr>
        </xdr:nvPicPr>
        <xdr:blipFill>
          <a:blip xmlns:r="http://schemas.openxmlformats.org/officeDocument/2006/relationships" r:embed="rId22"/>
          <a:stretch>
            <a:fillRect/>
          </a:stretch>
        </xdr:blipFill>
        <xdr:spPr>
          <a:xfrm>
            <a:off x="5764306" y="14576613"/>
            <a:ext cx="3962744" cy="2705335"/>
          </a:xfrm>
          <a:prstGeom prst="rect">
            <a:avLst/>
          </a:prstGeom>
        </xdr:spPr>
      </xdr:pic>
      <xdr:pic>
        <xdr:nvPicPr>
          <xdr:cNvPr id="30" name="Picture 29">
            <a:extLst>
              <a:ext uri="{FF2B5EF4-FFF2-40B4-BE49-F238E27FC236}">
                <a16:creationId xmlns:a16="http://schemas.microsoft.com/office/drawing/2014/main" id="{7A8825DA-A74A-43E1-96F0-6C38D6392DE6}"/>
              </a:ext>
            </a:extLst>
          </xdr:cNvPr>
          <xdr:cNvPicPr>
            <a:picLocks noChangeAspect="1"/>
          </xdr:cNvPicPr>
        </xdr:nvPicPr>
        <xdr:blipFill>
          <a:blip xmlns:r="http://schemas.openxmlformats.org/officeDocument/2006/relationships" r:embed="rId23"/>
          <a:stretch>
            <a:fillRect/>
          </a:stretch>
        </xdr:blipFill>
        <xdr:spPr>
          <a:xfrm>
            <a:off x="5791199" y="17257058"/>
            <a:ext cx="3917020" cy="2103302"/>
          </a:xfrm>
          <a:prstGeom prst="rect">
            <a:avLst/>
          </a:prstGeom>
        </xdr:spPr>
      </xdr:pic>
    </xdr:grpSp>
    <xdr:clientData/>
  </xdr:twoCellAnchor>
  <xdr:twoCellAnchor>
    <xdr:from>
      <xdr:col>20</xdr:col>
      <xdr:colOff>215153</xdr:colOff>
      <xdr:row>65</xdr:row>
      <xdr:rowOff>89648</xdr:rowOff>
    </xdr:from>
    <xdr:to>
      <xdr:col>26</xdr:col>
      <xdr:colOff>550779</xdr:colOff>
      <xdr:row>85</xdr:row>
      <xdr:rowOff>28033</xdr:rowOff>
    </xdr:to>
    <xdr:grpSp>
      <xdr:nvGrpSpPr>
        <xdr:cNvPr id="31" name="Group 30">
          <a:extLst>
            <a:ext uri="{FF2B5EF4-FFF2-40B4-BE49-F238E27FC236}">
              <a16:creationId xmlns:a16="http://schemas.microsoft.com/office/drawing/2014/main" id="{85DA6A6B-426A-49C7-856A-8FBE41D1DD9C}"/>
            </a:ext>
          </a:extLst>
        </xdr:cNvPr>
        <xdr:cNvGrpSpPr/>
      </xdr:nvGrpSpPr>
      <xdr:grpSpPr>
        <a:xfrm>
          <a:off x="11264153" y="11654119"/>
          <a:ext cx="3966332" cy="3412208"/>
          <a:chOff x="11349318" y="11546542"/>
          <a:chExt cx="3993226" cy="3416691"/>
        </a:xfrm>
      </xdr:grpSpPr>
      <xdr:pic>
        <xdr:nvPicPr>
          <xdr:cNvPr id="32" name="Picture 31">
            <a:extLst>
              <a:ext uri="{FF2B5EF4-FFF2-40B4-BE49-F238E27FC236}">
                <a16:creationId xmlns:a16="http://schemas.microsoft.com/office/drawing/2014/main" id="{FAFEE0A5-DB16-47AD-B356-17630BB5903C}"/>
              </a:ext>
            </a:extLst>
          </xdr:cNvPr>
          <xdr:cNvPicPr>
            <a:picLocks noChangeAspect="1"/>
          </xdr:cNvPicPr>
        </xdr:nvPicPr>
        <xdr:blipFill>
          <a:blip xmlns:r="http://schemas.openxmlformats.org/officeDocument/2006/relationships" r:embed="rId24"/>
          <a:stretch>
            <a:fillRect/>
          </a:stretch>
        </xdr:blipFill>
        <xdr:spPr>
          <a:xfrm>
            <a:off x="11349318" y="11546542"/>
            <a:ext cx="2278578" cy="602032"/>
          </a:xfrm>
          <a:prstGeom prst="rect">
            <a:avLst/>
          </a:prstGeom>
        </xdr:spPr>
      </xdr:pic>
      <xdr:pic>
        <xdr:nvPicPr>
          <xdr:cNvPr id="33" name="Picture 32">
            <a:extLst>
              <a:ext uri="{FF2B5EF4-FFF2-40B4-BE49-F238E27FC236}">
                <a16:creationId xmlns:a16="http://schemas.microsoft.com/office/drawing/2014/main" id="{687BAE93-D720-495E-80BA-C28B4B84D723}"/>
              </a:ext>
            </a:extLst>
          </xdr:cNvPr>
          <xdr:cNvPicPr>
            <a:picLocks noChangeAspect="1"/>
          </xdr:cNvPicPr>
        </xdr:nvPicPr>
        <xdr:blipFill>
          <a:blip xmlns:r="http://schemas.openxmlformats.org/officeDocument/2006/relationships" r:embed="rId25"/>
          <a:stretch>
            <a:fillRect/>
          </a:stretch>
        </xdr:blipFill>
        <xdr:spPr>
          <a:xfrm>
            <a:off x="11349318" y="12174071"/>
            <a:ext cx="3993226" cy="2789162"/>
          </a:xfrm>
          <a:prstGeom prst="rect">
            <a:avLst/>
          </a:prstGeom>
        </xdr:spPr>
      </xdr:pic>
    </xdr:grpSp>
    <xdr:clientData/>
  </xdr:twoCellAnchor>
  <xdr:twoCellAnchor>
    <xdr:from>
      <xdr:col>30</xdr:col>
      <xdr:colOff>358588</xdr:colOff>
      <xdr:row>65</xdr:row>
      <xdr:rowOff>1</xdr:rowOff>
    </xdr:from>
    <xdr:to>
      <xdr:col>36</xdr:col>
      <xdr:colOff>527904</xdr:colOff>
      <xdr:row>84</xdr:row>
      <xdr:rowOff>32429</xdr:rowOff>
    </xdr:to>
    <xdr:grpSp>
      <xdr:nvGrpSpPr>
        <xdr:cNvPr id="34" name="Group 33">
          <a:extLst>
            <a:ext uri="{FF2B5EF4-FFF2-40B4-BE49-F238E27FC236}">
              <a16:creationId xmlns:a16="http://schemas.microsoft.com/office/drawing/2014/main" id="{F1FB6FD8-DCCA-41C4-97C5-89EACE199438}"/>
            </a:ext>
          </a:extLst>
        </xdr:cNvPr>
        <xdr:cNvGrpSpPr/>
      </xdr:nvGrpSpPr>
      <xdr:grpSpPr>
        <a:xfrm>
          <a:off x="16932088" y="11564472"/>
          <a:ext cx="3800022" cy="3326957"/>
          <a:chOff x="17059835" y="11456895"/>
          <a:chExt cx="3826916" cy="3331440"/>
        </a:xfrm>
      </xdr:grpSpPr>
      <xdr:pic>
        <xdr:nvPicPr>
          <xdr:cNvPr id="35" name="Picture 34">
            <a:extLst>
              <a:ext uri="{FF2B5EF4-FFF2-40B4-BE49-F238E27FC236}">
                <a16:creationId xmlns:a16="http://schemas.microsoft.com/office/drawing/2014/main" id="{80775416-7ADE-464B-B315-03FD44A8EA99}"/>
              </a:ext>
            </a:extLst>
          </xdr:cNvPr>
          <xdr:cNvPicPr>
            <a:picLocks noChangeAspect="1"/>
          </xdr:cNvPicPr>
        </xdr:nvPicPr>
        <xdr:blipFill>
          <a:blip xmlns:r="http://schemas.openxmlformats.org/officeDocument/2006/relationships" r:embed="rId26"/>
          <a:stretch>
            <a:fillRect/>
          </a:stretch>
        </xdr:blipFill>
        <xdr:spPr>
          <a:xfrm>
            <a:off x="17059835" y="11456895"/>
            <a:ext cx="2507197" cy="1440305"/>
          </a:xfrm>
          <a:prstGeom prst="rect">
            <a:avLst/>
          </a:prstGeom>
        </xdr:spPr>
      </xdr:pic>
      <xdr:pic>
        <xdr:nvPicPr>
          <xdr:cNvPr id="36" name="Picture 35">
            <a:extLst>
              <a:ext uri="{FF2B5EF4-FFF2-40B4-BE49-F238E27FC236}">
                <a16:creationId xmlns:a16="http://schemas.microsoft.com/office/drawing/2014/main" id="{65A730C6-210E-4317-A696-2006054E71D9}"/>
              </a:ext>
            </a:extLst>
          </xdr:cNvPr>
          <xdr:cNvPicPr>
            <a:picLocks noChangeAspect="1"/>
          </xdr:cNvPicPr>
        </xdr:nvPicPr>
        <xdr:blipFill>
          <a:blip xmlns:r="http://schemas.openxmlformats.org/officeDocument/2006/relationships" r:embed="rId27"/>
          <a:stretch>
            <a:fillRect/>
          </a:stretch>
        </xdr:blipFill>
        <xdr:spPr>
          <a:xfrm>
            <a:off x="17068800" y="12989859"/>
            <a:ext cx="3817951" cy="1798476"/>
          </a:xfrm>
          <a:prstGeom prst="rect">
            <a:avLst/>
          </a:prstGeom>
        </xdr:spPr>
      </xdr:pic>
    </xdr:grpSp>
    <xdr:clientData/>
  </xdr:twoCellAnchor>
  <xdr:twoCellAnchor editAs="oneCell">
    <xdr:from>
      <xdr:col>0</xdr:col>
      <xdr:colOff>125507</xdr:colOff>
      <xdr:row>8</xdr:row>
      <xdr:rowOff>71717</xdr:rowOff>
    </xdr:from>
    <xdr:to>
      <xdr:col>4</xdr:col>
      <xdr:colOff>358589</xdr:colOff>
      <xdr:row>12</xdr:row>
      <xdr:rowOff>54598</xdr:rowOff>
    </xdr:to>
    <xdr:pic>
      <xdr:nvPicPr>
        <xdr:cNvPr id="37" name="Picture 36">
          <a:extLst>
            <a:ext uri="{FF2B5EF4-FFF2-40B4-BE49-F238E27FC236}">
              <a16:creationId xmlns:a16="http://schemas.microsoft.com/office/drawing/2014/main" id="{13364881-035A-4862-9769-F49EE44D62A0}"/>
            </a:ext>
          </a:extLst>
        </xdr:cNvPr>
        <xdr:cNvPicPr>
          <a:picLocks noChangeAspect="1"/>
        </xdr:cNvPicPr>
      </xdr:nvPicPr>
      <xdr:blipFill>
        <a:blip xmlns:r="http://schemas.openxmlformats.org/officeDocument/2006/relationships" r:embed="rId28"/>
        <a:stretch>
          <a:fillRect/>
        </a:stretch>
      </xdr:blipFill>
      <xdr:spPr>
        <a:xfrm>
          <a:off x="125507" y="1567142"/>
          <a:ext cx="2671482" cy="706781"/>
        </a:xfrm>
        <a:prstGeom prst="rect">
          <a:avLst/>
        </a:prstGeom>
      </xdr:spPr>
    </xdr:pic>
    <xdr:clientData/>
  </xdr:twoCellAnchor>
  <xdr:twoCellAnchor editAs="oneCell">
    <xdr:from>
      <xdr:col>0</xdr:col>
      <xdr:colOff>0</xdr:colOff>
      <xdr:row>12</xdr:row>
      <xdr:rowOff>44823</xdr:rowOff>
    </xdr:from>
    <xdr:to>
      <xdr:col>7</xdr:col>
      <xdr:colOff>322729</xdr:colOff>
      <xdr:row>22</xdr:row>
      <xdr:rowOff>5693</xdr:rowOff>
    </xdr:to>
    <xdr:pic>
      <xdr:nvPicPr>
        <xdr:cNvPr id="38" name="Picture 37">
          <a:extLst>
            <a:ext uri="{FF2B5EF4-FFF2-40B4-BE49-F238E27FC236}">
              <a16:creationId xmlns:a16="http://schemas.microsoft.com/office/drawing/2014/main" id="{9403BCDE-44FB-4999-ACD9-80042B2453CD}"/>
            </a:ext>
          </a:extLst>
        </xdr:cNvPr>
        <xdr:cNvPicPr>
          <a:picLocks noChangeAspect="1"/>
        </xdr:cNvPicPr>
      </xdr:nvPicPr>
      <xdr:blipFill>
        <a:blip xmlns:r="http://schemas.openxmlformats.org/officeDocument/2006/relationships" r:embed="rId29"/>
        <a:stretch>
          <a:fillRect/>
        </a:stretch>
      </xdr:blipFill>
      <xdr:spPr>
        <a:xfrm>
          <a:off x="0" y="2264148"/>
          <a:ext cx="4589929" cy="177062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21</xdr:col>
      <xdr:colOff>297656</xdr:colOff>
      <xdr:row>4</xdr:row>
      <xdr:rowOff>83345</xdr:rowOff>
    </xdr:from>
    <xdr:to>
      <xdr:col>26</xdr:col>
      <xdr:colOff>261936</xdr:colOff>
      <xdr:row>13</xdr:row>
      <xdr:rowOff>178595</xdr:rowOff>
    </xdr:to>
    <xdr:sp macro="" textlink="">
      <xdr:nvSpPr>
        <xdr:cNvPr id="2" name="TextBox 1">
          <a:extLst>
            <a:ext uri="{FF2B5EF4-FFF2-40B4-BE49-F238E27FC236}">
              <a16:creationId xmlns:a16="http://schemas.microsoft.com/office/drawing/2014/main" id="{C2D6DF59-AC2F-4777-9B05-E61089AB201F}"/>
            </a:ext>
          </a:extLst>
        </xdr:cNvPr>
        <xdr:cNvSpPr txBox="1"/>
      </xdr:nvSpPr>
      <xdr:spPr>
        <a:xfrm>
          <a:off x="12703969" y="1178720"/>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Anti-sweat heater (ASH) controls sense the humidity in the store outside of reach-in, glass door refrigerated cases and turn off anti-sweat heaters during periods of low humidity.</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583404</xdr:colOff>
      <xdr:row>4</xdr:row>
      <xdr:rowOff>59531</xdr:rowOff>
    </xdr:from>
    <xdr:to>
      <xdr:col>27</xdr:col>
      <xdr:colOff>119063</xdr:colOff>
      <xdr:row>13</xdr:row>
      <xdr:rowOff>154781</xdr:rowOff>
    </xdr:to>
    <xdr:sp macro="" textlink="">
      <xdr:nvSpPr>
        <xdr:cNvPr id="2" name="TextBox 1">
          <a:extLst>
            <a:ext uri="{FF2B5EF4-FFF2-40B4-BE49-F238E27FC236}">
              <a16:creationId xmlns:a16="http://schemas.microsoft.com/office/drawing/2014/main" id="{29BA7169-55A4-47B1-AFF5-81B0303070BB}"/>
            </a:ext>
          </a:extLst>
        </xdr:cNvPr>
        <xdr:cNvSpPr txBox="1"/>
      </xdr:nvSpPr>
      <xdr:spPr>
        <a:xfrm>
          <a:off x="12703967" y="1154906"/>
          <a:ext cx="4000502"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This protocol documents the energy savings attributed to FHPCs applied to a single-compressor refrigeration system in commercial applications. The baseline case is a refrigeration system without FHPC whereas the efficient case is a refrigeration system with FHPC.</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345281</xdr:colOff>
      <xdr:row>4</xdr:row>
      <xdr:rowOff>35719</xdr:rowOff>
    </xdr:from>
    <xdr:to>
      <xdr:col>22</xdr:col>
      <xdr:colOff>309561</xdr:colOff>
      <xdr:row>13</xdr:row>
      <xdr:rowOff>130969</xdr:rowOff>
    </xdr:to>
    <xdr:sp macro="" textlink="">
      <xdr:nvSpPr>
        <xdr:cNvPr id="2" name="TextBox 1">
          <a:extLst>
            <a:ext uri="{FF2B5EF4-FFF2-40B4-BE49-F238E27FC236}">
              <a16:creationId xmlns:a16="http://schemas.microsoft.com/office/drawing/2014/main" id="{381AEE07-CFB3-4100-8573-EA55CD37C734}"/>
            </a:ext>
          </a:extLst>
        </xdr:cNvPr>
        <xdr:cNvSpPr txBox="1"/>
      </xdr:nvSpPr>
      <xdr:spPr>
        <a:xfrm>
          <a:off x="14239875" y="1131094"/>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u="none">
              <a:solidFill>
                <a:srgbClr val="001489"/>
              </a:solidFill>
            </a:rPr>
            <a:t>This measure is targeted for the installation of evaporator fan controls in walk-in coolers and freezers with no pre-exisitng controls.</a:t>
          </a:r>
        </a:p>
        <a:p>
          <a:endParaRPr lang="en-US" sz="1100" u="none">
            <a:solidFill>
              <a:srgbClr val="001489"/>
            </a:solidFill>
          </a:endParaRPr>
        </a:p>
        <a:p>
          <a:r>
            <a:rPr lang="en-US" sz="1100" u="sng">
              <a:solidFill>
                <a:srgbClr val="001489"/>
              </a:solidFill>
            </a:rPr>
            <a:t>The motor hp needs to be entered as fraction or decimal up to 2 significant figures</a:t>
          </a:r>
          <a:r>
            <a:rPr lang="en-US" sz="1100" u="none">
              <a:solidFill>
                <a:srgbClr val="001489"/>
              </a:solidFill>
            </a:rPr>
            <a:t>. (ex.  "1/20"; "0.05").For a fraction to be displayed as a fraction add a '0' space fraction .(ex."0 1/20').</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452437</xdr:colOff>
      <xdr:row>4</xdr:row>
      <xdr:rowOff>71437</xdr:rowOff>
    </xdr:from>
    <xdr:to>
      <xdr:col>23</xdr:col>
      <xdr:colOff>416717</xdr:colOff>
      <xdr:row>13</xdr:row>
      <xdr:rowOff>166687</xdr:rowOff>
    </xdr:to>
    <xdr:sp macro="" textlink="">
      <xdr:nvSpPr>
        <xdr:cNvPr id="2" name="TextBox 1">
          <a:extLst>
            <a:ext uri="{FF2B5EF4-FFF2-40B4-BE49-F238E27FC236}">
              <a16:creationId xmlns:a16="http://schemas.microsoft.com/office/drawing/2014/main" id="{B5FCAA0A-DD6F-40BF-B22B-51B9D467A5FC}"/>
            </a:ext>
          </a:extLst>
        </xdr:cNvPr>
        <xdr:cNvSpPr txBox="1"/>
      </xdr:nvSpPr>
      <xdr:spPr>
        <a:xfrm>
          <a:off x="12346781" y="1416843"/>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protocol documents the energy savings attributed to strip curtains applied on walk-in cooler and freezer doors in commercial applications.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404812</xdr:colOff>
      <xdr:row>4</xdr:row>
      <xdr:rowOff>71438</xdr:rowOff>
    </xdr:from>
    <xdr:to>
      <xdr:col>25</xdr:col>
      <xdr:colOff>369092</xdr:colOff>
      <xdr:row>13</xdr:row>
      <xdr:rowOff>166688</xdr:rowOff>
    </xdr:to>
    <xdr:sp macro="" textlink="">
      <xdr:nvSpPr>
        <xdr:cNvPr id="2" name="TextBox 1">
          <a:extLst>
            <a:ext uri="{FF2B5EF4-FFF2-40B4-BE49-F238E27FC236}">
              <a16:creationId xmlns:a16="http://schemas.microsoft.com/office/drawing/2014/main" id="{6B737E15-9140-402E-938D-AD4AC9EF5BE7}"/>
            </a:ext>
          </a:extLst>
        </xdr:cNvPr>
        <xdr:cNvSpPr txBox="1"/>
      </xdr:nvSpPr>
      <xdr:spPr>
        <a:xfrm>
          <a:off x="11739562" y="1166813"/>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This measure, VSD control for refrigeration systems and its eligibility targets applies to retrofit construction in the commercial and industrial building sectors; it is most applicable to grocery stores or food processing applications with refrigeration systems. This protocol is for a VSD control system replacing a slide valve control system.</a:t>
          </a:r>
          <a:endParaRPr 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17</xdr:col>
      <xdr:colOff>428625</xdr:colOff>
      <xdr:row>4</xdr:row>
      <xdr:rowOff>35719</xdr:rowOff>
    </xdr:from>
    <xdr:to>
      <xdr:col>22</xdr:col>
      <xdr:colOff>392905</xdr:colOff>
      <xdr:row>13</xdr:row>
      <xdr:rowOff>130969</xdr:rowOff>
    </xdr:to>
    <xdr:sp macro="" textlink="">
      <xdr:nvSpPr>
        <xdr:cNvPr id="2" name="TextBox 1">
          <a:extLst>
            <a:ext uri="{FF2B5EF4-FFF2-40B4-BE49-F238E27FC236}">
              <a16:creationId xmlns:a16="http://schemas.microsoft.com/office/drawing/2014/main" id="{5DE57A13-CE89-42D8-A93F-319AF45CE516}"/>
            </a:ext>
          </a:extLst>
        </xdr:cNvPr>
        <xdr:cNvSpPr txBox="1"/>
      </xdr:nvSpPr>
      <xdr:spPr>
        <a:xfrm>
          <a:off x="11560969" y="1131094"/>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measure is targeted to non-residential customers whose equipment uses electric defrost controls on small commercial walk-in freezer systems.</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23</xdr:col>
      <xdr:colOff>452437</xdr:colOff>
      <xdr:row>4</xdr:row>
      <xdr:rowOff>107156</xdr:rowOff>
    </xdr:from>
    <xdr:to>
      <xdr:col>28</xdr:col>
      <xdr:colOff>416717</xdr:colOff>
      <xdr:row>13</xdr:row>
      <xdr:rowOff>202406</xdr:rowOff>
    </xdr:to>
    <xdr:sp macro="" textlink="">
      <xdr:nvSpPr>
        <xdr:cNvPr id="2" name="TextBox 1">
          <a:extLst>
            <a:ext uri="{FF2B5EF4-FFF2-40B4-BE49-F238E27FC236}">
              <a16:creationId xmlns:a16="http://schemas.microsoft.com/office/drawing/2014/main" id="{5B407BF4-0FE5-46E4-A154-3552E1B485AE}"/>
            </a:ext>
          </a:extLst>
        </xdr:cNvPr>
        <xdr:cNvSpPr txBox="1"/>
      </xdr:nvSpPr>
      <xdr:spPr>
        <a:xfrm>
          <a:off x="13799343" y="1202531"/>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This measure documents the energy savings associated with the installation of night covers on existing open-type refrigerated display cases, where covers are deployed during the facility’s unoccupied hours in order to reduce refrigeration energy consumption.</a:t>
          </a:r>
          <a:endParaRPr 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17</xdr:col>
      <xdr:colOff>404812</xdr:colOff>
      <xdr:row>4</xdr:row>
      <xdr:rowOff>1</xdr:rowOff>
    </xdr:from>
    <xdr:to>
      <xdr:col>22</xdr:col>
      <xdr:colOff>369092</xdr:colOff>
      <xdr:row>13</xdr:row>
      <xdr:rowOff>95251</xdr:rowOff>
    </xdr:to>
    <xdr:sp macro="" textlink="">
      <xdr:nvSpPr>
        <xdr:cNvPr id="2" name="TextBox 1">
          <a:extLst>
            <a:ext uri="{FF2B5EF4-FFF2-40B4-BE49-F238E27FC236}">
              <a16:creationId xmlns:a16="http://schemas.microsoft.com/office/drawing/2014/main" id="{A21E1A44-F263-406C-A432-C1808EAA18D2}"/>
            </a:ext>
          </a:extLst>
        </xdr:cNvPr>
        <xdr:cNvSpPr txBox="1"/>
      </xdr:nvSpPr>
      <xdr:spPr>
        <a:xfrm>
          <a:off x="11537156" y="1095376"/>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protocol documents the energy savings attributed to installation of auto closers in walk-in coolers and freezers. The auto-closer must be able to firmly close the door when it is within one inch of full closure. </a:t>
          </a:r>
          <a:r>
            <a:rPr lang="en-US" sz="1100" u="sng">
              <a:solidFill>
                <a:srgbClr val="001489"/>
              </a:solidFill>
            </a:rPr>
            <a:t>The walk-in door perimeter must be ≥ 16 ft.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14</xdr:col>
      <xdr:colOff>416718</xdr:colOff>
      <xdr:row>4</xdr:row>
      <xdr:rowOff>71437</xdr:rowOff>
    </xdr:from>
    <xdr:to>
      <xdr:col>20</xdr:col>
      <xdr:colOff>392905</xdr:colOff>
      <xdr:row>13</xdr:row>
      <xdr:rowOff>166687</xdr:rowOff>
    </xdr:to>
    <xdr:sp macro="" textlink="">
      <xdr:nvSpPr>
        <xdr:cNvPr id="2" name="TextBox 1">
          <a:extLst>
            <a:ext uri="{FF2B5EF4-FFF2-40B4-BE49-F238E27FC236}">
              <a16:creationId xmlns:a16="http://schemas.microsoft.com/office/drawing/2014/main" id="{64966004-6A5D-4585-8DAE-C5FA4E051FA4}"/>
            </a:ext>
          </a:extLst>
        </xdr:cNvPr>
        <xdr:cNvSpPr txBox="1"/>
      </xdr:nvSpPr>
      <xdr:spPr>
        <a:xfrm>
          <a:off x="11406187" y="1166812"/>
          <a:ext cx="3976687"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The eligible equipment is a new case with no sweat doors that meets federal standard requirements. If a lighting retrofit is included with the new case, it must consume the </a:t>
          </a:r>
          <a:r>
            <a:rPr lang="en-US" sz="1100" u="sng">
              <a:solidFill>
                <a:srgbClr val="054B56"/>
              </a:solidFill>
            </a:rPr>
            <a:t>same amount of energy or less than the old lighting.</a:t>
          </a:r>
          <a:endParaRPr lang="en-US" sz="1100" u="sng"/>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25</xdr:col>
      <xdr:colOff>297656</xdr:colOff>
      <xdr:row>4</xdr:row>
      <xdr:rowOff>47625</xdr:rowOff>
    </xdr:from>
    <xdr:to>
      <xdr:col>31</xdr:col>
      <xdr:colOff>202406</xdr:colOff>
      <xdr:row>13</xdr:row>
      <xdr:rowOff>166688</xdr:rowOff>
    </xdr:to>
    <xdr:sp macro="" textlink="">
      <xdr:nvSpPr>
        <xdr:cNvPr id="2" name="TextBox 1">
          <a:extLst>
            <a:ext uri="{FF2B5EF4-FFF2-40B4-BE49-F238E27FC236}">
              <a16:creationId xmlns:a16="http://schemas.microsoft.com/office/drawing/2014/main" id="{910E97C1-296B-43CD-9E29-0E62D67D5473}"/>
            </a:ext>
          </a:extLst>
        </xdr:cNvPr>
        <xdr:cNvSpPr txBox="1"/>
      </xdr:nvSpPr>
      <xdr:spPr>
        <a:xfrm>
          <a:off x="28080176" y="1144905"/>
          <a:ext cx="3882390" cy="2587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measure considers adding doors to existing vertical open display cases. The baseline equipment is an existing vertical display case of medium temperature with no doors. The display cases should be medium temperature (typically for dairy, meats, or beverages) as opposed to low temperature (typically for frozen food and ice cream).</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26894</xdr:colOff>
      <xdr:row>11</xdr:row>
      <xdr:rowOff>71718</xdr:rowOff>
    </xdr:from>
    <xdr:to>
      <xdr:col>6</xdr:col>
      <xdr:colOff>354900</xdr:colOff>
      <xdr:row>39</xdr:row>
      <xdr:rowOff>4913</xdr:rowOff>
    </xdr:to>
    <xdr:pic>
      <xdr:nvPicPr>
        <xdr:cNvPr id="2" name="Picture 1">
          <a:extLst>
            <a:ext uri="{FF2B5EF4-FFF2-40B4-BE49-F238E27FC236}">
              <a16:creationId xmlns:a16="http://schemas.microsoft.com/office/drawing/2014/main" id="{E3ED9744-D8F1-4B0B-8E36-CF151B79F0C4}"/>
            </a:ext>
          </a:extLst>
        </xdr:cNvPr>
        <xdr:cNvPicPr>
          <a:picLocks noChangeAspect="1"/>
        </xdr:cNvPicPr>
      </xdr:nvPicPr>
      <xdr:blipFill>
        <a:blip xmlns:r="http://schemas.openxmlformats.org/officeDocument/2006/relationships" r:embed="rId1"/>
        <a:stretch>
          <a:fillRect/>
        </a:stretch>
      </xdr:blipFill>
      <xdr:spPr>
        <a:xfrm>
          <a:off x="26894" y="2110068"/>
          <a:ext cx="3985606" cy="5000495"/>
        </a:xfrm>
        <a:prstGeom prst="rect">
          <a:avLst/>
        </a:prstGeom>
      </xdr:spPr>
    </xdr:pic>
    <xdr:clientData/>
  </xdr:twoCellAnchor>
  <xdr:twoCellAnchor editAs="oneCell">
    <xdr:from>
      <xdr:col>10</xdr:col>
      <xdr:colOff>143435</xdr:colOff>
      <xdr:row>6</xdr:row>
      <xdr:rowOff>134470</xdr:rowOff>
    </xdr:from>
    <xdr:to>
      <xdr:col>16</xdr:col>
      <xdr:colOff>463820</xdr:colOff>
      <xdr:row>10</xdr:row>
      <xdr:rowOff>118394</xdr:rowOff>
    </xdr:to>
    <xdr:pic>
      <xdr:nvPicPr>
        <xdr:cNvPr id="3" name="Picture 2">
          <a:extLst>
            <a:ext uri="{FF2B5EF4-FFF2-40B4-BE49-F238E27FC236}">
              <a16:creationId xmlns:a16="http://schemas.microsoft.com/office/drawing/2014/main" id="{5841B205-4398-45EC-B719-37422A94DDBD}"/>
            </a:ext>
          </a:extLst>
        </xdr:cNvPr>
        <xdr:cNvPicPr>
          <a:picLocks noChangeAspect="1"/>
        </xdr:cNvPicPr>
      </xdr:nvPicPr>
      <xdr:blipFill>
        <a:blip xmlns:r="http://schemas.openxmlformats.org/officeDocument/2006/relationships" r:embed="rId2"/>
        <a:stretch>
          <a:fillRect/>
        </a:stretch>
      </xdr:blipFill>
      <xdr:spPr>
        <a:xfrm>
          <a:off x="5706035" y="1267945"/>
          <a:ext cx="3977985" cy="707824"/>
        </a:xfrm>
        <a:prstGeom prst="rect">
          <a:avLst/>
        </a:prstGeom>
      </xdr:spPr>
    </xdr:pic>
    <xdr:clientData/>
  </xdr:twoCellAnchor>
  <xdr:twoCellAnchor editAs="oneCell">
    <xdr:from>
      <xdr:col>10</xdr:col>
      <xdr:colOff>80683</xdr:colOff>
      <xdr:row>10</xdr:row>
      <xdr:rowOff>161364</xdr:rowOff>
    </xdr:from>
    <xdr:to>
      <xdr:col>16</xdr:col>
      <xdr:colOff>462033</xdr:colOff>
      <xdr:row>24</xdr:row>
      <xdr:rowOff>66996</xdr:rowOff>
    </xdr:to>
    <xdr:pic>
      <xdr:nvPicPr>
        <xdr:cNvPr id="4" name="Picture 3">
          <a:extLst>
            <a:ext uri="{FF2B5EF4-FFF2-40B4-BE49-F238E27FC236}">
              <a16:creationId xmlns:a16="http://schemas.microsoft.com/office/drawing/2014/main" id="{FF8ABE10-2167-4E9C-AB05-190AA846B40F}"/>
            </a:ext>
          </a:extLst>
        </xdr:cNvPr>
        <xdr:cNvPicPr>
          <a:picLocks noChangeAspect="1"/>
        </xdr:cNvPicPr>
      </xdr:nvPicPr>
      <xdr:blipFill>
        <a:blip xmlns:r="http://schemas.openxmlformats.org/officeDocument/2006/relationships" r:embed="rId3"/>
        <a:stretch>
          <a:fillRect/>
        </a:stretch>
      </xdr:blipFill>
      <xdr:spPr>
        <a:xfrm>
          <a:off x="5643283" y="2018739"/>
          <a:ext cx="4038950" cy="2439282"/>
        </a:xfrm>
        <a:prstGeom prst="rect">
          <a:avLst/>
        </a:prstGeom>
      </xdr:spPr>
    </xdr:pic>
    <xdr:clientData/>
  </xdr:twoCellAnchor>
  <xdr:twoCellAnchor editAs="oneCell">
    <xdr:from>
      <xdr:col>20</xdr:col>
      <xdr:colOff>224118</xdr:colOff>
      <xdr:row>13</xdr:row>
      <xdr:rowOff>152399</xdr:rowOff>
    </xdr:from>
    <xdr:to>
      <xdr:col>27</xdr:col>
      <xdr:colOff>11110</xdr:colOff>
      <xdr:row>19</xdr:row>
      <xdr:rowOff>90182</xdr:rowOff>
    </xdr:to>
    <xdr:pic>
      <xdr:nvPicPr>
        <xdr:cNvPr id="5" name="Picture 4">
          <a:extLst>
            <a:ext uri="{FF2B5EF4-FFF2-40B4-BE49-F238E27FC236}">
              <a16:creationId xmlns:a16="http://schemas.microsoft.com/office/drawing/2014/main" id="{55C4F3B5-BEF7-40A5-8C66-E18BAA177B59}"/>
            </a:ext>
          </a:extLst>
        </xdr:cNvPr>
        <xdr:cNvPicPr>
          <a:picLocks noChangeAspect="1"/>
        </xdr:cNvPicPr>
      </xdr:nvPicPr>
      <xdr:blipFill>
        <a:blip xmlns:r="http://schemas.openxmlformats.org/officeDocument/2006/relationships" r:embed="rId4"/>
        <a:stretch>
          <a:fillRect/>
        </a:stretch>
      </xdr:blipFill>
      <xdr:spPr>
        <a:xfrm>
          <a:off x="11349318" y="2552699"/>
          <a:ext cx="4054192" cy="1023633"/>
        </a:xfrm>
        <a:prstGeom prst="rect">
          <a:avLst/>
        </a:prstGeom>
      </xdr:spPr>
    </xdr:pic>
    <xdr:clientData/>
  </xdr:twoCellAnchor>
  <xdr:twoCellAnchor>
    <xdr:from>
      <xdr:col>30</xdr:col>
      <xdr:colOff>286871</xdr:colOff>
      <xdr:row>6</xdr:row>
      <xdr:rowOff>98610</xdr:rowOff>
    </xdr:from>
    <xdr:to>
      <xdr:col>37</xdr:col>
      <xdr:colOff>96725</xdr:colOff>
      <xdr:row>26</xdr:row>
      <xdr:rowOff>10427</xdr:rowOff>
    </xdr:to>
    <xdr:grpSp>
      <xdr:nvGrpSpPr>
        <xdr:cNvPr id="6" name="Group 5">
          <a:extLst>
            <a:ext uri="{FF2B5EF4-FFF2-40B4-BE49-F238E27FC236}">
              <a16:creationId xmlns:a16="http://schemas.microsoft.com/office/drawing/2014/main" id="{A7103C0F-8B5C-4617-BE59-2F2778D3BCA0}"/>
            </a:ext>
          </a:extLst>
        </xdr:cNvPr>
        <xdr:cNvGrpSpPr/>
      </xdr:nvGrpSpPr>
      <xdr:grpSpPr>
        <a:xfrm>
          <a:off x="16871577" y="1230404"/>
          <a:ext cx="4045677" cy="3497699"/>
          <a:chOff x="16988118" y="1174375"/>
          <a:chExt cx="4077054" cy="3497699"/>
        </a:xfrm>
      </xdr:grpSpPr>
      <xdr:pic>
        <xdr:nvPicPr>
          <xdr:cNvPr id="7" name="Picture 6">
            <a:extLst>
              <a:ext uri="{FF2B5EF4-FFF2-40B4-BE49-F238E27FC236}">
                <a16:creationId xmlns:a16="http://schemas.microsoft.com/office/drawing/2014/main" id="{3A0FB00B-6748-4F38-A699-349353CBE17D}"/>
              </a:ext>
            </a:extLst>
          </xdr:cNvPr>
          <xdr:cNvPicPr>
            <a:picLocks noChangeAspect="1"/>
          </xdr:cNvPicPr>
        </xdr:nvPicPr>
        <xdr:blipFill>
          <a:blip xmlns:r="http://schemas.openxmlformats.org/officeDocument/2006/relationships" r:embed="rId5"/>
          <a:stretch>
            <a:fillRect/>
          </a:stretch>
        </xdr:blipFill>
        <xdr:spPr>
          <a:xfrm>
            <a:off x="17006047" y="1174375"/>
            <a:ext cx="1646063" cy="762066"/>
          </a:xfrm>
          <a:prstGeom prst="rect">
            <a:avLst/>
          </a:prstGeom>
        </xdr:spPr>
      </xdr:pic>
      <xdr:pic>
        <xdr:nvPicPr>
          <xdr:cNvPr id="8" name="Picture 7">
            <a:extLst>
              <a:ext uri="{FF2B5EF4-FFF2-40B4-BE49-F238E27FC236}">
                <a16:creationId xmlns:a16="http://schemas.microsoft.com/office/drawing/2014/main" id="{02AF29C6-D2C1-463C-9FCC-50684E1941D3}"/>
              </a:ext>
            </a:extLst>
          </xdr:cNvPr>
          <xdr:cNvPicPr>
            <a:picLocks noChangeAspect="1"/>
          </xdr:cNvPicPr>
        </xdr:nvPicPr>
        <xdr:blipFill>
          <a:blip xmlns:r="http://schemas.openxmlformats.org/officeDocument/2006/relationships" r:embed="rId6"/>
          <a:stretch>
            <a:fillRect/>
          </a:stretch>
        </xdr:blipFill>
        <xdr:spPr>
          <a:xfrm>
            <a:off x="16988118" y="3307976"/>
            <a:ext cx="4077054" cy="1364098"/>
          </a:xfrm>
          <a:prstGeom prst="rect">
            <a:avLst/>
          </a:prstGeom>
        </xdr:spPr>
      </xdr:pic>
      <xdr:pic>
        <xdr:nvPicPr>
          <xdr:cNvPr id="9" name="Picture 8">
            <a:extLst>
              <a:ext uri="{FF2B5EF4-FFF2-40B4-BE49-F238E27FC236}">
                <a16:creationId xmlns:a16="http://schemas.microsoft.com/office/drawing/2014/main" id="{8D98CA57-8763-4CC1-B8E9-AC6F2ACF42E3}"/>
              </a:ext>
            </a:extLst>
          </xdr:cNvPr>
          <xdr:cNvPicPr>
            <a:picLocks noChangeAspect="1"/>
          </xdr:cNvPicPr>
        </xdr:nvPicPr>
        <xdr:blipFill>
          <a:blip xmlns:r="http://schemas.openxmlformats.org/officeDocument/2006/relationships" r:embed="rId7"/>
          <a:stretch>
            <a:fillRect/>
          </a:stretch>
        </xdr:blipFill>
        <xdr:spPr>
          <a:xfrm>
            <a:off x="17050871" y="2079812"/>
            <a:ext cx="3977985" cy="1211685"/>
          </a:xfrm>
          <a:prstGeom prst="rect">
            <a:avLst/>
          </a:prstGeom>
        </xdr:spPr>
      </xdr:pic>
    </xdr:grpSp>
    <xdr:clientData/>
  </xdr:twoCellAnchor>
  <xdr:twoCellAnchor>
    <xdr:from>
      <xdr:col>0</xdr:col>
      <xdr:colOff>44824</xdr:colOff>
      <xdr:row>50</xdr:row>
      <xdr:rowOff>116542</xdr:rowOff>
    </xdr:from>
    <xdr:to>
      <xdr:col>6</xdr:col>
      <xdr:colOff>474586</xdr:colOff>
      <xdr:row>83</xdr:row>
      <xdr:rowOff>21102</xdr:rowOff>
    </xdr:to>
    <xdr:grpSp>
      <xdr:nvGrpSpPr>
        <xdr:cNvPr id="10" name="Group 9">
          <a:extLst>
            <a:ext uri="{FF2B5EF4-FFF2-40B4-BE49-F238E27FC236}">
              <a16:creationId xmlns:a16="http://schemas.microsoft.com/office/drawing/2014/main" id="{6FBD9A2A-A20B-466A-8423-25A7CFB948F3}"/>
            </a:ext>
          </a:extLst>
        </xdr:cNvPr>
        <xdr:cNvGrpSpPr/>
      </xdr:nvGrpSpPr>
      <xdr:grpSpPr>
        <a:xfrm>
          <a:off x="44824" y="8991601"/>
          <a:ext cx="4060468" cy="5608354"/>
          <a:chOff x="44824" y="8884024"/>
          <a:chExt cx="4087362" cy="5615078"/>
        </a:xfrm>
      </xdr:grpSpPr>
      <xdr:pic>
        <xdr:nvPicPr>
          <xdr:cNvPr id="11" name="Picture 10">
            <a:extLst>
              <a:ext uri="{FF2B5EF4-FFF2-40B4-BE49-F238E27FC236}">
                <a16:creationId xmlns:a16="http://schemas.microsoft.com/office/drawing/2014/main" id="{7FBA2562-662A-4ACE-AAC7-3C01917D1850}"/>
              </a:ext>
            </a:extLst>
          </xdr:cNvPr>
          <xdr:cNvPicPr>
            <a:picLocks noChangeAspect="1"/>
          </xdr:cNvPicPr>
        </xdr:nvPicPr>
        <xdr:blipFill>
          <a:blip xmlns:r="http://schemas.openxmlformats.org/officeDocument/2006/relationships" r:embed="rId8"/>
          <a:stretch>
            <a:fillRect/>
          </a:stretch>
        </xdr:blipFill>
        <xdr:spPr>
          <a:xfrm>
            <a:off x="44824" y="8884024"/>
            <a:ext cx="3048264" cy="1737511"/>
          </a:xfrm>
          <a:prstGeom prst="rect">
            <a:avLst/>
          </a:prstGeom>
        </xdr:spPr>
      </xdr:pic>
      <xdr:pic>
        <xdr:nvPicPr>
          <xdr:cNvPr id="12" name="Picture 11">
            <a:extLst>
              <a:ext uri="{FF2B5EF4-FFF2-40B4-BE49-F238E27FC236}">
                <a16:creationId xmlns:a16="http://schemas.microsoft.com/office/drawing/2014/main" id="{EF1D9933-CA18-4094-B49C-3973231B9565}"/>
              </a:ext>
            </a:extLst>
          </xdr:cNvPr>
          <xdr:cNvPicPr>
            <a:picLocks noChangeAspect="1"/>
          </xdr:cNvPicPr>
        </xdr:nvPicPr>
        <xdr:blipFill>
          <a:blip xmlns:r="http://schemas.openxmlformats.org/officeDocument/2006/relationships" r:embed="rId9"/>
          <a:stretch>
            <a:fillRect/>
          </a:stretch>
        </xdr:blipFill>
        <xdr:spPr>
          <a:xfrm>
            <a:off x="107578" y="10685930"/>
            <a:ext cx="3993226" cy="3414056"/>
          </a:xfrm>
          <a:prstGeom prst="rect">
            <a:avLst/>
          </a:prstGeom>
        </xdr:spPr>
      </xdr:pic>
      <xdr:pic>
        <xdr:nvPicPr>
          <xdr:cNvPr id="13" name="Picture 12">
            <a:extLst>
              <a:ext uri="{FF2B5EF4-FFF2-40B4-BE49-F238E27FC236}">
                <a16:creationId xmlns:a16="http://schemas.microsoft.com/office/drawing/2014/main" id="{EEB2203E-1DBE-41E8-8BBB-F4E82773C142}"/>
              </a:ext>
            </a:extLst>
          </xdr:cNvPr>
          <xdr:cNvPicPr>
            <a:picLocks noChangeAspect="1"/>
          </xdr:cNvPicPr>
        </xdr:nvPicPr>
        <xdr:blipFill>
          <a:blip xmlns:r="http://schemas.openxmlformats.org/officeDocument/2006/relationships" r:embed="rId10"/>
          <a:stretch>
            <a:fillRect/>
          </a:stretch>
        </xdr:blipFill>
        <xdr:spPr>
          <a:xfrm>
            <a:off x="62753" y="14110448"/>
            <a:ext cx="4069433" cy="388654"/>
          </a:xfrm>
          <a:prstGeom prst="rect">
            <a:avLst/>
          </a:prstGeom>
        </xdr:spPr>
      </xdr:pic>
    </xdr:grpSp>
    <xdr:clientData/>
  </xdr:twoCellAnchor>
  <xdr:twoCellAnchor>
    <xdr:from>
      <xdr:col>10</xdr:col>
      <xdr:colOff>71717</xdr:colOff>
      <xdr:row>55</xdr:row>
      <xdr:rowOff>170330</xdr:rowOff>
    </xdr:from>
    <xdr:to>
      <xdr:col>16</xdr:col>
      <xdr:colOff>597860</xdr:colOff>
      <xdr:row>73</xdr:row>
      <xdr:rowOff>51165</xdr:rowOff>
    </xdr:to>
    <xdr:grpSp>
      <xdr:nvGrpSpPr>
        <xdr:cNvPr id="14" name="Group 13">
          <a:extLst>
            <a:ext uri="{FF2B5EF4-FFF2-40B4-BE49-F238E27FC236}">
              <a16:creationId xmlns:a16="http://schemas.microsoft.com/office/drawing/2014/main" id="{416EC8A7-3F54-4A29-9923-109365829A29}"/>
            </a:ext>
          </a:extLst>
        </xdr:cNvPr>
        <xdr:cNvGrpSpPr/>
      </xdr:nvGrpSpPr>
      <xdr:grpSpPr>
        <a:xfrm>
          <a:off x="5596217" y="9941859"/>
          <a:ext cx="4156849" cy="2895218"/>
          <a:chOff x="5638799" y="9834283"/>
          <a:chExt cx="4183743" cy="2901941"/>
        </a:xfrm>
      </xdr:grpSpPr>
      <xdr:pic>
        <xdr:nvPicPr>
          <xdr:cNvPr id="15" name="Picture 14">
            <a:extLst>
              <a:ext uri="{FF2B5EF4-FFF2-40B4-BE49-F238E27FC236}">
                <a16:creationId xmlns:a16="http://schemas.microsoft.com/office/drawing/2014/main" id="{67A82A91-D557-4AE8-B6E4-02A9A0EBA6A3}"/>
              </a:ext>
            </a:extLst>
          </xdr:cNvPr>
          <xdr:cNvPicPr>
            <a:picLocks noChangeAspect="1"/>
          </xdr:cNvPicPr>
        </xdr:nvPicPr>
        <xdr:blipFill>
          <a:blip xmlns:r="http://schemas.openxmlformats.org/officeDocument/2006/relationships" r:embed="rId11"/>
          <a:stretch>
            <a:fillRect/>
          </a:stretch>
        </xdr:blipFill>
        <xdr:spPr>
          <a:xfrm>
            <a:off x="5836023" y="9834283"/>
            <a:ext cx="1722269" cy="647756"/>
          </a:xfrm>
          <a:prstGeom prst="rect">
            <a:avLst/>
          </a:prstGeom>
        </xdr:spPr>
      </xdr:pic>
      <xdr:pic>
        <xdr:nvPicPr>
          <xdr:cNvPr id="16" name="Picture 15">
            <a:extLst>
              <a:ext uri="{FF2B5EF4-FFF2-40B4-BE49-F238E27FC236}">
                <a16:creationId xmlns:a16="http://schemas.microsoft.com/office/drawing/2014/main" id="{2FF0237B-C7E2-484F-84A4-6BA2CEFBC438}"/>
              </a:ext>
            </a:extLst>
          </xdr:cNvPr>
          <xdr:cNvPicPr>
            <a:picLocks noChangeAspect="1"/>
          </xdr:cNvPicPr>
        </xdr:nvPicPr>
        <xdr:blipFill>
          <a:blip xmlns:r="http://schemas.openxmlformats.org/officeDocument/2006/relationships" r:embed="rId12"/>
          <a:stretch>
            <a:fillRect/>
          </a:stretch>
        </xdr:blipFill>
        <xdr:spPr>
          <a:xfrm>
            <a:off x="5755342" y="10712825"/>
            <a:ext cx="4046571" cy="1265030"/>
          </a:xfrm>
          <a:prstGeom prst="rect">
            <a:avLst/>
          </a:prstGeom>
        </xdr:spPr>
      </xdr:pic>
      <xdr:pic>
        <xdr:nvPicPr>
          <xdr:cNvPr id="17" name="Picture 16">
            <a:extLst>
              <a:ext uri="{FF2B5EF4-FFF2-40B4-BE49-F238E27FC236}">
                <a16:creationId xmlns:a16="http://schemas.microsoft.com/office/drawing/2014/main" id="{62AB488A-B5BA-4626-80F2-703819E848EA}"/>
              </a:ext>
            </a:extLst>
          </xdr:cNvPr>
          <xdr:cNvPicPr>
            <a:picLocks noChangeAspect="1"/>
          </xdr:cNvPicPr>
        </xdr:nvPicPr>
        <xdr:blipFill>
          <a:blip xmlns:r="http://schemas.openxmlformats.org/officeDocument/2006/relationships" r:embed="rId13"/>
          <a:stretch>
            <a:fillRect/>
          </a:stretch>
        </xdr:blipFill>
        <xdr:spPr>
          <a:xfrm>
            <a:off x="5638799" y="11958917"/>
            <a:ext cx="4183743" cy="777307"/>
          </a:xfrm>
          <a:prstGeom prst="rect">
            <a:avLst/>
          </a:prstGeom>
        </xdr:spPr>
      </xdr:pic>
    </xdr:grpSp>
    <xdr:clientData/>
  </xdr:twoCellAnchor>
  <xdr:twoCellAnchor>
    <xdr:from>
      <xdr:col>20</xdr:col>
      <xdr:colOff>215153</xdr:colOff>
      <xdr:row>51</xdr:row>
      <xdr:rowOff>17930</xdr:rowOff>
    </xdr:from>
    <xdr:to>
      <xdr:col>26</xdr:col>
      <xdr:colOff>550779</xdr:colOff>
      <xdr:row>61</xdr:row>
      <xdr:rowOff>111258</xdr:rowOff>
    </xdr:to>
    <xdr:grpSp>
      <xdr:nvGrpSpPr>
        <xdr:cNvPr id="18" name="Group 17">
          <a:extLst>
            <a:ext uri="{FF2B5EF4-FFF2-40B4-BE49-F238E27FC236}">
              <a16:creationId xmlns:a16="http://schemas.microsoft.com/office/drawing/2014/main" id="{9EC2DD10-E4CF-41F3-85B0-22032A2A21C6}"/>
            </a:ext>
          </a:extLst>
        </xdr:cNvPr>
        <xdr:cNvGrpSpPr/>
      </xdr:nvGrpSpPr>
      <xdr:grpSpPr>
        <a:xfrm>
          <a:off x="11264153" y="9072283"/>
          <a:ext cx="3966332" cy="1886269"/>
          <a:chOff x="11349318" y="9672918"/>
          <a:chExt cx="3993226" cy="1886270"/>
        </a:xfrm>
      </xdr:grpSpPr>
      <xdr:pic>
        <xdr:nvPicPr>
          <xdr:cNvPr id="19" name="Picture 18">
            <a:extLst>
              <a:ext uri="{FF2B5EF4-FFF2-40B4-BE49-F238E27FC236}">
                <a16:creationId xmlns:a16="http://schemas.microsoft.com/office/drawing/2014/main" id="{BEFDA3EF-AA48-456A-8F99-69303F8C6661}"/>
              </a:ext>
            </a:extLst>
          </xdr:cNvPr>
          <xdr:cNvPicPr>
            <a:picLocks noChangeAspect="1"/>
          </xdr:cNvPicPr>
        </xdr:nvPicPr>
        <xdr:blipFill>
          <a:blip xmlns:r="http://schemas.openxmlformats.org/officeDocument/2006/relationships" r:embed="rId14"/>
          <a:stretch>
            <a:fillRect/>
          </a:stretch>
        </xdr:blipFill>
        <xdr:spPr>
          <a:xfrm>
            <a:off x="11421036" y="9672918"/>
            <a:ext cx="2400508" cy="472481"/>
          </a:xfrm>
          <a:prstGeom prst="rect">
            <a:avLst/>
          </a:prstGeom>
        </xdr:spPr>
      </xdr:pic>
      <xdr:pic>
        <xdr:nvPicPr>
          <xdr:cNvPr id="20" name="Picture 19">
            <a:extLst>
              <a:ext uri="{FF2B5EF4-FFF2-40B4-BE49-F238E27FC236}">
                <a16:creationId xmlns:a16="http://schemas.microsoft.com/office/drawing/2014/main" id="{C9623C9A-6EA9-41DE-992D-63A3DE3E3AAF}"/>
              </a:ext>
            </a:extLst>
          </xdr:cNvPr>
          <xdr:cNvPicPr>
            <a:picLocks noChangeAspect="1"/>
          </xdr:cNvPicPr>
        </xdr:nvPicPr>
        <xdr:blipFill>
          <a:blip xmlns:r="http://schemas.openxmlformats.org/officeDocument/2006/relationships" r:embed="rId15"/>
          <a:stretch>
            <a:fillRect/>
          </a:stretch>
        </xdr:blipFill>
        <xdr:spPr>
          <a:xfrm>
            <a:off x="11349318" y="10461813"/>
            <a:ext cx="3993226" cy="1097375"/>
          </a:xfrm>
          <a:prstGeom prst="rect">
            <a:avLst/>
          </a:prstGeom>
        </xdr:spPr>
      </xdr:pic>
    </xdr:grpSp>
    <xdr:clientData/>
  </xdr:twoCellAnchor>
  <xdr:twoCellAnchor>
    <xdr:from>
      <xdr:col>30</xdr:col>
      <xdr:colOff>286871</xdr:colOff>
      <xdr:row>51</xdr:row>
      <xdr:rowOff>134472</xdr:rowOff>
    </xdr:from>
    <xdr:to>
      <xdr:col>37</xdr:col>
      <xdr:colOff>108378</xdr:colOff>
      <xdr:row>61</xdr:row>
      <xdr:rowOff>171335</xdr:rowOff>
    </xdr:to>
    <xdr:grpSp>
      <xdr:nvGrpSpPr>
        <xdr:cNvPr id="21" name="Group 20">
          <a:extLst>
            <a:ext uri="{FF2B5EF4-FFF2-40B4-BE49-F238E27FC236}">
              <a16:creationId xmlns:a16="http://schemas.microsoft.com/office/drawing/2014/main" id="{4F99629A-ABE0-42A1-BC0F-05AFCF11A350}"/>
            </a:ext>
          </a:extLst>
        </xdr:cNvPr>
        <xdr:cNvGrpSpPr/>
      </xdr:nvGrpSpPr>
      <xdr:grpSpPr>
        <a:xfrm>
          <a:off x="16871577" y="9188825"/>
          <a:ext cx="4057330" cy="1829804"/>
          <a:chOff x="17122588" y="9601201"/>
          <a:chExt cx="4088707" cy="1829805"/>
        </a:xfrm>
      </xdr:grpSpPr>
      <xdr:pic>
        <xdr:nvPicPr>
          <xdr:cNvPr id="22" name="Picture 21">
            <a:extLst>
              <a:ext uri="{FF2B5EF4-FFF2-40B4-BE49-F238E27FC236}">
                <a16:creationId xmlns:a16="http://schemas.microsoft.com/office/drawing/2014/main" id="{A5DCA75E-208D-4423-B446-3CC6277FD321}"/>
              </a:ext>
            </a:extLst>
          </xdr:cNvPr>
          <xdr:cNvPicPr>
            <a:picLocks noChangeAspect="1"/>
          </xdr:cNvPicPr>
        </xdr:nvPicPr>
        <xdr:blipFill>
          <a:blip xmlns:r="http://schemas.openxmlformats.org/officeDocument/2006/relationships" r:embed="rId16"/>
          <a:stretch>
            <a:fillRect/>
          </a:stretch>
        </xdr:blipFill>
        <xdr:spPr>
          <a:xfrm>
            <a:off x="17122588" y="9601201"/>
            <a:ext cx="2370026" cy="441998"/>
          </a:xfrm>
          <a:prstGeom prst="rect">
            <a:avLst/>
          </a:prstGeom>
        </xdr:spPr>
      </xdr:pic>
      <xdr:pic>
        <xdr:nvPicPr>
          <xdr:cNvPr id="23" name="Picture 22">
            <a:extLst>
              <a:ext uri="{FF2B5EF4-FFF2-40B4-BE49-F238E27FC236}">
                <a16:creationId xmlns:a16="http://schemas.microsoft.com/office/drawing/2014/main" id="{85BE13EF-C9CB-47C3-A59C-29DDE102C4DF}"/>
              </a:ext>
            </a:extLst>
          </xdr:cNvPr>
          <xdr:cNvPicPr>
            <a:picLocks noChangeAspect="1"/>
          </xdr:cNvPicPr>
        </xdr:nvPicPr>
        <xdr:blipFill>
          <a:blip xmlns:r="http://schemas.openxmlformats.org/officeDocument/2006/relationships" r:embed="rId17"/>
          <a:stretch>
            <a:fillRect/>
          </a:stretch>
        </xdr:blipFill>
        <xdr:spPr>
          <a:xfrm>
            <a:off x="17149483" y="10165976"/>
            <a:ext cx="4061812" cy="1265030"/>
          </a:xfrm>
          <a:prstGeom prst="rect">
            <a:avLst/>
          </a:prstGeom>
        </xdr:spPr>
      </xdr:pic>
    </xdr:grpSp>
    <xdr:clientData/>
  </xdr:twoCellAnchor>
</xdr:wsDr>
</file>

<file path=xl/drawings/drawing20.xml><?xml version="1.0" encoding="utf-8"?>
<xdr:wsDr xmlns:xdr="http://schemas.openxmlformats.org/drawingml/2006/spreadsheetDrawing" xmlns:a="http://schemas.openxmlformats.org/drawingml/2006/main">
  <xdr:twoCellAnchor>
    <xdr:from>
      <xdr:col>29</xdr:col>
      <xdr:colOff>297656</xdr:colOff>
      <xdr:row>4</xdr:row>
      <xdr:rowOff>47625</xdr:rowOff>
    </xdr:from>
    <xdr:to>
      <xdr:col>35</xdr:col>
      <xdr:colOff>202406</xdr:colOff>
      <xdr:row>13</xdr:row>
      <xdr:rowOff>166688</xdr:rowOff>
    </xdr:to>
    <xdr:sp macro="" textlink="">
      <xdr:nvSpPr>
        <xdr:cNvPr id="2" name="TextBox 1">
          <a:extLst>
            <a:ext uri="{FF2B5EF4-FFF2-40B4-BE49-F238E27FC236}">
              <a16:creationId xmlns:a16="http://schemas.microsoft.com/office/drawing/2014/main" id="{DBF222F3-15DB-4378-86EB-11D90F0639C3}"/>
            </a:ext>
          </a:extLst>
        </xdr:cNvPr>
        <xdr:cNvSpPr txBox="1"/>
      </xdr:nvSpPr>
      <xdr:spPr>
        <a:xfrm>
          <a:off x="13477875" y="1143000"/>
          <a:ext cx="390525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measure considers adding doors to existing vertical open display cases. The baseline equipment is an existing vertical display case of medium temperature with no doors. The display cases should be medium temperature (typically for dairy, meats, or beverages) as opposed to low temperature (typically for frozen food and ice cream).</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404813</xdr:colOff>
      <xdr:row>4</xdr:row>
      <xdr:rowOff>83344</xdr:rowOff>
    </xdr:from>
    <xdr:to>
      <xdr:col>18</xdr:col>
      <xdr:colOff>369093</xdr:colOff>
      <xdr:row>13</xdr:row>
      <xdr:rowOff>178594</xdr:rowOff>
    </xdr:to>
    <xdr:sp macro="" textlink="">
      <xdr:nvSpPr>
        <xdr:cNvPr id="2" name="TextBox 1">
          <a:extLst>
            <a:ext uri="{FF2B5EF4-FFF2-40B4-BE49-F238E27FC236}">
              <a16:creationId xmlns:a16="http://schemas.microsoft.com/office/drawing/2014/main" id="{ADA5DC09-18D5-496F-AA89-0224ACE1617A}"/>
            </a:ext>
          </a:extLst>
        </xdr:cNvPr>
        <xdr:cNvSpPr txBox="1"/>
      </xdr:nvSpPr>
      <xdr:spPr>
        <a:xfrm>
          <a:off x="13811251" y="1178719"/>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The following protocol for the measurement of energy and demand savings is applicable to commercial refrigeration and applies to the replacement of worn-out gaskets with new better-fitting gaskets. Applicable gaskets include those located on the doors of walk-in and/or reach-in coolers and freezers.</a:t>
          </a:r>
          <a:endParaRPr 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18</xdr:col>
      <xdr:colOff>369094</xdr:colOff>
      <xdr:row>5</xdr:row>
      <xdr:rowOff>-1</xdr:rowOff>
    </xdr:from>
    <xdr:to>
      <xdr:col>23</xdr:col>
      <xdr:colOff>333374</xdr:colOff>
      <xdr:row>13</xdr:row>
      <xdr:rowOff>214312</xdr:rowOff>
    </xdr:to>
    <xdr:sp macro="" textlink="">
      <xdr:nvSpPr>
        <xdr:cNvPr id="2" name="TextBox 1">
          <a:extLst>
            <a:ext uri="{FF2B5EF4-FFF2-40B4-BE49-F238E27FC236}">
              <a16:creationId xmlns:a16="http://schemas.microsoft.com/office/drawing/2014/main" id="{3EFA2AF6-0948-4A99-A281-46880050F88E}"/>
            </a:ext>
          </a:extLst>
        </xdr:cNvPr>
        <xdr:cNvSpPr txBox="1"/>
      </xdr:nvSpPr>
      <xdr:spPr>
        <a:xfrm>
          <a:off x="13858875" y="1214437"/>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For this measure, a no-heat/low-heat clear glass door must be installed on an upright display case. It is limited to door heights of 57 inches or more. Doors must have either heat reflective treated glass, be gas filled, or both. This measure applies to low temperature cases only—those with a case temperature below 0°F. Doors must have 3 or more panes. Total door rail, glass, and frame heater amperage (at 120 volt) cannot exceed 0.39 amps per door for low temperature display cases. Rebate is based on the door width (not including case frame).</a:t>
          </a:r>
          <a:endParaRPr 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17</xdr:col>
      <xdr:colOff>357188</xdr:colOff>
      <xdr:row>4</xdr:row>
      <xdr:rowOff>47625</xdr:rowOff>
    </xdr:from>
    <xdr:to>
      <xdr:col>23</xdr:col>
      <xdr:colOff>95250</xdr:colOff>
      <xdr:row>13</xdr:row>
      <xdr:rowOff>142875</xdr:rowOff>
    </xdr:to>
    <xdr:sp macro="" textlink="">
      <xdr:nvSpPr>
        <xdr:cNvPr id="2" name="TextBox 1">
          <a:extLst>
            <a:ext uri="{FF2B5EF4-FFF2-40B4-BE49-F238E27FC236}">
              <a16:creationId xmlns:a16="http://schemas.microsoft.com/office/drawing/2014/main" id="{3625CE8A-E454-49AD-85D7-12402EC163AF}"/>
            </a:ext>
          </a:extLst>
        </xdr:cNvPr>
        <xdr:cNvSpPr txBox="1"/>
      </xdr:nvSpPr>
      <xdr:spPr>
        <a:xfrm>
          <a:off x="13120688" y="1143000"/>
          <a:ext cx="3738562"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This measure applies to the installation of insulation on existing bare suction lines (the larger diameter lines that run from the evaporator to the compressor) that are located outside of the refrigerated space for walk-in coolers and freezers. Insulation impedes heat transfer from the ambient air to the suction lines, thereby reducing undesirable system superheat.</a:t>
          </a:r>
          <a:endParaRPr 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22</xdr:col>
      <xdr:colOff>416718</xdr:colOff>
      <xdr:row>4</xdr:row>
      <xdr:rowOff>71437</xdr:rowOff>
    </xdr:from>
    <xdr:to>
      <xdr:col>28</xdr:col>
      <xdr:colOff>392905</xdr:colOff>
      <xdr:row>13</xdr:row>
      <xdr:rowOff>166687</xdr:rowOff>
    </xdr:to>
    <xdr:sp macro="" textlink="">
      <xdr:nvSpPr>
        <xdr:cNvPr id="2" name="TextBox 1">
          <a:extLst>
            <a:ext uri="{FF2B5EF4-FFF2-40B4-BE49-F238E27FC236}">
              <a16:creationId xmlns:a16="http://schemas.microsoft.com/office/drawing/2014/main" id="{676F372E-0721-47A7-91B5-652036B22F0B}"/>
            </a:ext>
          </a:extLst>
        </xdr:cNvPr>
        <xdr:cNvSpPr txBox="1"/>
      </xdr:nvSpPr>
      <xdr:spPr>
        <a:xfrm>
          <a:off x="11341893" y="1182687"/>
          <a:ext cx="3916362" cy="2571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The eligible equipment is a new case with no sweat doors that meets federal standard requirements. If a lighting retrofit is included with the new case, it must consume the </a:t>
          </a:r>
          <a:r>
            <a:rPr lang="en-US" sz="1100" u="sng">
              <a:solidFill>
                <a:srgbClr val="054B56"/>
              </a:solidFill>
            </a:rPr>
            <a:t>same amount of energy or less than the old lighting.</a:t>
          </a:r>
          <a:endParaRPr lang="en-US" sz="1100" u="sng"/>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13</xdr:col>
      <xdr:colOff>470648</xdr:colOff>
      <xdr:row>5</xdr:row>
      <xdr:rowOff>11205</xdr:rowOff>
    </xdr:from>
    <xdr:to>
      <xdr:col>18</xdr:col>
      <xdr:colOff>350884</xdr:colOff>
      <xdr:row>14</xdr:row>
      <xdr:rowOff>4902</xdr:rowOff>
    </xdr:to>
    <xdr:sp macro="" textlink="">
      <xdr:nvSpPr>
        <xdr:cNvPr id="2" name="TextBox 1">
          <a:extLst>
            <a:ext uri="{FF2B5EF4-FFF2-40B4-BE49-F238E27FC236}">
              <a16:creationId xmlns:a16="http://schemas.microsoft.com/office/drawing/2014/main" id="{A0F7D792-804D-40D2-9134-CE3DBDDA89B4}"/>
            </a:ext>
          </a:extLst>
        </xdr:cNvPr>
        <xdr:cNvSpPr txBox="1"/>
      </xdr:nvSpPr>
      <xdr:spPr>
        <a:xfrm>
          <a:off x="10365442" y="1187823"/>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This measure involves installing an efficient, close-approach (“Approach” or “TD” refers to the temperature difference between the design condensing temperature and the design ambient outdoor temperature.) air-cooled refrigeration system condenser, which saves energy by reducing condensing temperatures and improving the efficiency of the condenser fan system.</a:t>
          </a:r>
          <a:endParaRPr lang="en-US"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26</xdr:col>
      <xdr:colOff>428625</xdr:colOff>
      <xdr:row>4</xdr:row>
      <xdr:rowOff>154781</xdr:rowOff>
    </xdr:from>
    <xdr:to>
      <xdr:col>31</xdr:col>
      <xdr:colOff>273843</xdr:colOff>
      <xdr:row>13</xdr:row>
      <xdr:rowOff>166688</xdr:rowOff>
    </xdr:to>
    <xdr:sp macro="" textlink="">
      <xdr:nvSpPr>
        <xdr:cNvPr id="2" name="TextBox 1">
          <a:extLst>
            <a:ext uri="{FF2B5EF4-FFF2-40B4-BE49-F238E27FC236}">
              <a16:creationId xmlns:a16="http://schemas.microsoft.com/office/drawing/2014/main" id="{120BD7D8-01EB-4B58-8DCF-8BAFA7516ECB}"/>
            </a:ext>
          </a:extLst>
        </xdr:cNvPr>
        <xdr:cNvSpPr txBox="1"/>
      </xdr:nvSpPr>
      <xdr:spPr>
        <a:xfrm>
          <a:off x="16787813" y="1131094"/>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54B56"/>
              </a:solidFill>
            </a:rPr>
            <a:t>Eligibility:</a:t>
          </a:r>
        </a:p>
        <a:p>
          <a:r>
            <a:rPr lang="en-US" sz="1100">
              <a:solidFill>
                <a:srgbClr val="054B56"/>
              </a:solidFill>
            </a:rPr>
            <a:t>This measure applies to economizers installed on a walk-in refrigeration system. Economizers bring in outside air when weather conditions allow, rather than operating the compressor, thereby saving energy. This measure includes economizers with evaporator fan controls plus a circulation fan and without a circulation fan.</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91440</xdr:colOff>
      <xdr:row>1</xdr:row>
      <xdr:rowOff>0</xdr:rowOff>
    </xdr:from>
    <xdr:to>
      <xdr:col>11</xdr:col>
      <xdr:colOff>633556</xdr:colOff>
      <xdr:row>4</xdr:row>
      <xdr:rowOff>306990</xdr:rowOff>
    </xdr:to>
    <xdr:pic>
      <xdr:nvPicPr>
        <xdr:cNvPr id="2" name="Picture 1">
          <a:extLst>
            <a:ext uri="{FF2B5EF4-FFF2-40B4-BE49-F238E27FC236}">
              <a16:creationId xmlns:a16="http://schemas.microsoft.com/office/drawing/2014/main" id="{0BE619E1-900E-4A6F-80D1-3F2B90CA61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5890" y="190500"/>
          <a:ext cx="2161366" cy="1164240"/>
        </a:xfrm>
        <a:prstGeom prst="rect">
          <a:avLst/>
        </a:prstGeom>
      </xdr:spPr>
    </xdr:pic>
    <xdr:clientData/>
  </xdr:twoCellAnchor>
  <xdr:twoCellAnchor editAs="oneCell">
    <xdr:from>
      <xdr:col>7</xdr:col>
      <xdr:colOff>163829</xdr:colOff>
      <xdr:row>8</xdr:row>
      <xdr:rowOff>60959</xdr:rowOff>
    </xdr:from>
    <xdr:to>
      <xdr:col>7</xdr:col>
      <xdr:colOff>722629</xdr:colOff>
      <xdr:row>10</xdr:row>
      <xdr:rowOff>152399</xdr:rowOff>
    </xdr:to>
    <xdr:pic>
      <xdr:nvPicPr>
        <xdr:cNvPr id="3" name="Picture 2">
          <a:extLst>
            <a:ext uri="{FF2B5EF4-FFF2-40B4-BE49-F238E27FC236}">
              <a16:creationId xmlns:a16="http://schemas.microsoft.com/office/drawing/2014/main" id="{0F8ECA14-C3B0-4988-9210-7A3804C22A99}"/>
            </a:ext>
          </a:extLst>
        </xdr:cNvPr>
        <xdr:cNvPicPr>
          <a:picLocks noChangeAspect="1"/>
        </xdr:cNvPicPr>
      </xdr:nvPicPr>
      <xdr:blipFill>
        <a:blip xmlns:r="http://schemas.openxmlformats.org/officeDocument/2006/relationships" r:embed="rId2"/>
        <a:stretch>
          <a:fillRect/>
        </a:stretch>
      </xdr:blipFill>
      <xdr:spPr>
        <a:xfrm>
          <a:off x="7479029" y="2632709"/>
          <a:ext cx="558800" cy="472440"/>
        </a:xfrm>
        <a:prstGeom prst="rect">
          <a:avLst/>
        </a:prstGeom>
      </xdr:spPr>
    </xdr:pic>
    <xdr:clientData/>
  </xdr:twoCellAnchor>
  <xdr:twoCellAnchor editAs="oneCell">
    <xdr:from>
      <xdr:col>7</xdr:col>
      <xdr:colOff>222165</xdr:colOff>
      <xdr:row>17</xdr:row>
      <xdr:rowOff>15239</xdr:rowOff>
    </xdr:from>
    <xdr:to>
      <xdr:col>7</xdr:col>
      <xdr:colOff>673183</xdr:colOff>
      <xdr:row>19</xdr:row>
      <xdr:rowOff>99059</xdr:rowOff>
    </xdr:to>
    <xdr:pic>
      <xdr:nvPicPr>
        <xdr:cNvPr id="4" name="Picture 3">
          <a:extLst>
            <a:ext uri="{FF2B5EF4-FFF2-40B4-BE49-F238E27FC236}">
              <a16:creationId xmlns:a16="http://schemas.microsoft.com/office/drawing/2014/main" id="{6906A692-59E4-46DF-9FFF-778D96BCFE6B}"/>
            </a:ext>
          </a:extLst>
        </xdr:cNvPr>
        <xdr:cNvPicPr>
          <a:picLocks noChangeAspect="1"/>
        </xdr:cNvPicPr>
      </xdr:nvPicPr>
      <xdr:blipFill>
        <a:blip xmlns:r="http://schemas.openxmlformats.org/officeDocument/2006/relationships" r:embed="rId3"/>
        <a:stretch>
          <a:fillRect/>
        </a:stretch>
      </xdr:blipFill>
      <xdr:spPr>
        <a:xfrm>
          <a:off x="7537365" y="4291964"/>
          <a:ext cx="451018" cy="455295"/>
        </a:xfrm>
        <a:prstGeom prst="rect">
          <a:avLst/>
        </a:prstGeom>
      </xdr:spPr>
    </xdr:pic>
    <xdr:clientData/>
  </xdr:twoCellAnchor>
  <xdr:twoCellAnchor editAs="oneCell">
    <xdr:from>
      <xdr:col>7</xdr:col>
      <xdr:colOff>84454</xdr:colOff>
      <xdr:row>14</xdr:row>
      <xdr:rowOff>30479</xdr:rowOff>
    </xdr:from>
    <xdr:to>
      <xdr:col>7</xdr:col>
      <xdr:colOff>802004</xdr:colOff>
      <xdr:row>16</xdr:row>
      <xdr:rowOff>134619</xdr:rowOff>
    </xdr:to>
    <xdr:pic>
      <xdr:nvPicPr>
        <xdr:cNvPr id="5" name="Picture 4">
          <a:extLst>
            <a:ext uri="{FF2B5EF4-FFF2-40B4-BE49-F238E27FC236}">
              <a16:creationId xmlns:a16="http://schemas.microsoft.com/office/drawing/2014/main" id="{95BBAFB5-37C6-4DC1-87F4-5440E20C77E7}"/>
            </a:ext>
          </a:extLst>
        </xdr:cNvPr>
        <xdr:cNvPicPr>
          <a:picLocks noChangeAspect="1"/>
        </xdr:cNvPicPr>
      </xdr:nvPicPr>
      <xdr:blipFill>
        <a:blip xmlns:r="http://schemas.openxmlformats.org/officeDocument/2006/relationships" r:embed="rId4"/>
        <a:stretch>
          <a:fillRect/>
        </a:stretch>
      </xdr:blipFill>
      <xdr:spPr>
        <a:xfrm>
          <a:off x="7399654" y="3745229"/>
          <a:ext cx="717550" cy="485140"/>
        </a:xfrm>
        <a:prstGeom prst="rect">
          <a:avLst/>
        </a:prstGeom>
      </xdr:spPr>
    </xdr:pic>
    <xdr:clientData/>
  </xdr:twoCellAnchor>
  <xdr:twoCellAnchor editAs="oneCell">
    <xdr:from>
      <xdr:col>7</xdr:col>
      <xdr:colOff>103337</xdr:colOff>
      <xdr:row>11</xdr:row>
      <xdr:rowOff>45719</xdr:rowOff>
    </xdr:from>
    <xdr:to>
      <xdr:col>7</xdr:col>
      <xdr:colOff>785661</xdr:colOff>
      <xdr:row>13</xdr:row>
      <xdr:rowOff>139699</xdr:rowOff>
    </xdr:to>
    <xdr:pic>
      <xdr:nvPicPr>
        <xdr:cNvPr id="6" name="Picture 5">
          <a:extLst>
            <a:ext uri="{FF2B5EF4-FFF2-40B4-BE49-F238E27FC236}">
              <a16:creationId xmlns:a16="http://schemas.microsoft.com/office/drawing/2014/main" id="{B407E79B-22DA-4C54-9DD6-D2C6C178E76D}"/>
            </a:ext>
          </a:extLst>
        </xdr:cNvPr>
        <xdr:cNvPicPr>
          <a:picLocks noChangeAspect="1"/>
        </xdr:cNvPicPr>
      </xdr:nvPicPr>
      <xdr:blipFill>
        <a:blip xmlns:r="http://schemas.openxmlformats.org/officeDocument/2006/relationships" r:embed="rId5"/>
        <a:stretch>
          <a:fillRect/>
        </a:stretch>
      </xdr:blipFill>
      <xdr:spPr>
        <a:xfrm>
          <a:off x="7418537" y="3188969"/>
          <a:ext cx="682324" cy="474980"/>
        </a:xfrm>
        <a:prstGeom prst="rect">
          <a:avLst/>
        </a:prstGeom>
      </xdr:spPr>
    </xdr:pic>
    <xdr:clientData/>
  </xdr:twoCellAnchor>
  <xdr:twoCellAnchor editAs="oneCell">
    <xdr:from>
      <xdr:col>7</xdr:col>
      <xdr:colOff>234223</xdr:colOff>
      <xdr:row>20</xdr:row>
      <xdr:rowOff>0</xdr:rowOff>
    </xdr:from>
    <xdr:to>
      <xdr:col>7</xdr:col>
      <xdr:colOff>672555</xdr:colOff>
      <xdr:row>22</xdr:row>
      <xdr:rowOff>99060</xdr:rowOff>
    </xdr:to>
    <xdr:pic>
      <xdr:nvPicPr>
        <xdr:cNvPr id="7" name="Picture 6">
          <a:extLst>
            <a:ext uri="{FF2B5EF4-FFF2-40B4-BE49-F238E27FC236}">
              <a16:creationId xmlns:a16="http://schemas.microsoft.com/office/drawing/2014/main" id="{9F351391-B743-4812-8CF6-FC448C4F35F9}"/>
            </a:ext>
          </a:extLst>
        </xdr:cNvPr>
        <xdr:cNvPicPr>
          <a:picLocks noChangeAspect="1"/>
        </xdr:cNvPicPr>
      </xdr:nvPicPr>
      <xdr:blipFill>
        <a:blip xmlns:r="http://schemas.openxmlformats.org/officeDocument/2006/relationships" r:embed="rId6"/>
        <a:stretch>
          <a:fillRect/>
        </a:stretch>
      </xdr:blipFill>
      <xdr:spPr>
        <a:xfrm>
          <a:off x="7549423" y="4838700"/>
          <a:ext cx="438332" cy="4610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0</xdr:row>
          <xdr:rowOff>0</xdr:rowOff>
        </xdr:from>
        <xdr:to>
          <xdr:col>1</xdr:col>
          <xdr:colOff>1327150</xdr:colOff>
          <xdr:row>0</xdr:row>
          <xdr:rowOff>781050</xdr:rowOff>
        </xdr:to>
        <xdr:pic>
          <xdr:nvPicPr>
            <xdr:cNvPr id="4097" name="Picture 1">
              <a:extLst>
                <a:ext uri="{FF2B5EF4-FFF2-40B4-BE49-F238E27FC236}">
                  <a16:creationId xmlns:a16="http://schemas.microsoft.com/office/drawing/2014/main" id="{BAA44A63-2B52-7DD5-A5CE-1168A8EDB5FB}"/>
                </a:ext>
              </a:extLst>
            </xdr:cNvPr>
            <xdr:cNvPicPr>
              <a:picLocks noChangeAspect="1" noChangeArrowheads="1"/>
              <a:extLst>
                <a:ext uri="{84589F7E-364E-4C9E-8A38-B11213B215E9}">
                  <a14:cameraTool cellRange="Logo" spid="_x0000_s4158"/>
                </a:ext>
              </a:extLst>
            </xdr:cNvPicPr>
          </xdr:nvPicPr>
          <xdr:blipFill>
            <a:blip xmlns:r="http://schemas.openxmlformats.org/officeDocument/2006/relationships" r:embed="rId1"/>
            <a:srcRect/>
            <a:stretch>
              <a:fillRect/>
            </a:stretch>
          </xdr:blipFill>
          <xdr:spPr bwMode="auto">
            <a:xfrm>
              <a:off x="254000" y="0"/>
              <a:ext cx="1308100" cy="7810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7</xdr:col>
      <xdr:colOff>499683</xdr:colOff>
      <xdr:row>6</xdr:row>
      <xdr:rowOff>87480</xdr:rowOff>
    </xdr:from>
    <xdr:to>
      <xdr:col>11</xdr:col>
      <xdr:colOff>205914</xdr:colOff>
      <xdr:row>14</xdr:row>
      <xdr:rowOff>68655</xdr:rowOff>
    </xdr:to>
    <xdr:pic>
      <xdr:nvPicPr>
        <xdr:cNvPr id="2" name="Picture 1">
          <a:extLst>
            <a:ext uri="{FF2B5EF4-FFF2-40B4-BE49-F238E27FC236}">
              <a16:creationId xmlns:a16="http://schemas.microsoft.com/office/drawing/2014/main" id="{5998890F-7675-44E3-9985-6DE6D970EE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452683" y="1734745"/>
          <a:ext cx="2440466" cy="1426734"/>
        </a:xfrm>
        <a:prstGeom prst="rect">
          <a:avLst/>
        </a:prstGeom>
        <a:ln>
          <a:noFill/>
        </a:ln>
      </xdr:spPr>
    </xdr:pic>
    <xdr:clientData/>
  </xdr:twoCellAnchor>
  <xdr:twoCellAnchor>
    <xdr:from>
      <xdr:col>14</xdr:col>
      <xdr:colOff>331132</xdr:colOff>
      <xdr:row>7</xdr:row>
      <xdr:rowOff>35149</xdr:rowOff>
    </xdr:from>
    <xdr:to>
      <xdr:col>18</xdr:col>
      <xdr:colOff>264272</xdr:colOff>
      <xdr:row>13</xdr:row>
      <xdr:rowOff>155405</xdr:rowOff>
    </xdr:to>
    <xdr:pic>
      <xdr:nvPicPr>
        <xdr:cNvPr id="3" name="PPLReport">
          <a:extLst>
            <a:ext uri="{FF2B5EF4-FFF2-40B4-BE49-F238E27FC236}">
              <a16:creationId xmlns:a16="http://schemas.microsoft.com/office/drawing/2014/main" id="{6A5CB06E-9910-4071-B29E-A4AAE2EE556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60782" y="1800449"/>
          <a:ext cx="2574740" cy="1193406"/>
        </a:xfrm>
        <a:prstGeom prst="rect">
          <a:avLst/>
        </a:prstGeom>
      </xdr:spPr>
    </xdr:pic>
    <xdr:clientData/>
  </xdr:twoCellAnchor>
  <xdr:twoCellAnchor>
    <xdr:from>
      <xdr:col>14</xdr:col>
      <xdr:colOff>189003</xdr:colOff>
      <xdr:row>16</xdr:row>
      <xdr:rowOff>11394</xdr:rowOff>
    </xdr:from>
    <xdr:to>
      <xdr:col>16</xdr:col>
      <xdr:colOff>278092</xdr:colOff>
      <xdr:row>24</xdr:row>
      <xdr:rowOff>128488</xdr:rowOff>
    </xdr:to>
    <xdr:pic>
      <xdr:nvPicPr>
        <xdr:cNvPr id="4" name="PECOReport">
          <a:extLst>
            <a:ext uri="{FF2B5EF4-FFF2-40B4-BE49-F238E27FC236}">
              <a16:creationId xmlns:a16="http://schemas.microsoft.com/office/drawing/2014/main" id="{BA104872-1973-470F-888B-7826BD4C73F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2987" t="9316" r="17047" b="17169"/>
        <a:stretch>
          <a:fillRect/>
        </a:stretch>
      </xdr:blipFill>
      <xdr:spPr>
        <a:xfrm>
          <a:off x="8818653" y="3383244"/>
          <a:ext cx="1409889" cy="1539494"/>
        </a:xfrm>
        <a:prstGeom prst="rect">
          <a:avLst/>
        </a:prstGeom>
        <a:ln>
          <a:noFill/>
        </a:ln>
      </xdr:spPr>
    </xdr:pic>
    <xdr:clientData/>
  </xdr:twoCellAnchor>
  <xdr:twoCellAnchor>
    <xdr:from>
      <xdr:col>7</xdr:col>
      <xdr:colOff>441138</xdr:colOff>
      <xdr:row>15</xdr:row>
      <xdr:rowOff>178727</xdr:rowOff>
    </xdr:from>
    <xdr:to>
      <xdr:col>9</xdr:col>
      <xdr:colOff>517898</xdr:colOff>
      <xdr:row>24</xdr:row>
      <xdr:rowOff>93943</xdr:rowOff>
    </xdr:to>
    <xdr:pic>
      <xdr:nvPicPr>
        <xdr:cNvPr id="5" name="Picture 4">
          <a:extLst>
            <a:ext uri="{FF2B5EF4-FFF2-40B4-BE49-F238E27FC236}">
              <a16:creationId xmlns:a16="http://schemas.microsoft.com/office/drawing/2014/main" id="{47B1A8B2-E559-4EE2-904A-57795C64BBD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2987" t="9316" r="17047" b="17169"/>
        <a:stretch>
          <a:fillRect/>
        </a:stretch>
      </xdr:blipFill>
      <xdr:spPr>
        <a:xfrm>
          <a:off x="5368738" y="3372777"/>
          <a:ext cx="1397560" cy="1515416"/>
        </a:xfrm>
        <a:prstGeom prst="rect">
          <a:avLst/>
        </a:prstGeom>
        <a:ln>
          <a:noFill/>
        </a:ln>
      </xdr:spPr>
    </xdr:pic>
    <xdr:clientData/>
  </xdr:twoCellAnchor>
  <xdr:twoCellAnchor>
    <xdr:from>
      <xdr:col>7</xdr:col>
      <xdr:colOff>14941</xdr:colOff>
      <xdr:row>27</xdr:row>
      <xdr:rowOff>48330</xdr:rowOff>
    </xdr:from>
    <xdr:to>
      <xdr:col>11</xdr:col>
      <xdr:colOff>605118</xdr:colOff>
      <xdr:row>34</xdr:row>
      <xdr:rowOff>9524</xdr:rowOff>
    </xdr:to>
    <xdr:pic>
      <xdr:nvPicPr>
        <xdr:cNvPr id="6" name="Picture 5">
          <a:extLst>
            <a:ext uri="{FF2B5EF4-FFF2-40B4-BE49-F238E27FC236}">
              <a16:creationId xmlns:a16="http://schemas.microsoft.com/office/drawing/2014/main" id="{2AA31DF6-C1B4-435A-9600-74A6FE160DD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7403" r="5327"/>
        <a:stretch>
          <a:fillRect/>
        </a:stretch>
      </xdr:blipFill>
      <xdr:spPr>
        <a:xfrm>
          <a:off x="4942541" y="5375980"/>
          <a:ext cx="3231777" cy="1205794"/>
        </a:xfrm>
        <a:prstGeom prst="rect">
          <a:avLst/>
        </a:prstGeom>
      </xdr:spPr>
    </xdr:pic>
    <xdr:clientData/>
  </xdr:twoCellAnchor>
  <xdr:twoCellAnchor>
    <xdr:from>
      <xdr:col>14</xdr:col>
      <xdr:colOff>59764</xdr:colOff>
      <xdr:row>27</xdr:row>
      <xdr:rowOff>57150</xdr:rowOff>
    </xdr:from>
    <xdr:to>
      <xdr:col>18</xdr:col>
      <xdr:colOff>567764</xdr:colOff>
      <xdr:row>34</xdr:row>
      <xdr:rowOff>18415</xdr:rowOff>
    </xdr:to>
    <xdr:pic>
      <xdr:nvPicPr>
        <xdr:cNvPr id="7" name="Picture 6">
          <a:extLst>
            <a:ext uri="{FF2B5EF4-FFF2-40B4-BE49-F238E27FC236}">
              <a16:creationId xmlns:a16="http://schemas.microsoft.com/office/drawing/2014/main" id="{5CDBA9D3-7A75-41C3-A04B-8AE012C6BE44}"/>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8226" r="8248"/>
        <a:stretch>
          <a:fillRect/>
        </a:stretch>
      </xdr:blipFill>
      <xdr:spPr>
        <a:xfrm>
          <a:off x="8689414" y="5384800"/>
          <a:ext cx="3149600" cy="120586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37355</xdr:colOff>
          <xdr:row>0</xdr:row>
          <xdr:rowOff>59766</xdr:rowOff>
        </xdr:from>
        <xdr:to>
          <xdr:col>1</xdr:col>
          <xdr:colOff>1086971</xdr:colOff>
          <xdr:row>0</xdr:row>
          <xdr:rowOff>569023</xdr:rowOff>
        </xdr:to>
        <xdr:pic>
          <xdr:nvPicPr>
            <xdr:cNvPr id="8" name="Picture 7">
              <a:extLst>
                <a:ext uri="{FF2B5EF4-FFF2-40B4-BE49-F238E27FC236}">
                  <a16:creationId xmlns:a16="http://schemas.microsoft.com/office/drawing/2014/main" id="{ABB4A46A-6BA2-4BDC-B01A-EF97D525BB03}"/>
                </a:ext>
              </a:extLst>
            </xdr:cNvPr>
            <xdr:cNvPicPr>
              <a:picLocks noChangeAspect="1" noChangeArrowheads="1"/>
              <a:extLst>
                <a:ext uri="{84589F7E-364E-4C9E-8A38-B11213B215E9}">
                  <a14:cameraTool cellRange="Logo" spid="_x0000_s87104"/>
                </a:ext>
              </a:extLst>
            </xdr:cNvPicPr>
          </xdr:nvPicPr>
          <xdr:blipFill>
            <a:blip xmlns:r="http://schemas.openxmlformats.org/officeDocument/2006/relationships" r:embed="rId7"/>
            <a:srcRect/>
            <a:stretch>
              <a:fillRect/>
            </a:stretch>
          </xdr:blipFill>
          <xdr:spPr bwMode="auto">
            <a:xfrm>
              <a:off x="295090" y="59766"/>
              <a:ext cx="1049616" cy="509257"/>
            </a:xfrm>
            <a:prstGeom prst="rect">
              <a:avLst/>
            </a:prstGeom>
            <a:noFill/>
            <a:ln w="9525">
              <a:noFill/>
              <a:miter lim="800000"/>
              <a:headEnd/>
              <a:tailEnd/>
            </a:ln>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13</xdr:col>
      <xdr:colOff>1202531</xdr:colOff>
      <xdr:row>120</xdr:row>
      <xdr:rowOff>142875</xdr:rowOff>
    </xdr:from>
    <xdr:to>
      <xdr:col>25</xdr:col>
      <xdr:colOff>393079</xdr:colOff>
      <xdr:row>148</xdr:row>
      <xdr:rowOff>31547</xdr:rowOff>
    </xdr:to>
    <xdr:pic>
      <xdr:nvPicPr>
        <xdr:cNvPr id="2" name="Picture 1">
          <a:extLst>
            <a:ext uri="{FF2B5EF4-FFF2-40B4-BE49-F238E27FC236}">
              <a16:creationId xmlns:a16="http://schemas.microsoft.com/office/drawing/2014/main" id="{95ADBD03-59BE-4940-8DC4-6A23882B0F9F}"/>
            </a:ext>
          </a:extLst>
        </xdr:cNvPr>
        <xdr:cNvPicPr>
          <a:picLocks noChangeAspect="1"/>
        </xdr:cNvPicPr>
      </xdr:nvPicPr>
      <xdr:blipFill>
        <a:blip xmlns:r="http://schemas.openxmlformats.org/officeDocument/2006/relationships" r:embed="rId1"/>
        <a:stretch>
          <a:fillRect/>
        </a:stretch>
      </xdr:blipFill>
      <xdr:spPr>
        <a:xfrm>
          <a:off x="24100631" y="23066375"/>
          <a:ext cx="8874297" cy="501266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31750</xdr:colOff>
      <xdr:row>126</xdr:row>
      <xdr:rowOff>120890</xdr:rowOff>
    </xdr:from>
    <xdr:to>
      <xdr:col>26</xdr:col>
      <xdr:colOff>69651</xdr:colOff>
      <xdr:row>140</xdr:row>
      <xdr:rowOff>136080</xdr:rowOff>
    </xdr:to>
    <xdr:pic>
      <xdr:nvPicPr>
        <xdr:cNvPr id="5" name="Picture 1">
          <a:extLst>
            <a:ext uri="{FF2B5EF4-FFF2-40B4-BE49-F238E27FC236}">
              <a16:creationId xmlns:a16="http://schemas.microsoft.com/office/drawing/2014/main" id="{7F9D7E83-29EB-41BB-A056-9CAE9E567DB6}"/>
            </a:ext>
          </a:extLst>
        </xdr:cNvPr>
        <xdr:cNvPicPr>
          <a:picLocks noChangeAspect="1"/>
        </xdr:cNvPicPr>
      </xdr:nvPicPr>
      <xdr:blipFill>
        <a:blip xmlns:r="http://schemas.openxmlformats.org/officeDocument/2006/relationships" r:embed="rId1"/>
        <a:stretch>
          <a:fillRect/>
        </a:stretch>
      </xdr:blipFill>
      <xdr:spPr>
        <a:xfrm>
          <a:off x="28945417" y="24145057"/>
          <a:ext cx="4629586" cy="2601545"/>
        </a:xfrm>
        <a:prstGeom prst="rect">
          <a:avLst/>
        </a:prstGeom>
      </xdr:spPr>
    </xdr:pic>
    <xdr:clientData/>
  </xdr:twoCellAnchor>
  <xdr:twoCellAnchor editAs="oneCell">
    <xdr:from>
      <xdr:col>7</xdr:col>
      <xdr:colOff>108859</xdr:colOff>
      <xdr:row>239</xdr:row>
      <xdr:rowOff>136071</xdr:rowOff>
    </xdr:from>
    <xdr:to>
      <xdr:col>12</xdr:col>
      <xdr:colOff>244478</xdr:colOff>
      <xdr:row>281</xdr:row>
      <xdr:rowOff>143691</xdr:rowOff>
    </xdr:to>
    <xdr:pic>
      <xdr:nvPicPr>
        <xdr:cNvPr id="3" name="Picture 3">
          <a:extLst>
            <a:ext uri="{FF2B5EF4-FFF2-40B4-BE49-F238E27FC236}">
              <a16:creationId xmlns:a16="http://schemas.microsoft.com/office/drawing/2014/main" id="{AEC10834-70C3-7D78-3787-DC7E4A457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22930" y="46863000"/>
          <a:ext cx="9370968" cy="7629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23</xdr:col>
      <xdr:colOff>380999</xdr:colOff>
      <xdr:row>4</xdr:row>
      <xdr:rowOff>71438</xdr:rowOff>
    </xdr:from>
    <xdr:to>
      <xdr:col>28</xdr:col>
      <xdr:colOff>345279</xdr:colOff>
      <xdr:row>11</xdr:row>
      <xdr:rowOff>333376</xdr:rowOff>
    </xdr:to>
    <xdr:sp macro="" textlink="">
      <xdr:nvSpPr>
        <xdr:cNvPr id="2" name="TextBox 1">
          <a:extLst>
            <a:ext uri="{FF2B5EF4-FFF2-40B4-BE49-F238E27FC236}">
              <a16:creationId xmlns:a16="http://schemas.microsoft.com/office/drawing/2014/main" id="{1D28EFC3-C098-6732-2EDC-034500F97949}"/>
            </a:ext>
          </a:extLst>
        </xdr:cNvPr>
        <xdr:cNvSpPr txBox="1"/>
      </xdr:nvSpPr>
      <xdr:spPr>
        <a:xfrm>
          <a:off x="14930437" y="1166813"/>
          <a:ext cx="3298030" cy="2559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a:solidFill>
                <a:srgbClr val="001489"/>
              </a:solidFill>
            </a:rPr>
            <a:t>This measure is targeted to high efficiency refrigeration and freezer cases that exceed ENERGY STAR efficiency standards. </a:t>
          </a:r>
        </a:p>
        <a:p>
          <a:endParaRPr lang="en-US" sz="1100">
            <a:solidFill>
              <a:srgbClr val="001489"/>
            </a:solidFill>
          </a:endParaRPr>
        </a:p>
        <a:p>
          <a:r>
            <a:rPr lang="en-US" sz="1100">
              <a:solidFill>
                <a:srgbClr val="001489"/>
              </a:solidFill>
            </a:rPr>
            <a:t>This protocol estimates savings for installing high efficiency refrigeration and freezer cases that exceed federal efficiency standards. Eligible refrigerators and freezers are self-contained with vertical-closed transparent or solid doors. The measurement of energy and demand savings is based on algorithms with volume as the key variable.</a:t>
          </a:r>
        </a:p>
        <a:p>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381000</xdr:colOff>
      <xdr:row>4</xdr:row>
      <xdr:rowOff>59531</xdr:rowOff>
    </xdr:from>
    <xdr:to>
      <xdr:col>25</xdr:col>
      <xdr:colOff>1071562</xdr:colOff>
      <xdr:row>16</xdr:row>
      <xdr:rowOff>95250</xdr:rowOff>
    </xdr:to>
    <xdr:sp macro="" textlink="">
      <xdr:nvSpPr>
        <xdr:cNvPr id="2" name="TextBox 1">
          <a:extLst>
            <a:ext uri="{FF2B5EF4-FFF2-40B4-BE49-F238E27FC236}">
              <a16:creationId xmlns:a16="http://schemas.microsoft.com/office/drawing/2014/main" id="{F065FC6E-705E-43D2-BDFA-9080C53D8D30}"/>
            </a:ext>
          </a:extLst>
        </xdr:cNvPr>
        <xdr:cNvSpPr txBox="1"/>
      </xdr:nvSpPr>
      <xdr:spPr>
        <a:xfrm>
          <a:off x="16573500" y="1154906"/>
          <a:ext cx="4691062" cy="3321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1489"/>
              </a:solidFill>
            </a:rPr>
            <a:t>Eligibility:</a:t>
          </a:r>
        </a:p>
        <a:p>
          <a:r>
            <a:rPr lang="en-US" sz="1100" u="none">
              <a:solidFill>
                <a:srgbClr val="001489"/>
              </a:solidFill>
            </a:rPr>
            <a:t>This measure is targeted to the replacement of existing shaded-pole (SP) evaporator fan motors or Permanent Split Capacitor (PSC) motors in walk-in or reach-in refrigerated display cases with an Electronically Commutated motor (ECM) or a Permanent Magnet Synchronous (PMS) motor. </a:t>
          </a:r>
        </a:p>
        <a:p>
          <a:endParaRPr lang="en-US" sz="1100" u="none">
            <a:solidFill>
              <a:srgbClr val="001489"/>
            </a:solidFill>
          </a:endParaRPr>
        </a:p>
        <a:p>
          <a:r>
            <a:rPr lang="en-US" sz="1100" u="none">
              <a:solidFill>
                <a:srgbClr val="001489"/>
              </a:solidFill>
            </a:rPr>
            <a:t>The baseline condition assumes the evaporator fan motor is uncontrolled.</a:t>
          </a:r>
        </a:p>
        <a:p>
          <a:endParaRPr lang="en-US" sz="1100" u="none">
            <a:solidFill>
              <a:srgbClr val="001489"/>
            </a:solidFill>
          </a:endParaRPr>
        </a:p>
        <a:p>
          <a:r>
            <a:rPr lang="en-US" sz="1100" u="sng">
              <a:solidFill>
                <a:srgbClr val="001489"/>
              </a:solidFill>
            </a:rPr>
            <a:t>The baseline and efficient motor horsepower should be entered in the tool as a fraction or decimal hp</a:t>
          </a:r>
          <a:r>
            <a:rPr lang="en-US" sz="1100" u="none">
              <a:solidFill>
                <a:srgbClr val="001489"/>
              </a:solidFill>
            </a:rPr>
            <a:t>. (ex. "=1/20"; "0.05").For a fraction to be displayed as a fraction add a '0' space fraction .(ex."0 1/20'). Exisitng and efficient motor size are assumed to be the same unless otherwise specified.</a:t>
          </a:r>
        </a:p>
        <a:p>
          <a:endParaRPr lang="en-US" sz="1100" u="none">
            <a:solidFill>
              <a:srgbClr val="054B56"/>
            </a:solidFill>
          </a:endParaRPr>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Tom Cosgro" id="{924B3BDC-E916-47DC-B18C-F348F58208BE}" userId="S::tom.cosgro@clearesult.com::966d941d-6403-4c15-b607-79da2210b7a8" providerId="AD"/>
  <person displayName="Michael Stevenson" id="{B6D91A5E-579E-455A-AF69-60B3866929A1}" userId="S::michael.stevenson@clearesult.com::b9d48f66-fd17-49b2-961f-352fa77b9882" providerId="AD"/>
</personList>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Concourse">
  <a:themeElements>
    <a:clrScheme name="CLEAResult">
      <a:dk1>
        <a:sysClr val="windowText" lastClr="000000"/>
      </a:dk1>
      <a:lt1>
        <a:sysClr val="window" lastClr="FFFFFF"/>
      </a:lt1>
      <a:dk2>
        <a:srgbClr val="404040"/>
      </a:dk2>
      <a:lt2>
        <a:srgbClr val="EFE9E5"/>
      </a:lt2>
      <a:accent1>
        <a:srgbClr val="F50000"/>
      </a:accent1>
      <a:accent2>
        <a:srgbClr val="054B56"/>
      </a:accent2>
      <a:accent3>
        <a:srgbClr val="007299"/>
      </a:accent3>
      <a:accent4>
        <a:srgbClr val="92B7BC"/>
      </a:accent4>
      <a:accent5>
        <a:srgbClr val="F4CE00"/>
      </a:accent5>
      <a:accent6>
        <a:srgbClr val="EFE9E5"/>
      </a:accent6>
      <a:hlink>
        <a:srgbClr val="44B9E8"/>
      </a:hlink>
      <a:folHlink>
        <a:srgbClr val="44B9E8"/>
      </a:folHlink>
    </a:clrScheme>
    <a:fontScheme name="CLEAResult">
      <a:majorFont>
        <a:latin typeface="Arial"/>
        <a:ea typeface=""/>
        <a:cs typeface=""/>
      </a:majorFont>
      <a:minorFont>
        <a:latin typeface="Arial"/>
        <a:ea typeface=""/>
        <a:cs typeface=""/>
      </a:minorFont>
    </a:fontScheme>
    <a:fmtScheme name="Concourse">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9525" cap="flat" cmpd="sng" algn="ctr">
          <a:solidFill>
            <a:schemeClr val="phClr"/>
          </a:solidFill>
          <a:prstDash val="solid"/>
        </a:ln>
        <a:ln w="55000" cap="flat" cmpd="thickThin" algn="ctr">
          <a:solidFill>
            <a:schemeClr val="phClr"/>
          </a:solidFill>
          <a:prstDash val="solid"/>
        </a:ln>
        <a:ln w="63500" cap="flat" cmpd="thickThin"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fov="0">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gradFill rotWithShape="1">
          <a:gsLst>
            <a:gs pos="0">
              <a:schemeClr val="phClr">
                <a:tint val="55000"/>
                <a:satMod val="300000"/>
              </a:schemeClr>
            </a:gs>
            <a:gs pos="40000">
              <a:schemeClr val="phClr">
                <a:tint val="65000"/>
                <a:satMod val="300000"/>
              </a:schemeClr>
            </a:gs>
            <a:gs pos="100000">
              <a:schemeClr val="phClr">
                <a:shade val="65000"/>
                <a:satMod val="300000"/>
              </a:schemeClr>
            </a:gs>
          </a:gsLst>
          <a:path path="circle">
            <a:fillToRect l="65000" b="98000"/>
          </a:path>
        </a:gradFill>
        <a:blipFill>
          <a:blip xmlns:r="http://schemas.openxmlformats.org/officeDocument/2006/relationships" r:embed="rId1">
            <a:duotone>
              <a:schemeClr val="phClr">
                <a:shade val="60000"/>
                <a:satMod val="110000"/>
              </a:schemeClr>
              <a:schemeClr val="phClr">
                <a:tint val="95000"/>
              </a:schemeClr>
            </a:duotone>
          </a:blip>
          <a:tile tx="0" ty="0" sx="50000" sy="50000" flip="none" algn="tl"/>
        </a:blip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128" dT="2021-05-27T13:17:56.58" personId="{B6D91A5E-579E-455A-AF69-60B3866929A1}" id="{0019B8E1-699F-4D92-BBD6-E37C2B05DB6C}">
    <text>Theres a problem with this calculation in the TRM. We need to address with PPL/Cadmus. I'm defaulting to 0 for now.</text>
  </threadedComment>
  <threadedComment ref="M128" dT="2021-09-24T18:03:16.46" personId="{924B3BDC-E916-47DC-B18C-F348F58208BE}" id="{780063FD-2589-419A-A713-40A7103D6D6D}" parentId="{0019B8E1-699F-4D92-BBD6-E37C2B05DB6C}">
    <text>This has been corrected based on notes from the SWE. See details to right from email from Priya</text>
  </threadedComment>
</ThreadedComments>
</file>

<file path=xl/threadedComments/threadedComment2.xml><?xml version="1.0" encoding="utf-8"?>
<ThreadedComments xmlns="http://schemas.microsoft.com/office/spreadsheetml/2018/threadedcomments" xmlns:x="http://schemas.openxmlformats.org/spreadsheetml/2006/main">
  <threadedComment ref="J128" dT="2021-05-27T13:17:56.58" personId="{B6D91A5E-579E-455A-AF69-60B3866929A1}" id="{4025A3AB-4226-40A5-AC1B-104DB4175CA0}">
    <text>Theres a problem with this calculation in the TRM. We need to address with PPL/Cadmus. I'm defaulting to 0 for now.</text>
  </threadedComment>
  <threadedComment ref="J128" dT="2021-09-24T18:03:16.46" personId="{924B3BDC-E916-47DC-B18C-F348F58208BE}" id="{51C67C7B-E720-4F85-94CF-139B096070F1}" parentId="{4025A3AB-4226-40A5-AC1B-104DB4175CA0}">
    <text>This has been corrected based on notes from the SWE. See details to right from email from Priya</text>
  </threadedComment>
</ThreadedComments>
</file>

<file path=xl/worksheets/_rels/sheet10.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9.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10.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energystar.gov/productfinder/product/certified-commercial-refrigerators-and-freezers/results"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6.bin"/><Relationship Id="rId1" Type="http://schemas.openxmlformats.org/officeDocument/2006/relationships/hyperlink" Target="mailto:PPLC@LC$"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2C3E1-DF06-4A15-BDD3-61715F332FD9}">
  <sheetPr codeName="Sheet25"/>
  <dimension ref="A1:D2239"/>
  <sheetViews>
    <sheetView topLeftCell="A1542" workbookViewId="0">
      <selection activeCell="B1554" sqref="B1554"/>
    </sheetView>
  </sheetViews>
  <sheetFormatPr defaultRowHeight="14.25" x14ac:dyDescent="0.2"/>
  <cols>
    <col min="1" max="1" width="8.625" bestFit="1" customWidth="1"/>
    <col min="2" max="2" width="6.625" bestFit="1" customWidth="1"/>
    <col min="3" max="3" width="15.625" bestFit="1" customWidth="1"/>
    <col min="4" max="4" width="20" bestFit="1" customWidth="1"/>
  </cols>
  <sheetData>
    <row r="1" spans="1:4" ht="15" thickBot="1" x14ac:dyDescent="0.25">
      <c r="A1" s="398" t="s">
        <v>0</v>
      </c>
      <c r="B1" s="398" t="s">
        <v>1</v>
      </c>
      <c r="C1" s="399" t="s">
        <v>2</v>
      </c>
      <c r="D1" s="398" t="s">
        <v>3</v>
      </c>
    </row>
    <row r="2" spans="1:4" x14ac:dyDescent="0.2">
      <c r="A2" s="672" t="str">
        <f t="shared" ref="A2:A65" si="0">LEFT(B2,3)</f>
        <v>150</v>
      </c>
      <c r="B2" s="672">
        <v>15001</v>
      </c>
      <c r="C2" s="673" t="s">
        <v>4</v>
      </c>
      <c r="D2" s="672" t="s">
        <v>5</v>
      </c>
    </row>
    <row r="3" spans="1:4" x14ac:dyDescent="0.2">
      <c r="A3" s="672" t="str">
        <f t="shared" si="0"/>
        <v>150</v>
      </c>
      <c r="B3" s="672">
        <v>15003</v>
      </c>
      <c r="C3" s="673" t="s">
        <v>4</v>
      </c>
      <c r="D3" s="672" t="s">
        <v>5</v>
      </c>
    </row>
    <row r="4" spans="1:4" x14ac:dyDescent="0.2">
      <c r="A4" s="672" t="str">
        <f t="shared" si="0"/>
        <v>150</v>
      </c>
      <c r="B4" s="672">
        <v>15004</v>
      </c>
      <c r="C4" s="673" t="s">
        <v>4</v>
      </c>
      <c r="D4" s="672" t="s">
        <v>5</v>
      </c>
    </row>
    <row r="5" spans="1:4" x14ac:dyDescent="0.2">
      <c r="A5" s="672" t="str">
        <f t="shared" si="0"/>
        <v>150</v>
      </c>
      <c r="B5" s="672">
        <v>15005</v>
      </c>
      <c r="C5" s="673" t="s">
        <v>4</v>
      </c>
      <c r="D5" s="672" t="s">
        <v>5</v>
      </c>
    </row>
    <row r="6" spans="1:4" x14ac:dyDescent="0.2">
      <c r="A6" s="672" t="str">
        <f t="shared" si="0"/>
        <v>150</v>
      </c>
      <c r="B6" s="672">
        <v>15006</v>
      </c>
      <c r="C6" s="673" t="s">
        <v>4</v>
      </c>
      <c r="D6" s="672" t="s">
        <v>5</v>
      </c>
    </row>
    <row r="7" spans="1:4" x14ac:dyDescent="0.2">
      <c r="A7" s="672" t="str">
        <f t="shared" si="0"/>
        <v>150</v>
      </c>
      <c r="B7" s="672">
        <v>15007</v>
      </c>
      <c r="C7" s="673" t="s">
        <v>4</v>
      </c>
      <c r="D7" s="672" t="s">
        <v>5</v>
      </c>
    </row>
    <row r="8" spans="1:4" x14ac:dyDescent="0.2">
      <c r="A8" s="672" t="str">
        <f t="shared" si="0"/>
        <v>150</v>
      </c>
      <c r="B8" s="672">
        <v>15009</v>
      </c>
      <c r="C8" s="673" t="s">
        <v>4</v>
      </c>
      <c r="D8" s="672" t="s">
        <v>5</v>
      </c>
    </row>
    <row r="9" spans="1:4" x14ac:dyDescent="0.2">
      <c r="A9" s="672" t="str">
        <f t="shared" si="0"/>
        <v>150</v>
      </c>
      <c r="B9" s="672">
        <v>15010</v>
      </c>
      <c r="C9" s="673" t="s">
        <v>4</v>
      </c>
      <c r="D9" s="672" t="s">
        <v>5</v>
      </c>
    </row>
    <row r="10" spans="1:4" x14ac:dyDescent="0.2">
      <c r="A10" s="672" t="str">
        <f t="shared" si="0"/>
        <v>150</v>
      </c>
      <c r="B10" s="672">
        <v>15012</v>
      </c>
      <c r="C10" s="673" t="s">
        <v>4</v>
      </c>
      <c r="D10" s="672" t="s">
        <v>5</v>
      </c>
    </row>
    <row r="11" spans="1:4" x14ac:dyDescent="0.2">
      <c r="A11" s="672" t="str">
        <f t="shared" si="0"/>
        <v>150</v>
      </c>
      <c r="B11" s="672">
        <v>15014</v>
      </c>
      <c r="C11" s="673" t="s">
        <v>4</v>
      </c>
      <c r="D11" s="672" t="s">
        <v>5</v>
      </c>
    </row>
    <row r="12" spans="1:4" x14ac:dyDescent="0.2">
      <c r="A12" s="672" t="str">
        <f t="shared" si="0"/>
        <v>150</v>
      </c>
      <c r="B12" s="672">
        <v>15015</v>
      </c>
      <c r="C12" s="673" t="s">
        <v>4</v>
      </c>
      <c r="D12" s="672" t="s">
        <v>5</v>
      </c>
    </row>
    <row r="13" spans="1:4" x14ac:dyDescent="0.2">
      <c r="A13" s="672" t="str">
        <f t="shared" si="0"/>
        <v>150</v>
      </c>
      <c r="B13" s="672">
        <v>15017</v>
      </c>
      <c r="C13" s="673" t="s">
        <v>4</v>
      </c>
      <c r="D13" s="672" t="s">
        <v>5</v>
      </c>
    </row>
    <row r="14" spans="1:4" x14ac:dyDescent="0.2">
      <c r="A14" s="672" t="str">
        <f t="shared" si="0"/>
        <v>150</v>
      </c>
      <c r="B14" s="672">
        <v>15018</v>
      </c>
      <c r="C14" s="673" t="s">
        <v>4</v>
      </c>
      <c r="D14" s="672" t="s">
        <v>5</v>
      </c>
    </row>
    <row r="15" spans="1:4" x14ac:dyDescent="0.2">
      <c r="A15" s="672" t="str">
        <f t="shared" si="0"/>
        <v>150</v>
      </c>
      <c r="B15" s="672">
        <v>15019</v>
      </c>
      <c r="C15" s="673" t="s">
        <v>4</v>
      </c>
      <c r="D15" s="672" t="s">
        <v>5</v>
      </c>
    </row>
    <row r="16" spans="1:4" x14ac:dyDescent="0.2">
      <c r="A16" s="672" t="str">
        <f t="shared" si="0"/>
        <v>150</v>
      </c>
      <c r="B16" s="672">
        <v>15020</v>
      </c>
      <c r="C16" s="673" t="s">
        <v>4</v>
      </c>
      <c r="D16" s="672" t="s">
        <v>5</v>
      </c>
    </row>
    <row r="17" spans="1:4" x14ac:dyDescent="0.2">
      <c r="A17" s="672" t="str">
        <f t="shared" si="0"/>
        <v>150</v>
      </c>
      <c r="B17" s="672">
        <v>15021</v>
      </c>
      <c r="C17" s="673" t="s">
        <v>4</v>
      </c>
      <c r="D17" s="672" t="s">
        <v>5</v>
      </c>
    </row>
    <row r="18" spans="1:4" x14ac:dyDescent="0.2">
      <c r="A18" s="672" t="str">
        <f t="shared" si="0"/>
        <v>150</v>
      </c>
      <c r="B18" s="672">
        <v>15022</v>
      </c>
      <c r="C18" s="673" t="s">
        <v>4</v>
      </c>
      <c r="D18" s="672" t="s">
        <v>5</v>
      </c>
    </row>
    <row r="19" spans="1:4" x14ac:dyDescent="0.2">
      <c r="A19" s="672" t="str">
        <f t="shared" si="0"/>
        <v>150</v>
      </c>
      <c r="B19" s="672">
        <v>15024</v>
      </c>
      <c r="C19" s="673" t="s">
        <v>4</v>
      </c>
      <c r="D19" s="672" t="s">
        <v>5</v>
      </c>
    </row>
    <row r="20" spans="1:4" x14ac:dyDescent="0.2">
      <c r="A20" s="672" t="str">
        <f t="shared" si="0"/>
        <v>150</v>
      </c>
      <c r="B20" s="672">
        <v>15025</v>
      </c>
      <c r="C20" s="673" t="s">
        <v>4</v>
      </c>
      <c r="D20" s="672" t="s">
        <v>5</v>
      </c>
    </row>
    <row r="21" spans="1:4" x14ac:dyDescent="0.2">
      <c r="A21" s="672" t="str">
        <f t="shared" si="0"/>
        <v>150</v>
      </c>
      <c r="B21" s="672">
        <v>15026</v>
      </c>
      <c r="C21" s="673" t="s">
        <v>4</v>
      </c>
      <c r="D21" s="672" t="s">
        <v>5</v>
      </c>
    </row>
    <row r="22" spans="1:4" x14ac:dyDescent="0.2">
      <c r="A22" s="672" t="str">
        <f t="shared" si="0"/>
        <v>150</v>
      </c>
      <c r="B22" s="672">
        <v>15027</v>
      </c>
      <c r="C22" s="673" t="s">
        <v>4</v>
      </c>
      <c r="D22" s="672" t="s">
        <v>5</v>
      </c>
    </row>
    <row r="23" spans="1:4" x14ac:dyDescent="0.2">
      <c r="A23" s="672" t="str">
        <f t="shared" si="0"/>
        <v>150</v>
      </c>
      <c r="B23" s="672">
        <v>15028</v>
      </c>
      <c r="C23" s="673" t="s">
        <v>4</v>
      </c>
      <c r="D23" s="672" t="s">
        <v>5</v>
      </c>
    </row>
    <row r="24" spans="1:4" x14ac:dyDescent="0.2">
      <c r="A24" s="672" t="str">
        <f t="shared" si="0"/>
        <v>150</v>
      </c>
      <c r="B24" s="672">
        <v>15030</v>
      </c>
      <c r="C24" s="673" t="s">
        <v>4</v>
      </c>
      <c r="D24" s="672" t="s">
        <v>5</v>
      </c>
    </row>
    <row r="25" spans="1:4" x14ac:dyDescent="0.2">
      <c r="A25" s="672" t="str">
        <f t="shared" si="0"/>
        <v>150</v>
      </c>
      <c r="B25" s="672">
        <v>15031</v>
      </c>
      <c r="C25" s="673" t="s">
        <v>4</v>
      </c>
      <c r="D25" s="672" t="s">
        <v>5</v>
      </c>
    </row>
    <row r="26" spans="1:4" x14ac:dyDescent="0.2">
      <c r="A26" s="672" t="str">
        <f t="shared" si="0"/>
        <v>150</v>
      </c>
      <c r="B26" s="672">
        <v>15032</v>
      </c>
      <c r="C26" s="673" t="s">
        <v>4</v>
      </c>
      <c r="D26" s="672" t="s">
        <v>5</v>
      </c>
    </row>
    <row r="27" spans="1:4" x14ac:dyDescent="0.2">
      <c r="A27" s="672" t="str">
        <f t="shared" si="0"/>
        <v>150</v>
      </c>
      <c r="B27" s="672">
        <v>15033</v>
      </c>
      <c r="C27" s="673" t="s">
        <v>4</v>
      </c>
      <c r="D27" s="672" t="s">
        <v>5</v>
      </c>
    </row>
    <row r="28" spans="1:4" x14ac:dyDescent="0.2">
      <c r="A28" s="672" t="str">
        <f t="shared" si="0"/>
        <v>150</v>
      </c>
      <c r="B28" s="672">
        <v>15034</v>
      </c>
      <c r="C28" s="673" t="s">
        <v>4</v>
      </c>
      <c r="D28" s="672" t="s">
        <v>5</v>
      </c>
    </row>
    <row r="29" spans="1:4" x14ac:dyDescent="0.2">
      <c r="A29" s="672" t="str">
        <f t="shared" si="0"/>
        <v>150</v>
      </c>
      <c r="B29" s="672">
        <v>15035</v>
      </c>
      <c r="C29" s="673" t="s">
        <v>4</v>
      </c>
      <c r="D29" s="672" t="s">
        <v>5</v>
      </c>
    </row>
    <row r="30" spans="1:4" x14ac:dyDescent="0.2">
      <c r="A30" s="672" t="str">
        <f t="shared" si="0"/>
        <v>150</v>
      </c>
      <c r="B30" s="672">
        <v>15036</v>
      </c>
      <c r="C30" s="673" t="s">
        <v>4</v>
      </c>
      <c r="D30" s="672" t="s">
        <v>5</v>
      </c>
    </row>
    <row r="31" spans="1:4" x14ac:dyDescent="0.2">
      <c r="A31" s="672" t="str">
        <f t="shared" si="0"/>
        <v>150</v>
      </c>
      <c r="B31" s="672">
        <v>15037</v>
      </c>
      <c r="C31" s="673" t="s">
        <v>4</v>
      </c>
      <c r="D31" s="672" t="s">
        <v>5</v>
      </c>
    </row>
    <row r="32" spans="1:4" x14ac:dyDescent="0.2">
      <c r="A32" s="672" t="str">
        <f t="shared" si="0"/>
        <v>150</v>
      </c>
      <c r="B32" s="672">
        <v>15038</v>
      </c>
      <c r="C32" s="673" t="s">
        <v>4</v>
      </c>
      <c r="D32" s="672" t="s">
        <v>5</v>
      </c>
    </row>
    <row r="33" spans="1:4" x14ac:dyDescent="0.2">
      <c r="A33" s="672" t="str">
        <f t="shared" si="0"/>
        <v>150</v>
      </c>
      <c r="B33" s="672">
        <v>15042</v>
      </c>
      <c r="C33" s="673" t="s">
        <v>4</v>
      </c>
      <c r="D33" s="672" t="s">
        <v>5</v>
      </c>
    </row>
    <row r="34" spans="1:4" x14ac:dyDescent="0.2">
      <c r="A34" s="672" t="str">
        <f t="shared" si="0"/>
        <v>150</v>
      </c>
      <c r="B34" s="672">
        <v>15043</v>
      </c>
      <c r="C34" s="673" t="s">
        <v>4</v>
      </c>
      <c r="D34" s="672" t="s">
        <v>5</v>
      </c>
    </row>
    <row r="35" spans="1:4" x14ac:dyDescent="0.2">
      <c r="A35" s="672" t="str">
        <f t="shared" si="0"/>
        <v>150</v>
      </c>
      <c r="B35" s="672">
        <v>15044</v>
      </c>
      <c r="C35" s="673" t="s">
        <v>4</v>
      </c>
      <c r="D35" s="672" t="s">
        <v>5</v>
      </c>
    </row>
    <row r="36" spans="1:4" x14ac:dyDescent="0.2">
      <c r="A36" s="672" t="str">
        <f t="shared" si="0"/>
        <v>150</v>
      </c>
      <c r="B36" s="672">
        <v>15045</v>
      </c>
      <c r="C36" s="673" t="s">
        <v>4</v>
      </c>
      <c r="D36" s="672" t="s">
        <v>5</v>
      </c>
    </row>
    <row r="37" spans="1:4" x14ac:dyDescent="0.2">
      <c r="A37" s="672" t="str">
        <f t="shared" si="0"/>
        <v>150</v>
      </c>
      <c r="B37" s="672">
        <v>15046</v>
      </c>
      <c r="C37" s="673" t="s">
        <v>4</v>
      </c>
      <c r="D37" s="672" t="s">
        <v>5</v>
      </c>
    </row>
    <row r="38" spans="1:4" x14ac:dyDescent="0.2">
      <c r="A38" s="672" t="str">
        <f t="shared" si="0"/>
        <v>150</v>
      </c>
      <c r="B38" s="672">
        <v>15047</v>
      </c>
      <c r="C38" s="673" t="s">
        <v>4</v>
      </c>
      <c r="D38" s="672" t="s">
        <v>5</v>
      </c>
    </row>
    <row r="39" spans="1:4" x14ac:dyDescent="0.2">
      <c r="A39" s="672" t="str">
        <f t="shared" si="0"/>
        <v>150</v>
      </c>
      <c r="B39" s="672">
        <v>15049</v>
      </c>
      <c r="C39" s="673" t="s">
        <v>4</v>
      </c>
      <c r="D39" s="672" t="s">
        <v>5</v>
      </c>
    </row>
    <row r="40" spans="1:4" x14ac:dyDescent="0.2">
      <c r="A40" s="672" t="str">
        <f t="shared" si="0"/>
        <v>150</v>
      </c>
      <c r="B40" s="672">
        <v>15050</v>
      </c>
      <c r="C40" s="673" t="s">
        <v>4</v>
      </c>
      <c r="D40" s="672" t="s">
        <v>5</v>
      </c>
    </row>
    <row r="41" spans="1:4" x14ac:dyDescent="0.2">
      <c r="A41" s="672" t="str">
        <f t="shared" si="0"/>
        <v>150</v>
      </c>
      <c r="B41" s="672">
        <v>15051</v>
      </c>
      <c r="C41" s="673" t="s">
        <v>4</v>
      </c>
      <c r="D41" s="672" t="s">
        <v>5</v>
      </c>
    </row>
    <row r="42" spans="1:4" x14ac:dyDescent="0.2">
      <c r="A42" s="672" t="str">
        <f t="shared" si="0"/>
        <v>150</v>
      </c>
      <c r="B42" s="672">
        <v>15052</v>
      </c>
      <c r="C42" s="673" t="s">
        <v>4</v>
      </c>
      <c r="D42" s="672" t="s">
        <v>5</v>
      </c>
    </row>
    <row r="43" spans="1:4" x14ac:dyDescent="0.2">
      <c r="A43" s="672" t="str">
        <f t="shared" si="0"/>
        <v>150</v>
      </c>
      <c r="B43" s="672">
        <v>15053</v>
      </c>
      <c r="C43" s="673" t="s">
        <v>4</v>
      </c>
      <c r="D43" s="672" t="s">
        <v>5</v>
      </c>
    </row>
    <row r="44" spans="1:4" x14ac:dyDescent="0.2">
      <c r="A44" s="672" t="str">
        <f t="shared" si="0"/>
        <v>150</v>
      </c>
      <c r="B44" s="672">
        <v>15054</v>
      </c>
      <c r="C44" s="673" t="s">
        <v>4</v>
      </c>
      <c r="D44" s="672" t="s">
        <v>5</v>
      </c>
    </row>
    <row r="45" spans="1:4" x14ac:dyDescent="0.2">
      <c r="A45" s="672" t="str">
        <f t="shared" si="0"/>
        <v>150</v>
      </c>
      <c r="B45" s="672">
        <v>15055</v>
      </c>
      <c r="C45" s="673" t="s">
        <v>4</v>
      </c>
      <c r="D45" s="672" t="s">
        <v>5</v>
      </c>
    </row>
    <row r="46" spans="1:4" x14ac:dyDescent="0.2">
      <c r="A46" s="672" t="str">
        <f t="shared" si="0"/>
        <v>150</v>
      </c>
      <c r="B46" s="672">
        <v>15056</v>
      </c>
      <c r="C46" s="673" t="s">
        <v>4</v>
      </c>
      <c r="D46" s="672" t="s">
        <v>5</v>
      </c>
    </row>
    <row r="47" spans="1:4" x14ac:dyDescent="0.2">
      <c r="A47" s="672" t="str">
        <f t="shared" si="0"/>
        <v>150</v>
      </c>
      <c r="B47" s="672">
        <v>15057</v>
      </c>
      <c r="C47" s="673" t="s">
        <v>4</v>
      </c>
      <c r="D47" s="672" t="s">
        <v>5</v>
      </c>
    </row>
    <row r="48" spans="1:4" x14ac:dyDescent="0.2">
      <c r="A48" s="672" t="str">
        <f t="shared" si="0"/>
        <v>150</v>
      </c>
      <c r="B48" s="672">
        <v>15059</v>
      </c>
      <c r="C48" s="673" t="s">
        <v>4</v>
      </c>
      <c r="D48" s="672" t="s">
        <v>5</v>
      </c>
    </row>
    <row r="49" spans="1:4" x14ac:dyDescent="0.2">
      <c r="A49" s="672" t="str">
        <f t="shared" si="0"/>
        <v>150</v>
      </c>
      <c r="B49" s="672">
        <v>15060</v>
      </c>
      <c r="C49" s="673" t="s">
        <v>4</v>
      </c>
      <c r="D49" s="672" t="s">
        <v>5</v>
      </c>
    </row>
    <row r="50" spans="1:4" x14ac:dyDescent="0.2">
      <c r="A50" s="672" t="str">
        <f t="shared" si="0"/>
        <v>150</v>
      </c>
      <c r="B50" s="672">
        <v>15061</v>
      </c>
      <c r="C50" s="673" t="s">
        <v>4</v>
      </c>
      <c r="D50" s="672" t="s">
        <v>5</v>
      </c>
    </row>
    <row r="51" spans="1:4" x14ac:dyDescent="0.2">
      <c r="A51" s="672" t="str">
        <f t="shared" si="0"/>
        <v>150</v>
      </c>
      <c r="B51" s="672">
        <v>15062</v>
      </c>
      <c r="C51" s="673" t="s">
        <v>4</v>
      </c>
      <c r="D51" s="672" t="s">
        <v>5</v>
      </c>
    </row>
    <row r="52" spans="1:4" x14ac:dyDescent="0.2">
      <c r="A52" s="672" t="str">
        <f t="shared" si="0"/>
        <v>150</v>
      </c>
      <c r="B52" s="672">
        <v>15063</v>
      </c>
      <c r="C52" s="673" t="s">
        <v>4</v>
      </c>
      <c r="D52" s="672" t="s">
        <v>5</v>
      </c>
    </row>
    <row r="53" spans="1:4" x14ac:dyDescent="0.2">
      <c r="A53" s="672" t="str">
        <f t="shared" si="0"/>
        <v>150</v>
      </c>
      <c r="B53" s="672">
        <v>15064</v>
      </c>
      <c r="C53" s="673" t="s">
        <v>4</v>
      </c>
      <c r="D53" s="672" t="s">
        <v>5</v>
      </c>
    </row>
    <row r="54" spans="1:4" x14ac:dyDescent="0.2">
      <c r="A54" s="672" t="str">
        <f t="shared" si="0"/>
        <v>150</v>
      </c>
      <c r="B54" s="672">
        <v>15065</v>
      </c>
      <c r="C54" s="673" t="s">
        <v>4</v>
      </c>
      <c r="D54" s="672" t="s">
        <v>5</v>
      </c>
    </row>
    <row r="55" spans="1:4" x14ac:dyDescent="0.2">
      <c r="A55" s="672" t="str">
        <f t="shared" si="0"/>
        <v>150</v>
      </c>
      <c r="B55" s="672">
        <v>15066</v>
      </c>
      <c r="C55" s="673" t="s">
        <v>4</v>
      </c>
      <c r="D55" s="672" t="s">
        <v>5</v>
      </c>
    </row>
    <row r="56" spans="1:4" x14ac:dyDescent="0.2">
      <c r="A56" s="672" t="str">
        <f t="shared" si="0"/>
        <v>150</v>
      </c>
      <c r="B56" s="672">
        <v>15067</v>
      </c>
      <c r="C56" s="673" t="s">
        <v>4</v>
      </c>
      <c r="D56" s="672" t="s">
        <v>5</v>
      </c>
    </row>
    <row r="57" spans="1:4" x14ac:dyDescent="0.2">
      <c r="A57" s="672" t="str">
        <f t="shared" si="0"/>
        <v>150</v>
      </c>
      <c r="B57" s="672">
        <v>15068</v>
      </c>
      <c r="C57" s="673" t="s">
        <v>4</v>
      </c>
      <c r="D57" s="672" t="s">
        <v>5</v>
      </c>
    </row>
    <row r="58" spans="1:4" x14ac:dyDescent="0.2">
      <c r="A58" s="672" t="str">
        <f t="shared" si="0"/>
        <v>150</v>
      </c>
      <c r="B58" s="672">
        <v>15069</v>
      </c>
      <c r="C58" s="673" t="s">
        <v>4</v>
      </c>
      <c r="D58" s="672" t="s">
        <v>5</v>
      </c>
    </row>
    <row r="59" spans="1:4" x14ac:dyDescent="0.2">
      <c r="A59" s="672" t="str">
        <f t="shared" si="0"/>
        <v>150</v>
      </c>
      <c r="B59" s="672">
        <v>15071</v>
      </c>
      <c r="C59" s="673" t="s">
        <v>4</v>
      </c>
      <c r="D59" s="672" t="s">
        <v>5</v>
      </c>
    </row>
    <row r="60" spans="1:4" x14ac:dyDescent="0.2">
      <c r="A60" s="672" t="str">
        <f t="shared" si="0"/>
        <v>150</v>
      </c>
      <c r="B60" s="672">
        <v>15072</v>
      </c>
      <c r="C60" s="673" t="s">
        <v>4</v>
      </c>
      <c r="D60" s="672" t="s">
        <v>5</v>
      </c>
    </row>
    <row r="61" spans="1:4" x14ac:dyDescent="0.2">
      <c r="A61" s="672" t="str">
        <f t="shared" si="0"/>
        <v>150</v>
      </c>
      <c r="B61" s="672">
        <v>15074</v>
      </c>
      <c r="C61" s="673" t="s">
        <v>4</v>
      </c>
      <c r="D61" s="672" t="s">
        <v>5</v>
      </c>
    </row>
    <row r="62" spans="1:4" x14ac:dyDescent="0.2">
      <c r="A62" s="672" t="str">
        <f t="shared" si="0"/>
        <v>150</v>
      </c>
      <c r="B62" s="672">
        <v>15075</v>
      </c>
      <c r="C62" s="673" t="s">
        <v>4</v>
      </c>
      <c r="D62" s="672" t="s">
        <v>5</v>
      </c>
    </row>
    <row r="63" spans="1:4" x14ac:dyDescent="0.2">
      <c r="A63" s="672" t="str">
        <f t="shared" si="0"/>
        <v>150</v>
      </c>
      <c r="B63" s="672">
        <v>15076</v>
      </c>
      <c r="C63" s="673" t="s">
        <v>4</v>
      </c>
      <c r="D63" s="672" t="s">
        <v>5</v>
      </c>
    </row>
    <row r="64" spans="1:4" x14ac:dyDescent="0.2">
      <c r="A64" s="672" t="str">
        <f t="shared" si="0"/>
        <v>150</v>
      </c>
      <c r="B64" s="672">
        <v>15077</v>
      </c>
      <c r="C64" s="673" t="s">
        <v>4</v>
      </c>
      <c r="D64" s="672" t="s">
        <v>5</v>
      </c>
    </row>
    <row r="65" spans="1:4" x14ac:dyDescent="0.2">
      <c r="A65" s="672" t="str">
        <f t="shared" si="0"/>
        <v>150</v>
      </c>
      <c r="B65" s="672">
        <v>15078</v>
      </c>
      <c r="C65" s="673" t="s">
        <v>4</v>
      </c>
      <c r="D65" s="672" t="s">
        <v>5</v>
      </c>
    </row>
    <row r="66" spans="1:4" x14ac:dyDescent="0.2">
      <c r="A66" s="672" t="str">
        <f t="shared" ref="A66:A129" si="1">LEFT(B66,3)</f>
        <v>150</v>
      </c>
      <c r="B66" s="672">
        <v>15081</v>
      </c>
      <c r="C66" s="673" t="s">
        <v>4</v>
      </c>
      <c r="D66" s="672" t="s">
        <v>5</v>
      </c>
    </row>
    <row r="67" spans="1:4" x14ac:dyDescent="0.2">
      <c r="A67" s="672" t="str">
        <f t="shared" si="1"/>
        <v>150</v>
      </c>
      <c r="B67" s="672">
        <v>15082</v>
      </c>
      <c r="C67" s="673" t="s">
        <v>4</v>
      </c>
      <c r="D67" s="672" t="s">
        <v>5</v>
      </c>
    </row>
    <row r="68" spans="1:4" x14ac:dyDescent="0.2">
      <c r="A68" s="672" t="str">
        <f t="shared" si="1"/>
        <v>150</v>
      </c>
      <c r="B68" s="672">
        <v>15083</v>
      </c>
      <c r="C68" s="673" t="s">
        <v>4</v>
      </c>
      <c r="D68" s="672" t="s">
        <v>5</v>
      </c>
    </row>
    <row r="69" spans="1:4" x14ac:dyDescent="0.2">
      <c r="A69" s="672" t="str">
        <f t="shared" si="1"/>
        <v>150</v>
      </c>
      <c r="B69" s="672">
        <v>15084</v>
      </c>
      <c r="C69" s="673" t="s">
        <v>4</v>
      </c>
      <c r="D69" s="672" t="s">
        <v>5</v>
      </c>
    </row>
    <row r="70" spans="1:4" x14ac:dyDescent="0.2">
      <c r="A70" s="672" t="str">
        <f t="shared" si="1"/>
        <v>150</v>
      </c>
      <c r="B70" s="672">
        <v>15085</v>
      </c>
      <c r="C70" s="673" t="s">
        <v>4</v>
      </c>
      <c r="D70" s="672" t="s">
        <v>5</v>
      </c>
    </row>
    <row r="71" spans="1:4" x14ac:dyDescent="0.2">
      <c r="A71" s="672" t="str">
        <f t="shared" si="1"/>
        <v>150</v>
      </c>
      <c r="B71" s="672">
        <v>15086</v>
      </c>
      <c r="C71" s="673" t="s">
        <v>4</v>
      </c>
      <c r="D71" s="672" t="s">
        <v>5</v>
      </c>
    </row>
    <row r="72" spans="1:4" x14ac:dyDescent="0.2">
      <c r="A72" s="672" t="str">
        <f t="shared" si="1"/>
        <v>150</v>
      </c>
      <c r="B72" s="672">
        <v>15087</v>
      </c>
      <c r="C72" s="673" t="s">
        <v>4</v>
      </c>
      <c r="D72" s="672" t="s">
        <v>5</v>
      </c>
    </row>
    <row r="73" spans="1:4" x14ac:dyDescent="0.2">
      <c r="A73" s="672" t="str">
        <f t="shared" si="1"/>
        <v>150</v>
      </c>
      <c r="B73" s="672">
        <v>15088</v>
      </c>
      <c r="C73" s="673" t="s">
        <v>4</v>
      </c>
      <c r="D73" s="672" t="s">
        <v>5</v>
      </c>
    </row>
    <row r="74" spans="1:4" x14ac:dyDescent="0.2">
      <c r="A74" s="672" t="str">
        <f t="shared" si="1"/>
        <v>150</v>
      </c>
      <c r="B74" s="672">
        <v>15089</v>
      </c>
      <c r="C74" s="673" t="s">
        <v>4</v>
      </c>
      <c r="D74" s="672" t="s">
        <v>5</v>
      </c>
    </row>
    <row r="75" spans="1:4" x14ac:dyDescent="0.2">
      <c r="A75" s="672" t="str">
        <f t="shared" si="1"/>
        <v>150</v>
      </c>
      <c r="B75" s="672">
        <v>15090</v>
      </c>
      <c r="C75" s="673" t="s">
        <v>4</v>
      </c>
      <c r="D75" s="672" t="s">
        <v>5</v>
      </c>
    </row>
    <row r="76" spans="1:4" x14ac:dyDescent="0.2">
      <c r="A76" s="672" t="str">
        <f t="shared" si="1"/>
        <v>150</v>
      </c>
      <c r="B76" s="672">
        <v>15091</v>
      </c>
      <c r="C76" s="673" t="s">
        <v>4</v>
      </c>
      <c r="D76" s="672" t="s">
        <v>5</v>
      </c>
    </row>
    <row r="77" spans="1:4" x14ac:dyDescent="0.2">
      <c r="A77" s="672" t="str">
        <f t="shared" si="1"/>
        <v>150</v>
      </c>
      <c r="B77" s="672">
        <v>15095</v>
      </c>
      <c r="C77" s="673" t="s">
        <v>4</v>
      </c>
      <c r="D77" s="672" t="s">
        <v>5</v>
      </c>
    </row>
    <row r="78" spans="1:4" x14ac:dyDescent="0.2">
      <c r="A78" s="672" t="str">
        <f t="shared" si="1"/>
        <v>150</v>
      </c>
      <c r="B78" s="672">
        <v>15096</v>
      </c>
      <c r="C78" s="673" t="s">
        <v>4</v>
      </c>
      <c r="D78" s="672" t="s">
        <v>5</v>
      </c>
    </row>
    <row r="79" spans="1:4" x14ac:dyDescent="0.2">
      <c r="A79" s="672" t="str">
        <f t="shared" si="1"/>
        <v>151</v>
      </c>
      <c r="B79" s="672">
        <v>15101</v>
      </c>
      <c r="C79" s="673" t="s">
        <v>4</v>
      </c>
      <c r="D79" s="672" t="s">
        <v>5</v>
      </c>
    </row>
    <row r="80" spans="1:4" x14ac:dyDescent="0.2">
      <c r="A80" s="672" t="str">
        <f t="shared" si="1"/>
        <v>151</v>
      </c>
      <c r="B80" s="672">
        <v>15102</v>
      </c>
      <c r="C80" s="673" t="s">
        <v>4</v>
      </c>
      <c r="D80" s="672" t="s">
        <v>5</v>
      </c>
    </row>
    <row r="81" spans="1:4" x14ac:dyDescent="0.2">
      <c r="A81" s="672" t="str">
        <f t="shared" si="1"/>
        <v>151</v>
      </c>
      <c r="B81" s="672">
        <v>15104</v>
      </c>
      <c r="C81" s="673" t="s">
        <v>4</v>
      </c>
      <c r="D81" s="672" t="s">
        <v>5</v>
      </c>
    </row>
    <row r="82" spans="1:4" x14ac:dyDescent="0.2">
      <c r="A82" s="672" t="str">
        <f t="shared" si="1"/>
        <v>151</v>
      </c>
      <c r="B82" s="672">
        <v>15106</v>
      </c>
      <c r="C82" s="673" t="s">
        <v>4</v>
      </c>
      <c r="D82" s="672" t="s">
        <v>5</v>
      </c>
    </row>
    <row r="83" spans="1:4" x14ac:dyDescent="0.2">
      <c r="A83" s="672" t="str">
        <f t="shared" si="1"/>
        <v>151</v>
      </c>
      <c r="B83" s="672">
        <v>15108</v>
      </c>
      <c r="C83" s="673" t="s">
        <v>4</v>
      </c>
      <c r="D83" s="672" t="s">
        <v>5</v>
      </c>
    </row>
    <row r="84" spans="1:4" x14ac:dyDescent="0.2">
      <c r="A84" s="672" t="str">
        <f t="shared" si="1"/>
        <v>151</v>
      </c>
      <c r="B84" s="672">
        <v>15110</v>
      </c>
      <c r="C84" s="673" t="s">
        <v>4</v>
      </c>
      <c r="D84" s="672" t="s">
        <v>5</v>
      </c>
    </row>
    <row r="85" spans="1:4" x14ac:dyDescent="0.2">
      <c r="A85" s="672" t="str">
        <f t="shared" si="1"/>
        <v>151</v>
      </c>
      <c r="B85" s="672">
        <v>15112</v>
      </c>
      <c r="C85" s="673" t="s">
        <v>4</v>
      </c>
      <c r="D85" s="672" t="s">
        <v>5</v>
      </c>
    </row>
    <row r="86" spans="1:4" x14ac:dyDescent="0.2">
      <c r="A86" s="672" t="str">
        <f t="shared" si="1"/>
        <v>151</v>
      </c>
      <c r="B86" s="672">
        <v>15116</v>
      </c>
      <c r="C86" s="673" t="s">
        <v>4</v>
      </c>
      <c r="D86" s="672" t="s">
        <v>5</v>
      </c>
    </row>
    <row r="87" spans="1:4" x14ac:dyDescent="0.2">
      <c r="A87" s="672" t="str">
        <f t="shared" si="1"/>
        <v>151</v>
      </c>
      <c r="B87" s="672">
        <v>15120</v>
      </c>
      <c r="C87" s="673" t="s">
        <v>4</v>
      </c>
      <c r="D87" s="672" t="s">
        <v>5</v>
      </c>
    </row>
    <row r="88" spans="1:4" x14ac:dyDescent="0.2">
      <c r="A88" s="672" t="str">
        <f t="shared" si="1"/>
        <v>151</v>
      </c>
      <c r="B88" s="672">
        <v>15122</v>
      </c>
      <c r="C88" s="673" t="s">
        <v>4</v>
      </c>
      <c r="D88" s="672" t="s">
        <v>5</v>
      </c>
    </row>
    <row r="89" spans="1:4" x14ac:dyDescent="0.2">
      <c r="A89" s="672" t="str">
        <f t="shared" si="1"/>
        <v>151</v>
      </c>
      <c r="B89" s="672">
        <v>15123</v>
      </c>
      <c r="C89" s="673" t="s">
        <v>4</v>
      </c>
      <c r="D89" s="672" t="s">
        <v>5</v>
      </c>
    </row>
    <row r="90" spans="1:4" x14ac:dyDescent="0.2">
      <c r="A90" s="672" t="str">
        <f t="shared" si="1"/>
        <v>151</v>
      </c>
      <c r="B90" s="672">
        <v>15126</v>
      </c>
      <c r="C90" s="673" t="s">
        <v>4</v>
      </c>
      <c r="D90" s="672" t="s">
        <v>5</v>
      </c>
    </row>
    <row r="91" spans="1:4" x14ac:dyDescent="0.2">
      <c r="A91" s="672" t="str">
        <f t="shared" si="1"/>
        <v>151</v>
      </c>
      <c r="B91" s="672">
        <v>15127</v>
      </c>
      <c r="C91" s="673" t="s">
        <v>4</v>
      </c>
      <c r="D91" s="672" t="s">
        <v>5</v>
      </c>
    </row>
    <row r="92" spans="1:4" x14ac:dyDescent="0.2">
      <c r="A92" s="672" t="str">
        <f t="shared" si="1"/>
        <v>151</v>
      </c>
      <c r="B92" s="672">
        <v>15129</v>
      </c>
      <c r="C92" s="673" t="s">
        <v>4</v>
      </c>
      <c r="D92" s="672" t="s">
        <v>5</v>
      </c>
    </row>
    <row r="93" spans="1:4" x14ac:dyDescent="0.2">
      <c r="A93" s="672" t="str">
        <f t="shared" si="1"/>
        <v>151</v>
      </c>
      <c r="B93" s="672">
        <v>15130</v>
      </c>
      <c r="C93" s="673" t="s">
        <v>4</v>
      </c>
      <c r="D93" s="672" t="s">
        <v>5</v>
      </c>
    </row>
    <row r="94" spans="1:4" x14ac:dyDescent="0.2">
      <c r="A94" s="672" t="str">
        <f t="shared" si="1"/>
        <v>151</v>
      </c>
      <c r="B94" s="672">
        <v>15131</v>
      </c>
      <c r="C94" s="673" t="s">
        <v>4</v>
      </c>
      <c r="D94" s="672" t="s">
        <v>5</v>
      </c>
    </row>
    <row r="95" spans="1:4" x14ac:dyDescent="0.2">
      <c r="A95" s="672" t="str">
        <f t="shared" si="1"/>
        <v>151</v>
      </c>
      <c r="B95" s="672">
        <v>15132</v>
      </c>
      <c r="C95" s="673" t="s">
        <v>4</v>
      </c>
      <c r="D95" s="672" t="s">
        <v>5</v>
      </c>
    </row>
    <row r="96" spans="1:4" x14ac:dyDescent="0.2">
      <c r="A96" s="672" t="str">
        <f t="shared" si="1"/>
        <v>151</v>
      </c>
      <c r="B96" s="672">
        <v>15133</v>
      </c>
      <c r="C96" s="673" t="s">
        <v>4</v>
      </c>
      <c r="D96" s="672" t="s">
        <v>5</v>
      </c>
    </row>
    <row r="97" spans="1:4" x14ac:dyDescent="0.2">
      <c r="A97" s="672" t="str">
        <f t="shared" si="1"/>
        <v>151</v>
      </c>
      <c r="B97" s="672">
        <v>15134</v>
      </c>
      <c r="C97" s="673" t="s">
        <v>4</v>
      </c>
      <c r="D97" s="672" t="s">
        <v>5</v>
      </c>
    </row>
    <row r="98" spans="1:4" x14ac:dyDescent="0.2">
      <c r="A98" s="672" t="str">
        <f t="shared" si="1"/>
        <v>151</v>
      </c>
      <c r="B98" s="672">
        <v>15135</v>
      </c>
      <c r="C98" s="673" t="s">
        <v>4</v>
      </c>
      <c r="D98" s="672" t="s">
        <v>5</v>
      </c>
    </row>
    <row r="99" spans="1:4" x14ac:dyDescent="0.2">
      <c r="A99" s="672" t="str">
        <f t="shared" si="1"/>
        <v>151</v>
      </c>
      <c r="B99" s="672">
        <v>15136</v>
      </c>
      <c r="C99" s="673" t="s">
        <v>4</v>
      </c>
      <c r="D99" s="672" t="s">
        <v>5</v>
      </c>
    </row>
    <row r="100" spans="1:4" x14ac:dyDescent="0.2">
      <c r="A100" s="672" t="str">
        <f t="shared" si="1"/>
        <v>151</v>
      </c>
      <c r="B100" s="672">
        <v>15137</v>
      </c>
      <c r="C100" s="673" t="s">
        <v>4</v>
      </c>
      <c r="D100" s="672" t="s">
        <v>5</v>
      </c>
    </row>
    <row r="101" spans="1:4" x14ac:dyDescent="0.2">
      <c r="A101" s="672" t="str">
        <f t="shared" si="1"/>
        <v>151</v>
      </c>
      <c r="B101" s="672">
        <v>15139</v>
      </c>
      <c r="C101" s="673" t="s">
        <v>4</v>
      </c>
      <c r="D101" s="672" t="s">
        <v>5</v>
      </c>
    </row>
    <row r="102" spans="1:4" x14ac:dyDescent="0.2">
      <c r="A102" s="672" t="str">
        <f t="shared" si="1"/>
        <v>151</v>
      </c>
      <c r="B102" s="672">
        <v>15140</v>
      </c>
      <c r="C102" s="673" t="s">
        <v>4</v>
      </c>
      <c r="D102" s="672" t="s">
        <v>5</v>
      </c>
    </row>
    <row r="103" spans="1:4" x14ac:dyDescent="0.2">
      <c r="A103" s="672" t="str">
        <f t="shared" si="1"/>
        <v>151</v>
      </c>
      <c r="B103" s="672">
        <v>15142</v>
      </c>
      <c r="C103" s="673" t="s">
        <v>4</v>
      </c>
      <c r="D103" s="672" t="s">
        <v>5</v>
      </c>
    </row>
    <row r="104" spans="1:4" x14ac:dyDescent="0.2">
      <c r="A104" s="672" t="str">
        <f t="shared" si="1"/>
        <v>151</v>
      </c>
      <c r="B104" s="672">
        <v>15143</v>
      </c>
      <c r="C104" s="673" t="s">
        <v>4</v>
      </c>
      <c r="D104" s="672" t="s">
        <v>5</v>
      </c>
    </row>
    <row r="105" spans="1:4" x14ac:dyDescent="0.2">
      <c r="A105" s="672" t="str">
        <f t="shared" si="1"/>
        <v>151</v>
      </c>
      <c r="B105" s="672">
        <v>15144</v>
      </c>
      <c r="C105" s="673" t="s">
        <v>4</v>
      </c>
      <c r="D105" s="672" t="s">
        <v>5</v>
      </c>
    </row>
    <row r="106" spans="1:4" x14ac:dyDescent="0.2">
      <c r="A106" s="672" t="str">
        <f t="shared" si="1"/>
        <v>151</v>
      </c>
      <c r="B106" s="672">
        <v>15145</v>
      </c>
      <c r="C106" s="673" t="s">
        <v>4</v>
      </c>
      <c r="D106" s="672" t="s">
        <v>5</v>
      </c>
    </row>
    <row r="107" spans="1:4" x14ac:dyDescent="0.2">
      <c r="A107" s="672" t="str">
        <f t="shared" si="1"/>
        <v>151</v>
      </c>
      <c r="B107" s="672">
        <v>15146</v>
      </c>
      <c r="C107" s="673" t="s">
        <v>4</v>
      </c>
      <c r="D107" s="672" t="s">
        <v>5</v>
      </c>
    </row>
    <row r="108" spans="1:4" x14ac:dyDescent="0.2">
      <c r="A108" s="672" t="str">
        <f t="shared" si="1"/>
        <v>151</v>
      </c>
      <c r="B108" s="672">
        <v>15147</v>
      </c>
      <c r="C108" s="673" t="s">
        <v>4</v>
      </c>
      <c r="D108" s="672" t="s">
        <v>5</v>
      </c>
    </row>
    <row r="109" spans="1:4" x14ac:dyDescent="0.2">
      <c r="A109" s="672" t="str">
        <f t="shared" si="1"/>
        <v>151</v>
      </c>
      <c r="B109" s="672">
        <v>15148</v>
      </c>
      <c r="C109" s="673" t="s">
        <v>4</v>
      </c>
      <c r="D109" s="672" t="s">
        <v>5</v>
      </c>
    </row>
    <row r="110" spans="1:4" x14ac:dyDescent="0.2">
      <c r="A110" s="672" t="str">
        <f t="shared" si="1"/>
        <v>151</v>
      </c>
      <c r="B110" s="672">
        <v>15189</v>
      </c>
      <c r="C110" s="673" t="s">
        <v>4</v>
      </c>
      <c r="D110" s="672" t="s">
        <v>5</v>
      </c>
    </row>
    <row r="111" spans="1:4" x14ac:dyDescent="0.2">
      <c r="A111" s="672" t="str">
        <f t="shared" si="1"/>
        <v>152</v>
      </c>
      <c r="B111" s="672">
        <v>15201</v>
      </c>
      <c r="C111" s="673" t="s">
        <v>4</v>
      </c>
      <c r="D111" s="672" t="s">
        <v>5</v>
      </c>
    </row>
    <row r="112" spans="1:4" x14ac:dyDescent="0.2">
      <c r="A112" s="672" t="str">
        <f t="shared" si="1"/>
        <v>152</v>
      </c>
      <c r="B112" s="672">
        <v>15202</v>
      </c>
      <c r="C112" s="673" t="s">
        <v>4</v>
      </c>
      <c r="D112" s="672" t="s">
        <v>5</v>
      </c>
    </row>
    <row r="113" spans="1:4" x14ac:dyDescent="0.2">
      <c r="A113" s="672" t="str">
        <f t="shared" si="1"/>
        <v>152</v>
      </c>
      <c r="B113" s="672">
        <v>15203</v>
      </c>
      <c r="C113" s="673" t="s">
        <v>4</v>
      </c>
      <c r="D113" s="672" t="s">
        <v>5</v>
      </c>
    </row>
    <row r="114" spans="1:4" x14ac:dyDescent="0.2">
      <c r="A114" s="672" t="str">
        <f t="shared" si="1"/>
        <v>152</v>
      </c>
      <c r="B114" s="672">
        <v>15204</v>
      </c>
      <c r="C114" s="673" t="s">
        <v>4</v>
      </c>
      <c r="D114" s="672" t="s">
        <v>5</v>
      </c>
    </row>
    <row r="115" spans="1:4" x14ac:dyDescent="0.2">
      <c r="A115" s="672" t="str">
        <f t="shared" si="1"/>
        <v>152</v>
      </c>
      <c r="B115" s="672">
        <v>15205</v>
      </c>
      <c r="C115" s="673" t="s">
        <v>4</v>
      </c>
      <c r="D115" s="672" t="s">
        <v>5</v>
      </c>
    </row>
    <row r="116" spans="1:4" x14ac:dyDescent="0.2">
      <c r="A116" s="672" t="str">
        <f t="shared" si="1"/>
        <v>152</v>
      </c>
      <c r="B116" s="672">
        <v>15206</v>
      </c>
      <c r="C116" s="673" t="s">
        <v>4</v>
      </c>
      <c r="D116" s="672" t="s">
        <v>5</v>
      </c>
    </row>
    <row r="117" spans="1:4" x14ac:dyDescent="0.2">
      <c r="A117" s="672" t="str">
        <f t="shared" si="1"/>
        <v>152</v>
      </c>
      <c r="B117" s="672">
        <v>15207</v>
      </c>
      <c r="C117" s="673" t="s">
        <v>4</v>
      </c>
      <c r="D117" s="672" t="s">
        <v>5</v>
      </c>
    </row>
    <row r="118" spans="1:4" x14ac:dyDescent="0.2">
      <c r="A118" s="672" t="str">
        <f t="shared" si="1"/>
        <v>152</v>
      </c>
      <c r="B118" s="672">
        <v>15208</v>
      </c>
      <c r="C118" s="673" t="s">
        <v>4</v>
      </c>
      <c r="D118" s="672" t="s">
        <v>5</v>
      </c>
    </row>
    <row r="119" spans="1:4" x14ac:dyDescent="0.2">
      <c r="A119" s="672" t="str">
        <f t="shared" si="1"/>
        <v>152</v>
      </c>
      <c r="B119" s="672">
        <v>15209</v>
      </c>
      <c r="C119" s="673" t="s">
        <v>4</v>
      </c>
      <c r="D119" s="672" t="s">
        <v>5</v>
      </c>
    </row>
    <row r="120" spans="1:4" x14ac:dyDescent="0.2">
      <c r="A120" s="672" t="str">
        <f t="shared" si="1"/>
        <v>152</v>
      </c>
      <c r="B120" s="672">
        <v>15210</v>
      </c>
      <c r="C120" s="673" t="s">
        <v>4</v>
      </c>
      <c r="D120" s="672" t="s">
        <v>5</v>
      </c>
    </row>
    <row r="121" spans="1:4" x14ac:dyDescent="0.2">
      <c r="A121" s="672" t="str">
        <f t="shared" si="1"/>
        <v>152</v>
      </c>
      <c r="B121" s="672">
        <v>15211</v>
      </c>
      <c r="C121" s="673" t="s">
        <v>4</v>
      </c>
      <c r="D121" s="672" t="s">
        <v>5</v>
      </c>
    </row>
    <row r="122" spans="1:4" x14ac:dyDescent="0.2">
      <c r="A122" s="672" t="str">
        <f t="shared" si="1"/>
        <v>152</v>
      </c>
      <c r="B122" s="672">
        <v>15212</v>
      </c>
      <c r="C122" s="673" t="s">
        <v>4</v>
      </c>
      <c r="D122" s="672" t="s">
        <v>5</v>
      </c>
    </row>
    <row r="123" spans="1:4" x14ac:dyDescent="0.2">
      <c r="A123" s="672" t="str">
        <f t="shared" si="1"/>
        <v>152</v>
      </c>
      <c r="B123" s="672">
        <v>15213</v>
      </c>
      <c r="C123" s="673" t="s">
        <v>4</v>
      </c>
      <c r="D123" s="672" t="s">
        <v>5</v>
      </c>
    </row>
    <row r="124" spans="1:4" x14ac:dyDescent="0.2">
      <c r="A124" s="672" t="str">
        <f t="shared" si="1"/>
        <v>152</v>
      </c>
      <c r="B124" s="672">
        <v>15214</v>
      </c>
      <c r="C124" s="673" t="s">
        <v>4</v>
      </c>
      <c r="D124" s="672" t="s">
        <v>5</v>
      </c>
    </row>
    <row r="125" spans="1:4" x14ac:dyDescent="0.2">
      <c r="A125" s="672" t="str">
        <f t="shared" si="1"/>
        <v>152</v>
      </c>
      <c r="B125" s="672">
        <v>15215</v>
      </c>
      <c r="C125" s="673" t="s">
        <v>4</v>
      </c>
      <c r="D125" s="672" t="s">
        <v>5</v>
      </c>
    </row>
    <row r="126" spans="1:4" x14ac:dyDescent="0.2">
      <c r="A126" s="672" t="str">
        <f t="shared" si="1"/>
        <v>152</v>
      </c>
      <c r="B126" s="672">
        <v>15216</v>
      </c>
      <c r="C126" s="673" t="s">
        <v>4</v>
      </c>
      <c r="D126" s="672" t="s">
        <v>5</v>
      </c>
    </row>
    <row r="127" spans="1:4" x14ac:dyDescent="0.2">
      <c r="A127" s="672" t="str">
        <f t="shared" si="1"/>
        <v>152</v>
      </c>
      <c r="B127" s="672">
        <v>15217</v>
      </c>
      <c r="C127" s="673" t="s">
        <v>4</v>
      </c>
      <c r="D127" s="672" t="s">
        <v>5</v>
      </c>
    </row>
    <row r="128" spans="1:4" x14ac:dyDescent="0.2">
      <c r="A128" s="672" t="str">
        <f t="shared" si="1"/>
        <v>152</v>
      </c>
      <c r="B128" s="672">
        <v>15218</v>
      </c>
      <c r="C128" s="673" t="s">
        <v>4</v>
      </c>
      <c r="D128" s="672" t="s">
        <v>5</v>
      </c>
    </row>
    <row r="129" spans="1:4" x14ac:dyDescent="0.2">
      <c r="A129" s="672" t="str">
        <f t="shared" si="1"/>
        <v>152</v>
      </c>
      <c r="B129" s="672">
        <v>15219</v>
      </c>
      <c r="C129" s="673" t="s">
        <v>4</v>
      </c>
      <c r="D129" s="672" t="s">
        <v>5</v>
      </c>
    </row>
    <row r="130" spans="1:4" x14ac:dyDescent="0.2">
      <c r="A130" s="672" t="str">
        <f t="shared" ref="A130:A193" si="2">LEFT(B130,3)</f>
        <v>152</v>
      </c>
      <c r="B130" s="672">
        <v>15220</v>
      </c>
      <c r="C130" s="673" t="s">
        <v>4</v>
      </c>
      <c r="D130" s="672" t="s">
        <v>5</v>
      </c>
    </row>
    <row r="131" spans="1:4" x14ac:dyDescent="0.2">
      <c r="A131" s="672" t="str">
        <f t="shared" si="2"/>
        <v>152</v>
      </c>
      <c r="B131" s="672">
        <v>15221</v>
      </c>
      <c r="C131" s="673" t="s">
        <v>4</v>
      </c>
      <c r="D131" s="672" t="s">
        <v>5</v>
      </c>
    </row>
    <row r="132" spans="1:4" x14ac:dyDescent="0.2">
      <c r="A132" s="672" t="str">
        <f t="shared" si="2"/>
        <v>152</v>
      </c>
      <c r="B132" s="672">
        <v>15222</v>
      </c>
      <c r="C132" s="673" t="s">
        <v>4</v>
      </c>
      <c r="D132" s="672" t="s">
        <v>5</v>
      </c>
    </row>
    <row r="133" spans="1:4" x14ac:dyDescent="0.2">
      <c r="A133" s="672" t="str">
        <f t="shared" si="2"/>
        <v>152</v>
      </c>
      <c r="B133" s="672">
        <v>15223</v>
      </c>
      <c r="C133" s="673" t="s">
        <v>4</v>
      </c>
      <c r="D133" s="672" t="s">
        <v>5</v>
      </c>
    </row>
    <row r="134" spans="1:4" x14ac:dyDescent="0.2">
      <c r="A134" s="672" t="str">
        <f t="shared" si="2"/>
        <v>152</v>
      </c>
      <c r="B134" s="672">
        <v>15224</v>
      </c>
      <c r="C134" s="673" t="s">
        <v>4</v>
      </c>
      <c r="D134" s="672" t="s">
        <v>5</v>
      </c>
    </row>
    <row r="135" spans="1:4" x14ac:dyDescent="0.2">
      <c r="A135" s="672" t="str">
        <f t="shared" si="2"/>
        <v>152</v>
      </c>
      <c r="B135" s="672">
        <v>15225</v>
      </c>
      <c r="C135" s="673" t="s">
        <v>4</v>
      </c>
      <c r="D135" s="672" t="s">
        <v>5</v>
      </c>
    </row>
    <row r="136" spans="1:4" x14ac:dyDescent="0.2">
      <c r="A136" s="672" t="str">
        <f t="shared" si="2"/>
        <v>152</v>
      </c>
      <c r="B136" s="672">
        <v>15226</v>
      </c>
      <c r="C136" s="673" t="s">
        <v>4</v>
      </c>
      <c r="D136" s="672" t="s">
        <v>5</v>
      </c>
    </row>
    <row r="137" spans="1:4" x14ac:dyDescent="0.2">
      <c r="A137" s="672" t="str">
        <f t="shared" si="2"/>
        <v>152</v>
      </c>
      <c r="B137" s="672">
        <v>15227</v>
      </c>
      <c r="C137" s="673" t="s">
        <v>4</v>
      </c>
      <c r="D137" s="672" t="s">
        <v>5</v>
      </c>
    </row>
    <row r="138" spans="1:4" x14ac:dyDescent="0.2">
      <c r="A138" s="672" t="str">
        <f t="shared" si="2"/>
        <v>152</v>
      </c>
      <c r="B138" s="672">
        <v>15228</v>
      </c>
      <c r="C138" s="673" t="s">
        <v>4</v>
      </c>
      <c r="D138" s="672" t="s">
        <v>5</v>
      </c>
    </row>
    <row r="139" spans="1:4" x14ac:dyDescent="0.2">
      <c r="A139" s="672" t="str">
        <f t="shared" si="2"/>
        <v>152</v>
      </c>
      <c r="B139" s="672">
        <v>15229</v>
      </c>
      <c r="C139" s="673" t="s">
        <v>4</v>
      </c>
      <c r="D139" s="672" t="s">
        <v>5</v>
      </c>
    </row>
    <row r="140" spans="1:4" x14ac:dyDescent="0.2">
      <c r="A140" s="672" t="str">
        <f t="shared" si="2"/>
        <v>152</v>
      </c>
      <c r="B140" s="672">
        <v>15230</v>
      </c>
      <c r="C140" s="673" t="s">
        <v>4</v>
      </c>
      <c r="D140" s="672" t="s">
        <v>5</v>
      </c>
    </row>
    <row r="141" spans="1:4" x14ac:dyDescent="0.2">
      <c r="A141" s="672" t="str">
        <f t="shared" si="2"/>
        <v>152</v>
      </c>
      <c r="B141" s="672">
        <v>15231</v>
      </c>
      <c r="C141" s="673" t="s">
        <v>4</v>
      </c>
      <c r="D141" s="672" t="s">
        <v>5</v>
      </c>
    </row>
    <row r="142" spans="1:4" x14ac:dyDescent="0.2">
      <c r="A142" s="672" t="str">
        <f t="shared" si="2"/>
        <v>152</v>
      </c>
      <c r="B142" s="672">
        <v>15232</v>
      </c>
      <c r="C142" s="673" t="s">
        <v>4</v>
      </c>
      <c r="D142" s="672" t="s">
        <v>5</v>
      </c>
    </row>
    <row r="143" spans="1:4" x14ac:dyDescent="0.2">
      <c r="A143" s="672" t="str">
        <f t="shared" si="2"/>
        <v>152</v>
      </c>
      <c r="B143" s="672">
        <v>15233</v>
      </c>
      <c r="C143" s="673" t="s">
        <v>4</v>
      </c>
      <c r="D143" s="672" t="s">
        <v>5</v>
      </c>
    </row>
    <row r="144" spans="1:4" x14ac:dyDescent="0.2">
      <c r="A144" s="672" t="str">
        <f t="shared" si="2"/>
        <v>152</v>
      </c>
      <c r="B144" s="672">
        <v>15234</v>
      </c>
      <c r="C144" s="673" t="s">
        <v>4</v>
      </c>
      <c r="D144" s="672" t="s">
        <v>5</v>
      </c>
    </row>
    <row r="145" spans="1:4" x14ac:dyDescent="0.2">
      <c r="A145" s="672" t="str">
        <f t="shared" si="2"/>
        <v>152</v>
      </c>
      <c r="B145" s="672">
        <v>15235</v>
      </c>
      <c r="C145" s="673" t="s">
        <v>4</v>
      </c>
      <c r="D145" s="672" t="s">
        <v>5</v>
      </c>
    </row>
    <row r="146" spans="1:4" x14ac:dyDescent="0.2">
      <c r="A146" s="672" t="str">
        <f t="shared" si="2"/>
        <v>152</v>
      </c>
      <c r="B146" s="672">
        <v>15236</v>
      </c>
      <c r="C146" s="673" t="s">
        <v>4</v>
      </c>
      <c r="D146" s="672" t="s">
        <v>5</v>
      </c>
    </row>
    <row r="147" spans="1:4" x14ac:dyDescent="0.2">
      <c r="A147" s="672" t="str">
        <f t="shared" si="2"/>
        <v>152</v>
      </c>
      <c r="B147" s="672">
        <v>15237</v>
      </c>
      <c r="C147" s="673" t="s">
        <v>4</v>
      </c>
      <c r="D147" s="672" t="s">
        <v>5</v>
      </c>
    </row>
    <row r="148" spans="1:4" x14ac:dyDescent="0.2">
      <c r="A148" s="672" t="str">
        <f t="shared" si="2"/>
        <v>152</v>
      </c>
      <c r="B148" s="672">
        <v>15238</v>
      </c>
      <c r="C148" s="673" t="s">
        <v>4</v>
      </c>
      <c r="D148" s="672" t="s">
        <v>5</v>
      </c>
    </row>
    <row r="149" spans="1:4" x14ac:dyDescent="0.2">
      <c r="A149" s="672" t="str">
        <f t="shared" si="2"/>
        <v>152</v>
      </c>
      <c r="B149" s="672">
        <v>15239</v>
      </c>
      <c r="C149" s="673" t="s">
        <v>4</v>
      </c>
      <c r="D149" s="672" t="s">
        <v>5</v>
      </c>
    </row>
    <row r="150" spans="1:4" x14ac:dyDescent="0.2">
      <c r="A150" s="672" t="str">
        <f t="shared" si="2"/>
        <v>152</v>
      </c>
      <c r="B150" s="672">
        <v>15240</v>
      </c>
      <c r="C150" s="673" t="s">
        <v>4</v>
      </c>
      <c r="D150" s="672" t="s">
        <v>5</v>
      </c>
    </row>
    <row r="151" spans="1:4" x14ac:dyDescent="0.2">
      <c r="A151" s="672" t="str">
        <f t="shared" si="2"/>
        <v>152</v>
      </c>
      <c r="B151" s="672">
        <v>15241</v>
      </c>
      <c r="C151" s="673" t="s">
        <v>4</v>
      </c>
      <c r="D151" s="672" t="s">
        <v>5</v>
      </c>
    </row>
    <row r="152" spans="1:4" x14ac:dyDescent="0.2">
      <c r="A152" s="672" t="str">
        <f t="shared" si="2"/>
        <v>152</v>
      </c>
      <c r="B152" s="672">
        <v>15242</v>
      </c>
      <c r="C152" s="673" t="s">
        <v>4</v>
      </c>
      <c r="D152" s="672" t="s">
        <v>5</v>
      </c>
    </row>
    <row r="153" spans="1:4" x14ac:dyDescent="0.2">
      <c r="A153" s="672" t="str">
        <f t="shared" si="2"/>
        <v>152</v>
      </c>
      <c r="B153" s="672">
        <v>15243</v>
      </c>
      <c r="C153" s="673" t="s">
        <v>4</v>
      </c>
      <c r="D153" s="672" t="s">
        <v>5</v>
      </c>
    </row>
    <row r="154" spans="1:4" x14ac:dyDescent="0.2">
      <c r="A154" s="672" t="str">
        <f t="shared" si="2"/>
        <v>152</v>
      </c>
      <c r="B154" s="672">
        <v>15244</v>
      </c>
      <c r="C154" s="673" t="s">
        <v>4</v>
      </c>
      <c r="D154" s="672" t="s">
        <v>5</v>
      </c>
    </row>
    <row r="155" spans="1:4" x14ac:dyDescent="0.2">
      <c r="A155" s="672" t="str">
        <f t="shared" si="2"/>
        <v>152</v>
      </c>
      <c r="B155" s="672">
        <v>15250</v>
      </c>
      <c r="C155" s="673" t="s">
        <v>4</v>
      </c>
      <c r="D155" s="672" t="s">
        <v>5</v>
      </c>
    </row>
    <row r="156" spans="1:4" x14ac:dyDescent="0.2">
      <c r="A156" s="672" t="str">
        <f t="shared" si="2"/>
        <v>152</v>
      </c>
      <c r="B156" s="672">
        <v>15251</v>
      </c>
      <c r="C156" s="673" t="s">
        <v>4</v>
      </c>
      <c r="D156" s="672" t="s">
        <v>5</v>
      </c>
    </row>
    <row r="157" spans="1:4" x14ac:dyDescent="0.2">
      <c r="A157" s="672" t="str">
        <f t="shared" si="2"/>
        <v>152</v>
      </c>
      <c r="B157" s="672">
        <v>15252</v>
      </c>
      <c r="C157" s="673" t="s">
        <v>4</v>
      </c>
      <c r="D157" s="672" t="s">
        <v>5</v>
      </c>
    </row>
    <row r="158" spans="1:4" x14ac:dyDescent="0.2">
      <c r="A158" s="672" t="str">
        <f t="shared" si="2"/>
        <v>152</v>
      </c>
      <c r="B158" s="672">
        <v>15253</v>
      </c>
      <c r="C158" s="673" t="s">
        <v>4</v>
      </c>
      <c r="D158" s="672" t="s">
        <v>5</v>
      </c>
    </row>
    <row r="159" spans="1:4" x14ac:dyDescent="0.2">
      <c r="A159" s="672" t="str">
        <f t="shared" si="2"/>
        <v>152</v>
      </c>
      <c r="B159" s="672">
        <v>15254</v>
      </c>
      <c r="C159" s="673" t="s">
        <v>4</v>
      </c>
      <c r="D159" s="672" t="s">
        <v>5</v>
      </c>
    </row>
    <row r="160" spans="1:4" x14ac:dyDescent="0.2">
      <c r="A160" s="672" t="str">
        <f t="shared" si="2"/>
        <v>152</v>
      </c>
      <c r="B160" s="672">
        <v>15255</v>
      </c>
      <c r="C160" s="673" t="s">
        <v>4</v>
      </c>
      <c r="D160" s="672" t="s">
        <v>5</v>
      </c>
    </row>
    <row r="161" spans="1:4" x14ac:dyDescent="0.2">
      <c r="A161" s="672" t="str">
        <f t="shared" si="2"/>
        <v>152</v>
      </c>
      <c r="B161" s="672">
        <v>15257</v>
      </c>
      <c r="C161" s="673" t="s">
        <v>4</v>
      </c>
      <c r="D161" s="672" t="s">
        <v>5</v>
      </c>
    </row>
    <row r="162" spans="1:4" x14ac:dyDescent="0.2">
      <c r="A162" s="672" t="str">
        <f t="shared" si="2"/>
        <v>152</v>
      </c>
      <c r="B162" s="672">
        <v>15258</v>
      </c>
      <c r="C162" s="673" t="s">
        <v>4</v>
      </c>
      <c r="D162" s="672" t="s">
        <v>5</v>
      </c>
    </row>
    <row r="163" spans="1:4" x14ac:dyDescent="0.2">
      <c r="A163" s="672" t="str">
        <f t="shared" si="2"/>
        <v>152</v>
      </c>
      <c r="B163" s="672">
        <v>15259</v>
      </c>
      <c r="C163" s="673" t="s">
        <v>4</v>
      </c>
      <c r="D163" s="672" t="s">
        <v>5</v>
      </c>
    </row>
    <row r="164" spans="1:4" x14ac:dyDescent="0.2">
      <c r="A164" s="672" t="str">
        <f t="shared" si="2"/>
        <v>152</v>
      </c>
      <c r="B164" s="672">
        <v>15260</v>
      </c>
      <c r="C164" s="673" t="s">
        <v>4</v>
      </c>
      <c r="D164" s="672" t="s">
        <v>5</v>
      </c>
    </row>
    <row r="165" spans="1:4" x14ac:dyDescent="0.2">
      <c r="A165" s="672" t="str">
        <f t="shared" si="2"/>
        <v>152</v>
      </c>
      <c r="B165" s="672">
        <v>15261</v>
      </c>
      <c r="C165" s="673" t="s">
        <v>4</v>
      </c>
      <c r="D165" s="672" t="s">
        <v>5</v>
      </c>
    </row>
    <row r="166" spans="1:4" x14ac:dyDescent="0.2">
      <c r="A166" s="672" t="str">
        <f t="shared" si="2"/>
        <v>152</v>
      </c>
      <c r="B166" s="672">
        <v>15262</v>
      </c>
      <c r="C166" s="673" t="s">
        <v>4</v>
      </c>
      <c r="D166" s="672" t="s">
        <v>5</v>
      </c>
    </row>
    <row r="167" spans="1:4" x14ac:dyDescent="0.2">
      <c r="A167" s="672" t="str">
        <f t="shared" si="2"/>
        <v>152</v>
      </c>
      <c r="B167" s="672">
        <v>15263</v>
      </c>
      <c r="C167" s="673" t="s">
        <v>4</v>
      </c>
      <c r="D167" s="672" t="s">
        <v>5</v>
      </c>
    </row>
    <row r="168" spans="1:4" x14ac:dyDescent="0.2">
      <c r="A168" s="672" t="str">
        <f t="shared" si="2"/>
        <v>152</v>
      </c>
      <c r="B168" s="672">
        <v>15264</v>
      </c>
      <c r="C168" s="673" t="s">
        <v>4</v>
      </c>
      <c r="D168" s="672" t="s">
        <v>5</v>
      </c>
    </row>
    <row r="169" spans="1:4" x14ac:dyDescent="0.2">
      <c r="A169" s="672" t="str">
        <f t="shared" si="2"/>
        <v>152</v>
      </c>
      <c r="B169" s="672">
        <v>15265</v>
      </c>
      <c r="C169" s="673" t="s">
        <v>4</v>
      </c>
      <c r="D169" s="672" t="s">
        <v>5</v>
      </c>
    </row>
    <row r="170" spans="1:4" x14ac:dyDescent="0.2">
      <c r="A170" s="672" t="str">
        <f t="shared" si="2"/>
        <v>152</v>
      </c>
      <c r="B170" s="672">
        <v>15266</v>
      </c>
      <c r="C170" s="673" t="s">
        <v>4</v>
      </c>
      <c r="D170" s="672" t="s">
        <v>5</v>
      </c>
    </row>
    <row r="171" spans="1:4" x14ac:dyDescent="0.2">
      <c r="A171" s="672" t="str">
        <f t="shared" si="2"/>
        <v>152</v>
      </c>
      <c r="B171" s="672">
        <v>15267</v>
      </c>
      <c r="C171" s="673" t="s">
        <v>4</v>
      </c>
      <c r="D171" s="672" t="s">
        <v>5</v>
      </c>
    </row>
    <row r="172" spans="1:4" x14ac:dyDescent="0.2">
      <c r="A172" s="672" t="str">
        <f t="shared" si="2"/>
        <v>152</v>
      </c>
      <c r="B172" s="672">
        <v>15268</v>
      </c>
      <c r="C172" s="673" t="s">
        <v>4</v>
      </c>
      <c r="D172" s="672" t="s">
        <v>5</v>
      </c>
    </row>
    <row r="173" spans="1:4" x14ac:dyDescent="0.2">
      <c r="A173" s="672" t="str">
        <f t="shared" si="2"/>
        <v>152</v>
      </c>
      <c r="B173" s="672">
        <v>15270</v>
      </c>
      <c r="C173" s="673" t="s">
        <v>4</v>
      </c>
      <c r="D173" s="672" t="s">
        <v>5</v>
      </c>
    </row>
    <row r="174" spans="1:4" x14ac:dyDescent="0.2">
      <c r="A174" s="672" t="str">
        <f t="shared" si="2"/>
        <v>152</v>
      </c>
      <c r="B174" s="672">
        <v>15272</v>
      </c>
      <c r="C174" s="673" t="s">
        <v>4</v>
      </c>
      <c r="D174" s="672" t="s">
        <v>5</v>
      </c>
    </row>
    <row r="175" spans="1:4" x14ac:dyDescent="0.2">
      <c r="A175" s="672" t="str">
        <f t="shared" si="2"/>
        <v>152</v>
      </c>
      <c r="B175" s="672">
        <v>15274</v>
      </c>
      <c r="C175" s="673" t="s">
        <v>4</v>
      </c>
      <c r="D175" s="672" t="s">
        <v>5</v>
      </c>
    </row>
    <row r="176" spans="1:4" x14ac:dyDescent="0.2">
      <c r="A176" s="672" t="str">
        <f t="shared" si="2"/>
        <v>152</v>
      </c>
      <c r="B176" s="672">
        <v>15275</v>
      </c>
      <c r="C176" s="673" t="s">
        <v>4</v>
      </c>
      <c r="D176" s="672" t="s">
        <v>5</v>
      </c>
    </row>
    <row r="177" spans="1:4" x14ac:dyDescent="0.2">
      <c r="A177" s="672" t="str">
        <f t="shared" si="2"/>
        <v>152</v>
      </c>
      <c r="B177" s="672">
        <v>15276</v>
      </c>
      <c r="C177" s="673" t="s">
        <v>4</v>
      </c>
      <c r="D177" s="672" t="s">
        <v>5</v>
      </c>
    </row>
    <row r="178" spans="1:4" x14ac:dyDescent="0.2">
      <c r="A178" s="672" t="str">
        <f t="shared" si="2"/>
        <v>152</v>
      </c>
      <c r="B178" s="672">
        <v>15277</v>
      </c>
      <c r="C178" s="673" t="s">
        <v>4</v>
      </c>
      <c r="D178" s="672" t="s">
        <v>5</v>
      </c>
    </row>
    <row r="179" spans="1:4" x14ac:dyDescent="0.2">
      <c r="A179" s="672" t="str">
        <f t="shared" si="2"/>
        <v>152</v>
      </c>
      <c r="B179" s="672">
        <v>15278</v>
      </c>
      <c r="C179" s="673" t="s">
        <v>4</v>
      </c>
      <c r="D179" s="672" t="s">
        <v>5</v>
      </c>
    </row>
    <row r="180" spans="1:4" x14ac:dyDescent="0.2">
      <c r="A180" s="672" t="str">
        <f t="shared" si="2"/>
        <v>152</v>
      </c>
      <c r="B180" s="672">
        <v>15279</v>
      </c>
      <c r="C180" s="673" t="s">
        <v>4</v>
      </c>
      <c r="D180" s="672" t="s">
        <v>5</v>
      </c>
    </row>
    <row r="181" spans="1:4" x14ac:dyDescent="0.2">
      <c r="A181" s="672" t="str">
        <f t="shared" si="2"/>
        <v>152</v>
      </c>
      <c r="B181" s="672">
        <v>15281</v>
      </c>
      <c r="C181" s="673" t="s">
        <v>4</v>
      </c>
      <c r="D181" s="672" t="s">
        <v>5</v>
      </c>
    </row>
    <row r="182" spans="1:4" x14ac:dyDescent="0.2">
      <c r="A182" s="672" t="str">
        <f t="shared" si="2"/>
        <v>152</v>
      </c>
      <c r="B182" s="672">
        <v>15282</v>
      </c>
      <c r="C182" s="673" t="s">
        <v>4</v>
      </c>
      <c r="D182" s="672" t="s">
        <v>5</v>
      </c>
    </row>
    <row r="183" spans="1:4" x14ac:dyDescent="0.2">
      <c r="A183" s="672" t="str">
        <f t="shared" si="2"/>
        <v>152</v>
      </c>
      <c r="B183" s="672">
        <v>15283</v>
      </c>
      <c r="C183" s="673" t="s">
        <v>4</v>
      </c>
      <c r="D183" s="672" t="s">
        <v>5</v>
      </c>
    </row>
    <row r="184" spans="1:4" x14ac:dyDescent="0.2">
      <c r="A184" s="672" t="str">
        <f t="shared" si="2"/>
        <v>152</v>
      </c>
      <c r="B184" s="672">
        <v>15285</v>
      </c>
      <c r="C184" s="673" t="s">
        <v>4</v>
      </c>
      <c r="D184" s="672" t="s">
        <v>5</v>
      </c>
    </row>
    <row r="185" spans="1:4" x14ac:dyDescent="0.2">
      <c r="A185" s="672" t="str">
        <f t="shared" si="2"/>
        <v>152</v>
      </c>
      <c r="B185" s="672">
        <v>15286</v>
      </c>
      <c r="C185" s="673" t="s">
        <v>4</v>
      </c>
      <c r="D185" s="672" t="s">
        <v>5</v>
      </c>
    </row>
    <row r="186" spans="1:4" x14ac:dyDescent="0.2">
      <c r="A186" s="672" t="str">
        <f t="shared" si="2"/>
        <v>152</v>
      </c>
      <c r="B186" s="672">
        <v>15290</v>
      </c>
      <c r="C186" s="673" t="s">
        <v>4</v>
      </c>
      <c r="D186" s="672" t="s">
        <v>5</v>
      </c>
    </row>
    <row r="187" spans="1:4" x14ac:dyDescent="0.2">
      <c r="A187" s="672" t="str">
        <f t="shared" si="2"/>
        <v>152</v>
      </c>
      <c r="B187" s="672">
        <v>15295</v>
      </c>
      <c r="C187" s="673" t="s">
        <v>4</v>
      </c>
      <c r="D187" s="672" t="s">
        <v>5</v>
      </c>
    </row>
    <row r="188" spans="1:4" x14ac:dyDescent="0.2">
      <c r="A188" s="672" t="str">
        <f t="shared" si="2"/>
        <v>153</v>
      </c>
      <c r="B188" s="672">
        <v>15301</v>
      </c>
      <c r="C188" s="673" t="s">
        <v>4</v>
      </c>
      <c r="D188" s="672" t="s">
        <v>5</v>
      </c>
    </row>
    <row r="189" spans="1:4" x14ac:dyDescent="0.2">
      <c r="A189" s="672" t="str">
        <f t="shared" si="2"/>
        <v>153</v>
      </c>
      <c r="B189" s="672">
        <v>15310</v>
      </c>
      <c r="C189" s="673" t="s">
        <v>4</v>
      </c>
      <c r="D189" s="672" t="s">
        <v>5</v>
      </c>
    </row>
    <row r="190" spans="1:4" x14ac:dyDescent="0.2">
      <c r="A190" s="672" t="str">
        <f t="shared" si="2"/>
        <v>153</v>
      </c>
      <c r="B190" s="672">
        <v>15311</v>
      </c>
      <c r="C190" s="673" t="s">
        <v>4</v>
      </c>
      <c r="D190" s="672" t="s">
        <v>5</v>
      </c>
    </row>
    <row r="191" spans="1:4" x14ac:dyDescent="0.2">
      <c r="A191" s="672" t="str">
        <f t="shared" si="2"/>
        <v>153</v>
      </c>
      <c r="B191" s="672">
        <v>15312</v>
      </c>
      <c r="C191" s="673" t="s">
        <v>4</v>
      </c>
      <c r="D191" s="672" t="s">
        <v>5</v>
      </c>
    </row>
    <row r="192" spans="1:4" x14ac:dyDescent="0.2">
      <c r="A192" s="672" t="str">
        <f t="shared" si="2"/>
        <v>153</v>
      </c>
      <c r="B192" s="672">
        <v>15313</v>
      </c>
      <c r="C192" s="673" t="s">
        <v>4</v>
      </c>
      <c r="D192" s="672" t="s">
        <v>5</v>
      </c>
    </row>
    <row r="193" spans="1:4" x14ac:dyDescent="0.2">
      <c r="A193" s="672" t="str">
        <f t="shared" si="2"/>
        <v>153</v>
      </c>
      <c r="B193" s="672">
        <v>15314</v>
      </c>
      <c r="C193" s="673" t="s">
        <v>4</v>
      </c>
      <c r="D193" s="672" t="s">
        <v>5</v>
      </c>
    </row>
    <row r="194" spans="1:4" x14ac:dyDescent="0.2">
      <c r="A194" s="672" t="str">
        <f t="shared" ref="A194:A257" si="3">LEFT(B194,3)</f>
        <v>153</v>
      </c>
      <c r="B194" s="672">
        <v>15315</v>
      </c>
      <c r="C194" s="673" t="s">
        <v>4</v>
      </c>
      <c r="D194" s="672" t="s">
        <v>5</v>
      </c>
    </row>
    <row r="195" spans="1:4" x14ac:dyDescent="0.2">
      <c r="A195" s="672" t="str">
        <f t="shared" si="3"/>
        <v>153</v>
      </c>
      <c r="B195" s="672">
        <v>15316</v>
      </c>
      <c r="C195" s="673" t="s">
        <v>4</v>
      </c>
      <c r="D195" s="672" t="s">
        <v>5</v>
      </c>
    </row>
    <row r="196" spans="1:4" x14ac:dyDescent="0.2">
      <c r="A196" s="672" t="str">
        <f t="shared" si="3"/>
        <v>153</v>
      </c>
      <c r="B196" s="672">
        <v>15317</v>
      </c>
      <c r="C196" s="673" t="s">
        <v>4</v>
      </c>
      <c r="D196" s="672" t="s">
        <v>5</v>
      </c>
    </row>
    <row r="197" spans="1:4" x14ac:dyDescent="0.2">
      <c r="A197" s="672" t="str">
        <f t="shared" si="3"/>
        <v>153</v>
      </c>
      <c r="B197" s="672">
        <v>15320</v>
      </c>
      <c r="C197" s="673" t="s">
        <v>4</v>
      </c>
      <c r="D197" s="672" t="s">
        <v>5</v>
      </c>
    </row>
    <row r="198" spans="1:4" x14ac:dyDescent="0.2">
      <c r="A198" s="672" t="str">
        <f t="shared" si="3"/>
        <v>153</v>
      </c>
      <c r="B198" s="672">
        <v>15321</v>
      </c>
      <c r="C198" s="673" t="s">
        <v>4</v>
      </c>
      <c r="D198" s="672" t="s">
        <v>5</v>
      </c>
    </row>
    <row r="199" spans="1:4" x14ac:dyDescent="0.2">
      <c r="A199" s="672" t="str">
        <f t="shared" si="3"/>
        <v>153</v>
      </c>
      <c r="B199" s="672">
        <v>15322</v>
      </c>
      <c r="C199" s="673" t="s">
        <v>4</v>
      </c>
      <c r="D199" s="672" t="s">
        <v>5</v>
      </c>
    </row>
    <row r="200" spans="1:4" x14ac:dyDescent="0.2">
      <c r="A200" s="672" t="str">
        <f t="shared" si="3"/>
        <v>153</v>
      </c>
      <c r="B200" s="672">
        <v>15323</v>
      </c>
      <c r="C200" s="673" t="s">
        <v>4</v>
      </c>
      <c r="D200" s="672" t="s">
        <v>5</v>
      </c>
    </row>
    <row r="201" spans="1:4" x14ac:dyDescent="0.2">
      <c r="A201" s="672" t="str">
        <f t="shared" si="3"/>
        <v>153</v>
      </c>
      <c r="B201" s="672">
        <v>15324</v>
      </c>
      <c r="C201" s="673" t="s">
        <v>4</v>
      </c>
      <c r="D201" s="672" t="s">
        <v>5</v>
      </c>
    </row>
    <row r="202" spans="1:4" x14ac:dyDescent="0.2">
      <c r="A202" s="672" t="str">
        <f t="shared" si="3"/>
        <v>153</v>
      </c>
      <c r="B202" s="672">
        <v>15325</v>
      </c>
      <c r="C202" s="673" t="s">
        <v>4</v>
      </c>
      <c r="D202" s="672" t="s">
        <v>5</v>
      </c>
    </row>
    <row r="203" spans="1:4" x14ac:dyDescent="0.2">
      <c r="A203" s="672" t="str">
        <f t="shared" si="3"/>
        <v>153</v>
      </c>
      <c r="B203" s="672">
        <v>15327</v>
      </c>
      <c r="C203" s="673" t="s">
        <v>4</v>
      </c>
      <c r="D203" s="672" t="s">
        <v>5</v>
      </c>
    </row>
    <row r="204" spans="1:4" x14ac:dyDescent="0.2">
      <c r="A204" s="672" t="str">
        <f t="shared" si="3"/>
        <v>153</v>
      </c>
      <c r="B204" s="672">
        <v>15329</v>
      </c>
      <c r="C204" s="673" t="s">
        <v>4</v>
      </c>
      <c r="D204" s="672" t="s">
        <v>5</v>
      </c>
    </row>
    <row r="205" spans="1:4" x14ac:dyDescent="0.2">
      <c r="A205" s="672" t="str">
        <f t="shared" si="3"/>
        <v>153</v>
      </c>
      <c r="B205" s="672">
        <v>15330</v>
      </c>
      <c r="C205" s="673" t="s">
        <v>4</v>
      </c>
      <c r="D205" s="672" t="s">
        <v>5</v>
      </c>
    </row>
    <row r="206" spans="1:4" x14ac:dyDescent="0.2">
      <c r="A206" s="672" t="str">
        <f t="shared" si="3"/>
        <v>153</v>
      </c>
      <c r="B206" s="672">
        <v>15331</v>
      </c>
      <c r="C206" s="673" t="s">
        <v>4</v>
      </c>
      <c r="D206" s="672" t="s">
        <v>5</v>
      </c>
    </row>
    <row r="207" spans="1:4" x14ac:dyDescent="0.2">
      <c r="A207" s="672" t="str">
        <f t="shared" si="3"/>
        <v>153</v>
      </c>
      <c r="B207" s="672">
        <v>15332</v>
      </c>
      <c r="C207" s="673" t="s">
        <v>4</v>
      </c>
      <c r="D207" s="672" t="s">
        <v>5</v>
      </c>
    </row>
    <row r="208" spans="1:4" x14ac:dyDescent="0.2">
      <c r="A208" s="672" t="str">
        <f t="shared" si="3"/>
        <v>153</v>
      </c>
      <c r="B208" s="672">
        <v>15333</v>
      </c>
      <c r="C208" s="673" t="s">
        <v>4</v>
      </c>
      <c r="D208" s="672" t="s">
        <v>5</v>
      </c>
    </row>
    <row r="209" spans="1:4" x14ac:dyDescent="0.2">
      <c r="A209" s="672" t="str">
        <f t="shared" si="3"/>
        <v>153</v>
      </c>
      <c r="B209" s="672">
        <v>15334</v>
      </c>
      <c r="C209" s="673" t="s">
        <v>4</v>
      </c>
      <c r="D209" s="672" t="s">
        <v>5</v>
      </c>
    </row>
    <row r="210" spans="1:4" x14ac:dyDescent="0.2">
      <c r="A210" s="672" t="str">
        <f t="shared" si="3"/>
        <v>153</v>
      </c>
      <c r="B210" s="672">
        <v>15336</v>
      </c>
      <c r="C210" s="673" t="s">
        <v>4</v>
      </c>
      <c r="D210" s="672" t="s">
        <v>5</v>
      </c>
    </row>
    <row r="211" spans="1:4" x14ac:dyDescent="0.2">
      <c r="A211" s="672" t="str">
        <f t="shared" si="3"/>
        <v>153</v>
      </c>
      <c r="B211" s="672">
        <v>15337</v>
      </c>
      <c r="C211" s="673" t="s">
        <v>4</v>
      </c>
      <c r="D211" s="672" t="s">
        <v>5</v>
      </c>
    </row>
    <row r="212" spans="1:4" x14ac:dyDescent="0.2">
      <c r="A212" s="672" t="str">
        <f t="shared" si="3"/>
        <v>153</v>
      </c>
      <c r="B212" s="672">
        <v>15338</v>
      </c>
      <c r="C212" s="673" t="s">
        <v>4</v>
      </c>
      <c r="D212" s="672" t="s">
        <v>5</v>
      </c>
    </row>
    <row r="213" spans="1:4" x14ac:dyDescent="0.2">
      <c r="A213" s="672" t="str">
        <f t="shared" si="3"/>
        <v>153</v>
      </c>
      <c r="B213" s="672">
        <v>15339</v>
      </c>
      <c r="C213" s="673" t="s">
        <v>4</v>
      </c>
      <c r="D213" s="672" t="s">
        <v>5</v>
      </c>
    </row>
    <row r="214" spans="1:4" x14ac:dyDescent="0.2">
      <c r="A214" s="672" t="str">
        <f t="shared" si="3"/>
        <v>153</v>
      </c>
      <c r="B214" s="672">
        <v>15340</v>
      </c>
      <c r="C214" s="673" t="s">
        <v>4</v>
      </c>
      <c r="D214" s="672" t="s">
        <v>5</v>
      </c>
    </row>
    <row r="215" spans="1:4" x14ac:dyDescent="0.2">
      <c r="A215" s="672" t="str">
        <f t="shared" si="3"/>
        <v>153</v>
      </c>
      <c r="B215" s="672">
        <v>15341</v>
      </c>
      <c r="C215" s="673" t="s">
        <v>4</v>
      </c>
      <c r="D215" s="672" t="s">
        <v>5</v>
      </c>
    </row>
    <row r="216" spans="1:4" x14ac:dyDescent="0.2">
      <c r="A216" s="672" t="str">
        <f t="shared" si="3"/>
        <v>153</v>
      </c>
      <c r="B216" s="672">
        <v>15342</v>
      </c>
      <c r="C216" s="673" t="s">
        <v>4</v>
      </c>
      <c r="D216" s="672" t="s">
        <v>5</v>
      </c>
    </row>
    <row r="217" spans="1:4" x14ac:dyDescent="0.2">
      <c r="A217" s="672" t="str">
        <f t="shared" si="3"/>
        <v>153</v>
      </c>
      <c r="B217" s="672">
        <v>15344</v>
      </c>
      <c r="C217" s="673" t="s">
        <v>4</v>
      </c>
      <c r="D217" s="672" t="s">
        <v>5</v>
      </c>
    </row>
    <row r="218" spans="1:4" x14ac:dyDescent="0.2">
      <c r="A218" s="672" t="str">
        <f t="shared" si="3"/>
        <v>153</v>
      </c>
      <c r="B218" s="672">
        <v>15345</v>
      </c>
      <c r="C218" s="673" t="s">
        <v>4</v>
      </c>
      <c r="D218" s="672" t="s">
        <v>5</v>
      </c>
    </row>
    <row r="219" spans="1:4" x14ac:dyDescent="0.2">
      <c r="A219" s="672" t="str">
        <f t="shared" si="3"/>
        <v>153</v>
      </c>
      <c r="B219" s="672">
        <v>15346</v>
      </c>
      <c r="C219" s="673" t="s">
        <v>4</v>
      </c>
      <c r="D219" s="672" t="s">
        <v>5</v>
      </c>
    </row>
    <row r="220" spans="1:4" x14ac:dyDescent="0.2">
      <c r="A220" s="672" t="str">
        <f t="shared" si="3"/>
        <v>153</v>
      </c>
      <c r="B220" s="672">
        <v>15347</v>
      </c>
      <c r="C220" s="673" t="s">
        <v>4</v>
      </c>
      <c r="D220" s="672" t="s">
        <v>5</v>
      </c>
    </row>
    <row r="221" spans="1:4" x14ac:dyDescent="0.2">
      <c r="A221" s="672" t="str">
        <f t="shared" si="3"/>
        <v>153</v>
      </c>
      <c r="B221" s="672">
        <v>15348</v>
      </c>
      <c r="C221" s="673" t="s">
        <v>4</v>
      </c>
      <c r="D221" s="672" t="s">
        <v>5</v>
      </c>
    </row>
    <row r="222" spans="1:4" x14ac:dyDescent="0.2">
      <c r="A222" s="672" t="str">
        <f t="shared" si="3"/>
        <v>153</v>
      </c>
      <c r="B222" s="672">
        <v>15349</v>
      </c>
      <c r="C222" s="673" t="s">
        <v>4</v>
      </c>
      <c r="D222" s="672" t="s">
        <v>5</v>
      </c>
    </row>
    <row r="223" spans="1:4" x14ac:dyDescent="0.2">
      <c r="A223" s="672" t="str">
        <f t="shared" si="3"/>
        <v>153</v>
      </c>
      <c r="B223" s="672">
        <v>15350</v>
      </c>
      <c r="C223" s="673" t="s">
        <v>4</v>
      </c>
      <c r="D223" s="672" t="s">
        <v>5</v>
      </c>
    </row>
    <row r="224" spans="1:4" x14ac:dyDescent="0.2">
      <c r="A224" s="672" t="str">
        <f t="shared" si="3"/>
        <v>153</v>
      </c>
      <c r="B224" s="672">
        <v>15351</v>
      </c>
      <c r="C224" s="673" t="s">
        <v>4</v>
      </c>
      <c r="D224" s="672" t="s">
        <v>5</v>
      </c>
    </row>
    <row r="225" spans="1:4" x14ac:dyDescent="0.2">
      <c r="A225" s="672" t="str">
        <f t="shared" si="3"/>
        <v>153</v>
      </c>
      <c r="B225" s="672">
        <v>15352</v>
      </c>
      <c r="C225" s="673" t="s">
        <v>4</v>
      </c>
      <c r="D225" s="672" t="s">
        <v>5</v>
      </c>
    </row>
    <row r="226" spans="1:4" x14ac:dyDescent="0.2">
      <c r="A226" s="672" t="str">
        <f t="shared" si="3"/>
        <v>153</v>
      </c>
      <c r="B226" s="672">
        <v>15353</v>
      </c>
      <c r="C226" s="673" t="s">
        <v>4</v>
      </c>
      <c r="D226" s="672" t="s">
        <v>5</v>
      </c>
    </row>
    <row r="227" spans="1:4" x14ac:dyDescent="0.2">
      <c r="A227" s="672" t="str">
        <f t="shared" si="3"/>
        <v>153</v>
      </c>
      <c r="B227" s="672">
        <v>15354</v>
      </c>
      <c r="C227" s="673" t="s">
        <v>4</v>
      </c>
      <c r="D227" s="672" t="s">
        <v>5</v>
      </c>
    </row>
    <row r="228" spans="1:4" x14ac:dyDescent="0.2">
      <c r="A228" s="672" t="str">
        <f t="shared" si="3"/>
        <v>153</v>
      </c>
      <c r="B228" s="672">
        <v>15357</v>
      </c>
      <c r="C228" s="673" t="s">
        <v>4</v>
      </c>
      <c r="D228" s="672" t="s">
        <v>5</v>
      </c>
    </row>
    <row r="229" spans="1:4" x14ac:dyDescent="0.2">
      <c r="A229" s="672" t="str">
        <f t="shared" si="3"/>
        <v>153</v>
      </c>
      <c r="B229" s="672">
        <v>15358</v>
      </c>
      <c r="C229" s="673" t="s">
        <v>4</v>
      </c>
      <c r="D229" s="672" t="s">
        <v>5</v>
      </c>
    </row>
    <row r="230" spans="1:4" x14ac:dyDescent="0.2">
      <c r="A230" s="672" t="str">
        <f t="shared" si="3"/>
        <v>153</v>
      </c>
      <c r="B230" s="672">
        <v>15359</v>
      </c>
      <c r="C230" s="673" t="s">
        <v>4</v>
      </c>
      <c r="D230" s="672" t="s">
        <v>5</v>
      </c>
    </row>
    <row r="231" spans="1:4" x14ac:dyDescent="0.2">
      <c r="A231" s="672" t="str">
        <f t="shared" si="3"/>
        <v>153</v>
      </c>
      <c r="B231" s="672">
        <v>15360</v>
      </c>
      <c r="C231" s="673" t="s">
        <v>4</v>
      </c>
      <c r="D231" s="672" t="s">
        <v>5</v>
      </c>
    </row>
    <row r="232" spans="1:4" x14ac:dyDescent="0.2">
      <c r="A232" s="672" t="str">
        <f t="shared" si="3"/>
        <v>153</v>
      </c>
      <c r="B232" s="672">
        <v>15361</v>
      </c>
      <c r="C232" s="673" t="s">
        <v>4</v>
      </c>
      <c r="D232" s="672" t="s">
        <v>5</v>
      </c>
    </row>
    <row r="233" spans="1:4" x14ac:dyDescent="0.2">
      <c r="A233" s="672" t="str">
        <f t="shared" si="3"/>
        <v>153</v>
      </c>
      <c r="B233" s="672">
        <v>15362</v>
      </c>
      <c r="C233" s="673" t="s">
        <v>4</v>
      </c>
      <c r="D233" s="672" t="s">
        <v>5</v>
      </c>
    </row>
    <row r="234" spans="1:4" x14ac:dyDescent="0.2">
      <c r="A234" s="672" t="str">
        <f t="shared" si="3"/>
        <v>153</v>
      </c>
      <c r="B234" s="672">
        <v>15363</v>
      </c>
      <c r="C234" s="673" t="s">
        <v>4</v>
      </c>
      <c r="D234" s="672" t="s">
        <v>5</v>
      </c>
    </row>
    <row r="235" spans="1:4" x14ac:dyDescent="0.2">
      <c r="A235" s="672" t="str">
        <f t="shared" si="3"/>
        <v>153</v>
      </c>
      <c r="B235" s="672">
        <v>15364</v>
      </c>
      <c r="C235" s="673" t="s">
        <v>4</v>
      </c>
      <c r="D235" s="672" t="s">
        <v>5</v>
      </c>
    </row>
    <row r="236" spans="1:4" x14ac:dyDescent="0.2">
      <c r="A236" s="672" t="str">
        <f t="shared" si="3"/>
        <v>153</v>
      </c>
      <c r="B236" s="672">
        <v>15365</v>
      </c>
      <c r="C236" s="673" t="s">
        <v>4</v>
      </c>
      <c r="D236" s="672" t="s">
        <v>5</v>
      </c>
    </row>
    <row r="237" spans="1:4" x14ac:dyDescent="0.2">
      <c r="A237" s="672" t="str">
        <f t="shared" si="3"/>
        <v>153</v>
      </c>
      <c r="B237" s="672">
        <v>15366</v>
      </c>
      <c r="C237" s="673" t="s">
        <v>4</v>
      </c>
      <c r="D237" s="672" t="s">
        <v>5</v>
      </c>
    </row>
    <row r="238" spans="1:4" x14ac:dyDescent="0.2">
      <c r="A238" s="672" t="str">
        <f t="shared" si="3"/>
        <v>153</v>
      </c>
      <c r="B238" s="672">
        <v>15367</v>
      </c>
      <c r="C238" s="673" t="s">
        <v>4</v>
      </c>
      <c r="D238" s="672" t="s">
        <v>5</v>
      </c>
    </row>
    <row r="239" spans="1:4" x14ac:dyDescent="0.2">
      <c r="A239" s="672" t="str">
        <f t="shared" si="3"/>
        <v>153</v>
      </c>
      <c r="B239" s="672">
        <v>15368</v>
      </c>
      <c r="C239" s="673" t="s">
        <v>4</v>
      </c>
      <c r="D239" s="672" t="s">
        <v>5</v>
      </c>
    </row>
    <row r="240" spans="1:4" x14ac:dyDescent="0.2">
      <c r="A240" s="672" t="str">
        <f t="shared" si="3"/>
        <v>153</v>
      </c>
      <c r="B240" s="672">
        <v>15370</v>
      </c>
      <c r="C240" s="673" t="s">
        <v>4</v>
      </c>
      <c r="D240" s="672" t="s">
        <v>5</v>
      </c>
    </row>
    <row r="241" spans="1:4" x14ac:dyDescent="0.2">
      <c r="A241" s="672" t="str">
        <f t="shared" si="3"/>
        <v>153</v>
      </c>
      <c r="B241" s="672">
        <v>15376</v>
      </c>
      <c r="C241" s="673" t="s">
        <v>4</v>
      </c>
      <c r="D241" s="672" t="s">
        <v>5</v>
      </c>
    </row>
    <row r="242" spans="1:4" x14ac:dyDescent="0.2">
      <c r="A242" s="672" t="str">
        <f t="shared" si="3"/>
        <v>153</v>
      </c>
      <c r="B242" s="672">
        <v>15377</v>
      </c>
      <c r="C242" s="673" t="s">
        <v>4</v>
      </c>
      <c r="D242" s="672" t="s">
        <v>5</v>
      </c>
    </row>
    <row r="243" spans="1:4" x14ac:dyDescent="0.2">
      <c r="A243" s="672" t="str">
        <f t="shared" si="3"/>
        <v>153</v>
      </c>
      <c r="B243" s="672">
        <v>15378</v>
      </c>
      <c r="C243" s="673" t="s">
        <v>4</v>
      </c>
      <c r="D243" s="672" t="s">
        <v>5</v>
      </c>
    </row>
    <row r="244" spans="1:4" x14ac:dyDescent="0.2">
      <c r="A244" s="672" t="str">
        <f t="shared" si="3"/>
        <v>153</v>
      </c>
      <c r="B244" s="672">
        <v>15379</v>
      </c>
      <c r="C244" s="673" t="s">
        <v>4</v>
      </c>
      <c r="D244" s="672" t="s">
        <v>5</v>
      </c>
    </row>
    <row r="245" spans="1:4" x14ac:dyDescent="0.2">
      <c r="A245" s="672" t="str">
        <f t="shared" si="3"/>
        <v>153</v>
      </c>
      <c r="B245" s="672">
        <v>15380</v>
      </c>
      <c r="C245" s="673" t="s">
        <v>4</v>
      </c>
      <c r="D245" s="672" t="s">
        <v>5</v>
      </c>
    </row>
    <row r="246" spans="1:4" x14ac:dyDescent="0.2">
      <c r="A246" s="672" t="str">
        <f t="shared" si="3"/>
        <v>154</v>
      </c>
      <c r="B246" s="672">
        <v>15401</v>
      </c>
      <c r="C246" s="673" t="s">
        <v>4</v>
      </c>
      <c r="D246" s="672" t="s">
        <v>5</v>
      </c>
    </row>
    <row r="247" spans="1:4" x14ac:dyDescent="0.2">
      <c r="A247" s="672" t="str">
        <f t="shared" si="3"/>
        <v>154</v>
      </c>
      <c r="B247" s="672">
        <v>15410</v>
      </c>
      <c r="C247" s="673" t="s">
        <v>4</v>
      </c>
      <c r="D247" s="672" t="s">
        <v>5</v>
      </c>
    </row>
    <row r="248" spans="1:4" x14ac:dyDescent="0.2">
      <c r="A248" s="672" t="str">
        <f t="shared" si="3"/>
        <v>154</v>
      </c>
      <c r="B248" s="672">
        <v>15411</v>
      </c>
      <c r="C248" s="673" t="s">
        <v>4</v>
      </c>
      <c r="D248" s="672" t="s">
        <v>5</v>
      </c>
    </row>
    <row r="249" spans="1:4" x14ac:dyDescent="0.2">
      <c r="A249" s="672" t="str">
        <f t="shared" si="3"/>
        <v>154</v>
      </c>
      <c r="B249" s="672">
        <v>15412</v>
      </c>
      <c r="C249" s="673" t="s">
        <v>4</v>
      </c>
      <c r="D249" s="672" t="s">
        <v>5</v>
      </c>
    </row>
    <row r="250" spans="1:4" x14ac:dyDescent="0.2">
      <c r="A250" s="672" t="str">
        <f t="shared" si="3"/>
        <v>154</v>
      </c>
      <c r="B250" s="672">
        <v>15413</v>
      </c>
      <c r="C250" s="673" t="s">
        <v>4</v>
      </c>
      <c r="D250" s="672" t="s">
        <v>5</v>
      </c>
    </row>
    <row r="251" spans="1:4" x14ac:dyDescent="0.2">
      <c r="A251" s="672" t="str">
        <f t="shared" si="3"/>
        <v>154</v>
      </c>
      <c r="B251" s="672">
        <v>15415</v>
      </c>
      <c r="C251" s="673" t="s">
        <v>4</v>
      </c>
      <c r="D251" s="672" t="s">
        <v>5</v>
      </c>
    </row>
    <row r="252" spans="1:4" x14ac:dyDescent="0.2">
      <c r="A252" s="672" t="str">
        <f t="shared" si="3"/>
        <v>154</v>
      </c>
      <c r="B252" s="672">
        <v>15416</v>
      </c>
      <c r="C252" s="673" t="s">
        <v>4</v>
      </c>
      <c r="D252" s="672" t="s">
        <v>5</v>
      </c>
    </row>
    <row r="253" spans="1:4" x14ac:dyDescent="0.2">
      <c r="A253" s="672" t="str">
        <f t="shared" si="3"/>
        <v>154</v>
      </c>
      <c r="B253" s="672">
        <v>15417</v>
      </c>
      <c r="C253" s="673" t="s">
        <v>4</v>
      </c>
      <c r="D253" s="672" t="s">
        <v>5</v>
      </c>
    </row>
    <row r="254" spans="1:4" x14ac:dyDescent="0.2">
      <c r="A254" s="672" t="str">
        <f t="shared" si="3"/>
        <v>154</v>
      </c>
      <c r="B254" s="672">
        <v>15419</v>
      </c>
      <c r="C254" s="673" t="s">
        <v>4</v>
      </c>
      <c r="D254" s="672" t="s">
        <v>5</v>
      </c>
    </row>
    <row r="255" spans="1:4" x14ac:dyDescent="0.2">
      <c r="A255" s="672" t="str">
        <f t="shared" si="3"/>
        <v>154</v>
      </c>
      <c r="B255" s="672">
        <v>15420</v>
      </c>
      <c r="C255" s="673" t="s">
        <v>4</v>
      </c>
      <c r="D255" s="672" t="s">
        <v>5</v>
      </c>
    </row>
    <row r="256" spans="1:4" x14ac:dyDescent="0.2">
      <c r="A256" s="672" t="str">
        <f t="shared" si="3"/>
        <v>154</v>
      </c>
      <c r="B256" s="672">
        <v>15421</v>
      </c>
      <c r="C256" s="673" t="s">
        <v>4</v>
      </c>
      <c r="D256" s="672" t="s">
        <v>5</v>
      </c>
    </row>
    <row r="257" spans="1:4" x14ac:dyDescent="0.2">
      <c r="A257" s="672" t="str">
        <f t="shared" si="3"/>
        <v>154</v>
      </c>
      <c r="B257" s="672">
        <v>15422</v>
      </c>
      <c r="C257" s="673" t="s">
        <v>4</v>
      </c>
      <c r="D257" s="672" t="s">
        <v>5</v>
      </c>
    </row>
    <row r="258" spans="1:4" x14ac:dyDescent="0.2">
      <c r="A258" s="672" t="str">
        <f t="shared" ref="A258:A321" si="4">LEFT(B258,3)</f>
        <v>154</v>
      </c>
      <c r="B258" s="672">
        <v>15423</v>
      </c>
      <c r="C258" s="673" t="s">
        <v>4</v>
      </c>
      <c r="D258" s="672" t="s">
        <v>5</v>
      </c>
    </row>
    <row r="259" spans="1:4" x14ac:dyDescent="0.2">
      <c r="A259" s="672" t="str">
        <f t="shared" si="4"/>
        <v>154</v>
      </c>
      <c r="B259" s="672">
        <v>15424</v>
      </c>
      <c r="C259" s="673" t="s">
        <v>4</v>
      </c>
      <c r="D259" s="672" t="s">
        <v>5</v>
      </c>
    </row>
    <row r="260" spans="1:4" x14ac:dyDescent="0.2">
      <c r="A260" s="672" t="str">
        <f t="shared" si="4"/>
        <v>154</v>
      </c>
      <c r="B260" s="672">
        <v>15425</v>
      </c>
      <c r="C260" s="673" t="s">
        <v>4</v>
      </c>
      <c r="D260" s="672" t="s">
        <v>5</v>
      </c>
    </row>
    <row r="261" spans="1:4" x14ac:dyDescent="0.2">
      <c r="A261" s="672" t="str">
        <f t="shared" si="4"/>
        <v>154</v>
      </c>
      <c r="B261" s="672">
        <v>15427</v>
      </c>
      <c r="C261" s="673" t="s">
        <v>4</v>
      </c>
      <c r="D261" s="672" t="s">
        <v>5</v>
      </c>
    </row>
    <row r="262" spans="1:4" x14ac:dyDescent="0.2">
      <c r="A262" s="672" t="str">
        <f t="shared" si="4"/>
        <v>154</v>
      </c>
      <c r="B262" s="672">
        <v>15428</v>
      </c>
      <c r="C262" s="673" t="s">
        <v>4</v>
      </c>
      <c r="D262" s="672" t="s">
        <v>5</v>
      </c>
    </row>
    <row r="263" spans="1:4" x14ac:dyDescent="0.2">
      <c r="A263" s="672" t="str">
        <f t="shared" si="4"/>
        <v>154</v>
      </c>
      <c r="B263" s="672">
        <v>15429</v>
      </c>
      <c r="C263" s="673" t="s">
        <v>4</v>
      </c>
      <c r="D263" s="672" t="s">
        <v>5</v>
      </c>
    </row>
    <row r="264" spans="1:4" x14ac:dyDescent="0.2">
      <c r="A264" s="672" t="str">
        <f t="shared" si="4"/>
        <v>154</v>
      </c>
      <c r="B264" s="672">
        <v>15430</v>
      </c>
      <c r="C264" s="673" t="s">
        <v>4</v>
      </c>
      <c r="D264" s="672" t="s">
        <v>5</v>
      </c>
    </row>
    <row r="265" spans="1:4" x14ac:dyDescent="0.2">
      <c r="A265" s="672" t="str">
        <f t="shared" si="4"/>
        <v>154</v>
      </c>
      <c r="B265" s="672">
        <v>15431</v>
      </c>
      <c r="C265" s="673" t="s">
        <v>4</v>
      </c>
      <c r="D265" s="672" t="s">
        <v>5</v>
      </c>
    </row>
    <row r="266" spans="1:4" x14ac:dyDescent="0.2">
      <c r="A266" s="672" t="str">
        <f t="shared" si="4"/>
        <v>154</v>
      </c>
      <c r="B266" s="672">
        <v>15432</v>
      </c>
      <c r="C266" s="673" t="s">
        <v>4</v>
      </c>
      <c r="D266" s="672" t="s">
        <v>5</v>
      </c>
    </row>
    <row r="267" spans="1:4" x14ac:dyDescent="0.2">
      <c r="A267" s="672" t="str">
        <f t="shared" si="4"/>
        <v>154</v>
      </c>
      <c r="B267" s="672">
        <v>15433</v>
      </c>
      <c r="C267" s="673" t="s">
        <v>4</v>
      </c>
      <c r="D267" s="672" t="s">
        <v>5</v>
      </c>
    </row>
    <row r="268" spans="1:4" x14ac:dyDescent="0.2">
      <c r="A268" s="672" t="str">
        <f t="shared" si="4"/>
        <v>154</v>
      </c>
      <c r="B268" s="672">
        <v>15434</v>
      </c>
      <c r="C268" s="673" t="s">
        <v>4</v>
      </c>
      <c r="D268" s="672" t="s">
        <v>5</v>
      </c>
    </row>
    <row r="269" spans="1:4" x14ac:dyDescent="0.2">
      <c r="A269" s="672" t="str">
        <f t="shared" si="4"/>
        <v>154</v>
      </c>
      <c r="B269" s="672">
        <v>15435</v>
      </c>
      <c r="C269" s="673" t="s">
        <v>4</v>
      </c>
      <c r="D269" s="672" t="s">
        <v>5</v>
      </c>
    </row>
    <row r="270" spans="1:4" x14ac:dyDescent="0.2">
      <c r="A270" s="672" t="str">
        <f t="shared" si="4"/>
        <v>154</v>
      </c>
      <c r="B270" s="672">
        <v>15436</v>
      </c>
      <c r="C270" s="673" t="s">
        <v>4</v>
      </c>
      <c r="D270" s="672" t="s">
        <v>5</v>
      </c>
    </row>
    <row r="271" spans="1:4" x14ac:dyDescent="0.2">
      <c r="A271" s="672" t="str">
        <f t="shared" si="4"/>
        <v>154</v>
      </c>
      <c r="B271" s="672">
        <v>15437</v>
      </c>
      <c r="C271" s="673" t="s">
        <v>4</v>
      </c>
      <c r="D271" s="672" t="s">
        <v>5</v>
      </c>
    </row>
    <row r="272" spans="1:4" x14ac:dyDescent="0.2">
      <c r="A272" s="672" t="str">
        <f t="shared" si="4"/>
        <v>154</v>
      </c>
      <c r="B272" s="672">
        <v>15438</v>
      </c>
      <c r="C272" s="673" t="s">
        <v>4</v>
      </c>
      <c r="D272" s="672" t="s">
        <v>5</v>
      </c>
    </row>
    <row r="273" spans="1:4" x14ac:dyDescent="0.2">
      <c r="A273" s="672" t="str">
        <f t="shared" si="4"/>
        <v>154</v>
      </c>
      <c r="B273" s="672">
        <v>15439</v>
      </c>
      <c r="C273" s="673" t="s">
        <v>4</v>
      </c>
      <c r="D273" s="672" t="s">
        <v>5</v>
      </c>
    </row>
    <row r="274" spans="1:4" x14ac:dyDescent="0.2">
      <c r="A274" s="672" t="str">
        <f t="shared" si="4"/>
        <v>154</v>
      </c>
      <c r="B274" s="672">
        <v>15440</v>
      </c>
      <c r="C274" s="673" t="s">
        <v>4</v>
      </c>
      <c r="D274" s="672" t="s">
        <v>5</v>
      </c>
    </row>
    <row r="275" spans="1:4" x14ac:dyDescent="0.2">
      <c r="A275" s="672" t="str">
        <f t="shared" si="4"/>
        <v>154</v>
      </c>
      <c r="B275" s="672">
        <v>15442</v>
      </c>
      <c r="C275" s="673" t="s">
        <v>4</v>
      </c>
      <c r="D275" s="672" t="s">
        <v>5</v>
      </c>
    </row>
    <row r="276" spans="1:4" x14ac:dyDescent="0.2">
      <c r="A276" s="672" t="str">
        <f t="shared" si="4"/>
        <v>154</v>
      </c>
      <c r="B276" s="672">
        <v>15443</v>
      </c>
      <c r="C276" s="673" t="s">
        <v>4</v>
      </c>
      <c r="D276" s="672" t="s">
        <v>5</v>
      </c>
    </row>
    <row r="277" spans="1:4" x14ac:dyDescent="0.2">
      <c r="A277" s="672" t="str">
        <f t="shared" si="4"/>
        <v>154</v>
      </c>
      <c r="B277" s="672">
        <v>15444</v>
      </c>
      <c r="C277" s="673" t="s">
        <v>4</v>
      </c>
      <c r="D277" s="672" t="s">
        <v>5</v>
      </c>
    </row>
    <row r="278" spans="1:4" x14ac:dyDescent="0.2">
      <c r="A278" s="672" t="str">
        <f t="shared" si="4"/>
        <v>154</v>
      </c>
      <c r="B278" s="672">
        <v>15445</v>
      </c>
      <c r="C278" s="673" t="s">
        <v>4</v>
      </c>
      <c r="D278" s="672" t="s">
        <v>5</v>
      </c>
    </row>
    <row r="279" spans="1:4" x14ac:dyDescent="0.2">
      <c r="A279" s="672" t="str">
        <f t="shared" si="4"/>
        <v>154</v>
      </c>
      <c r="B279" s="672">
        <v>15446</v>
      </c>
      <c r="C279" s="673" t="s">
        <v>4</v>
      </c>
      <c r="D279" s="672" t="s">
        <v>5</v>
      </c>
    </row>
    <row r="280" spans="1:4" x14ac:dyDescent="0.2">
      <c r="A280" s="672" t="str">
        <f t="shared" si="4"/>
        <v>154</v>
      </c>
      <c r="B280" s="672">
        <v>15447</v>
      </c>
      <c r="C280" s="673" t="s">
        <v>4</v>
      </c>
      <c r="D280" s="672" t="s">
        <v>5</v>
      </c>
    </row>
    <row r="281" spans="1:4" x14ac:dyDescent="0.2">
      <c r="A281" s="672" t="str">
        <f t="shared" si="4"/>
        <v>154</v>
      </c>
      <c r="B281" s="672">
        <v>15448</v>
      </c>
      <c r="C281" s="673" t="s">
        <v>4</v>
      </c>
      <c r="D281" s="672" t="s">
        <v>5</v>
      </c>
    </row>
    <row r="282" spans="1:4" x14ac:dyDescent="0.2">
      <c r="A282" s="672" t="str">
        <f t="shared" si="4"/>
        <v>154</v>
      </c>
      <c r="B282" s="672">
        <v>15449</v>
      </c>
      <c r="C282" s="673" t="s">
        <v>4</v>
      </c>
      <c r="D282" s="672" t="s">
        <v>5</v>
      </c>
    </row>
    <row r="283" spans="1:4" x14ac:dyDescent="0.2">
      <c r="A283" s="672" t="str">
        <f t="shared" si="4"/>
        <v>154</v>
      </c>
      <c r="B283" s="672">
        <v>15450</v>
      </c>
      <c r="C283" s="673" t="s">
        <v>4</v>
      </c>
      <c r="D283" s="672" t="s">
        <v>5</v>
      </c>
    </row>
    <row r="284" spans="1:4" x14ac:dyDescent="0.2">
      <c r="A284" s="672" t="str">
        <f t="shared" si="4"/>
        <v>154</v>
      </c>
      <c r="B284" s="672">
        <v>15451</v>
      </c>
      <c r="C284" s="673" t="s">
        <v>4</v>
      </c>
      <c r="D284" s="672" t="s">
        <v>5</v>
      </c>
    </row>
    <row r="285" spans="1:4" x14ac:dyDescent="0.2">
      <c r="A285" s="672" t="str">
        <f t="shared" si="4"/>
        <v>154</v>
      </c>
      <c r="B285" s="672">
        <v>15454</v>
      </c>
      <c r="C285" s="673" t="s">
        <v>4</v>
      </c>
      <c r="D285" s="672" t="s">
        <v>5</v>
      </c>
    </row>
    <row r="286" spans="1:4" x14ac:dyDescent="0.2">
      <c r="A286" s="672" t="str">
        <f t="shared" si="4"/>
        <v>154</v>
      </c>
      <c r="B286" s="672">
        <v>15455</v>
      </c>
      <c r="C286" s="673" t="s">
        <v>4</v>
      </c>
      <c r="D286" s="672" t="s">
        <v>5</v>
      </c>
    </row>
    <row r="287" spans="1:4" x14ac:dyDescent="0.2">
      <c r="A287" s="672" t="str">
        <f t="shared" si="4"/>
        <v>154</v>
      </c>
      <c r="B287" s="672">
        <v>15456</v>
      </c>
      <c r="C287" s="673" t="s">
        <v>4</v>
      </c>
      <c r="D287" s="672" t="s">
        <v>5</v>
      </c>
    </row>
    <row r="288" spans="1:4" x14ac:dyDescent="0.2">
      <c r="A288" s="672" t="str">
        <f t="shared" si="4"/>
        <v>154</v>
      </c>
      <c r="B288" s="672">
        <v>15458</v>
      </c>
      <c r="C288" s="673" t="s">
        <v>4</v>
      </c>
      <c r="D288" s="672" t="s">
        <v>5</v>
      </c>
    </row>
    <row r="289" spans="1:4" x14ac:dyDescent="0.2">
      <c r="A289" s="672" t="str">
        <f t="shared" si="4"/>
        <v>154</v>
      </c>
      <c r="B289" s="672">
        <v>15459</v>
      </c>
      <c r="C289" s="673" t="s">
        <v>4</v>
      </c>
      <c r="D289" s="672" t="s">
        <v>5</v>
      </c>
    </row>
    <row r="290" spans="1:4" x14ac:dyDescent="0.2">
      <c r="A290" s="672" t="str">
        <f t="shared" si="4"/>
        <v>154</v>
      </c>
      <c r="B290" s="672">
        <v>15460</v>
      </c>
      <c r="C290" s="673" t="s">
        <v>4</v>
      </c>
      <c r="D290" s="672" t="s">
        <v>5</v>
      </c>
    </row>
    <row r="291" spans="1:4" x14ac:dyDescent="0.2">
      <c r="A291" s="672" t="str">
        <f t="shared" si="4"/>
        <v>154</v>
      </c>
      <c r="B291" s="672">
        <v>15461</v>
      </c>
      <c r="C291" s="673" t="s">
        <v>4</v>
      </c>
      <c r="D291" s="672" t="s">
        <v>5</v>
      </c>
    </row>
    <row r="292" spans="1:4" x14ac:dyDescent="0.2">
      <c r="A292" s="672" t="str">
        <f t="shared" si="4"/>
        <v>154</v>
      </c>
      <c r="B292" s="672">
        <v>15462</v>
      </c>
      <c r="C292" s="673" t="s">
        <v>4</v>
      </c>
      <c r="D292" s="672" t="s">
        <v>5</v>
      </c>
    </row>
    <row r="293" spans="1:4" x14ac:dyDescent="0.2">
      <c r="A293" s="672" t="str">
        <f t="shared" si="4"/>
        <v>154</v>
      </c>
      <c r="B293" s="672">
        <v>15463</v>
      </c>
      <c r="C293" s="673" t="s">
        <v>4</v>
      </c>
      <c r="D293" s="672" t="s">
        <v>5</v>
      </c>
    </row>
    <row r="294" spans="1:4" x14ac:dyDescent="0.2">
      <c r="A294" s="672" t="str">
        <f t="shared" si="4"/>
        <v>154</v>
      </c>
      <c r="B294" s="672">
        <v>15464</v>
      </c>
      <c r="C294" s="673" t="s">
        <v>4</v>
      </c>
      <c r="D294" s="672" t="s">
        <v>5</v>
      </c>
    </row>
    <row r="295" spans="1:4" x14ac:dyDescent="0.2">
      <c r="A295" s="672" t="str">
        <f t="shared" si="4"/>
        <v>154</v>
      </c>
      <c r="B295" s="672">
        <v>15465</v>
      </c>
      <c r="C295" s="673" t="s">
        <v>4</v>
      </c>
      <c r="D295" s="672" t="s">
        <v>5</v>
      </c>
    </row>
    <row r="296" spans="1:4" x14ac:dyDescent="0.2">
      <c r="A296" s="672" t="str">
        <f t="shared" si="4"/>
        <v>154</v>
      </c>
      <c r="B296" s="672">
        <v>15466</v>
      </c>
      <c r="C296" s="673" t="s">
        <v>4</v>
      </c>
      <c r="D296" s="672" t="s">
        <v>5</v>
      </c>
    </row>
    <row r="297" spans="1:4" x14ac:dyDescent="0.2">
      <c r="A297" s="672" t="str">
        <f t="shared" si="4"/>
        <v>154</v>
      </c>
      <c r="B297" s="672">
        <v>15467</v>
      </c>
      <c r="C297" s="673" t="s">
        <v>4</v>
      </c>
      <c r="D297" s="672" t="s">
        <v>5</v>
      </c>
    </row>
    <row r="298" spans="1:4" x14ac:dyDescent="0.2">
      <c r="A298" s="672" t="str">
        <f t="shared" si="4"/>
        <v>154</v>
      </c>
      <c r="B298" s="672">
        <v>15468</v>
      </c>
      <c r="C298" s="673" t="s">
        <v>4</v>
      </c>
      <c r="D298" s="672" t="s">
        <v>5</v>
      </c>
    </row>
    <row r="299" spans="1:4" x14ac:dyDescent="0.2">
      <c r="A299" s="672" t="str">
        <f t="shared" si="4"/>
        <v>154</v>
      </c>
      <c r="B299" s="672">
        <v>15469</v>
      </c>
      <c r="C299" s="673" t="s">
        <v>4</v>
      </c>
      <c r="D299" s="672" t="s">
        <v>5</v>
      </c>
    </row>
    <row r="300" spans="1:4" x14ac:dyDescent="0.2">
      <c r="A300" s="672" t="str">
        <f t="shared" si="4"/>
        <v>154</v>
      </c>
      <c r="B300" s="672">
        <v>15470</v>
      </c>
      <c r="C300" s="673" t="s">
        <v>4</v>
      </c>
      <c r="D300" s="672" t="s">
        <v>5</v>
      </c>
    </row>
    <row r="301" spans="1:4" x14ac:dyDescent="0.2">
      <c r="A301" s="672" t="str">
        <f t="shared" si="4"/>
        <v>154</v>
      </c>
      <c r="B301" s="672">
        <v>15472</v>
      </c>
      <c r="C301" s="673" t="s">
        <v>4</v>
      </c>
      <c r="D301" s="672" t="s">
        <v>5</v>
      </c>
    </row>
    <row r="302" spans="1:4" x14ac:dyDescent="0.2">
      <c r="A302" s="672" t="str">
        <f t="shared" si="4"/>
        <v>154</v>
      </c>
      <c r="B302" s="672">
        <v>15473</v>
      </c>
      <c r="C302" s="673" t="s">
        <v>4</v>
      </c>
      <c r="D302" s="672" t="s">
        <v>5</v>
      </c>
    </row>
    <row r="303" spans="1:4" x14ac:dyDescent="0.2">
      <c r="A303" s="672" t="str">
        <f t="shared" si="4"/>
        <v>154</v>
      </c>
      <c r="B303" s="672">
        <v>15474</v>
      </c>
      <c r="C303" s="673" t="s">
        <v>4</v>
      </c>
      <c r="D303" s="672" t="s">
        <v>5</v>
      </c>
    </row>
    <row r="304" spans="1:4" x14ac:dyDescent="0.2">
      <c r="A304" s="672" t="str">
        <f t="shared" si="4"/>
        <v>154</v>
      </c>
      <c r="B304" s="672">
        <v>15475</v>
      </c>
      <c r="C304" s="673" t="s">
        <v>4</v>
      </c>
      <c r="D304" s="672" t="s">
        <v>5</v>
      </c>
    </row>
    <row r="305" spans="1:4" x14ac:dyDescent="0.2">
      <c r="A305" s="672" t="str">
        <f t="shared" si="4"/>
        <v>154</v>
      </c>
      <c r="B305" s="672">
        <v>15476</v>
      </c>
      <c r="C305" s="673" t="s">
        <v>4</v>
      </c>
      <c r="D305" s="672" t="s">
        <v>5</v>
      </c>
    </row>
    <row r="306" spans="1:4" x14ac:dyDescent="0.2">
      <c r="A306" s="672" t="str">
        <f t="shared" si="4"/>
        <v>154</v>
      </c>
      <c r="B306" s="672">
        <v>15477</v>
      </c>
      <c r="C306" s="673" t="s">
        <v>4</v>
      </c>
      <c r="D306" s="672" t="s">
        <v>5</v>
      </c>
    </row>
    <row r="307" spans="1:4" x14ac:dyDescent="0.2">
      <c r="A307" s="672" t="str">
        <f t="shared" si="4"/>
        <v>154</v>
      </c>
      <c r="B307" s="672">
        <v>15478</v>
      </c>
      <c r="C307" s="673" t="s">
        <v>4</v>
      </c>
      <c r="D307" s="672" t="s">
        <v>5</v>
      </c>
    </row>
    <row r="308" spans="1:4" x14ac:dyDescent="0.2">
      <c r="A308" s="672" t="str">
        <f t="shared" si="4"/>
        <v>154</v>
      </c>
      <c r="B308" s="672">
        <v>15479</v>
      </c>
      <c r="C308" s="673" t="s">
        <v>4</v>
      </c>
      <c r="D308" s="672" t="s">
        <v>5</v>
      </c>
    </row>
    <row r="309" spans="1:4" x14ac:dyDescent="0.2">
      <c r="A309" s="672" t="str">
        <f t="shared" si="4"/>
        <v>154</v>
      </c>
      <c r="B309" s="672">
        <v>15480</v>
      </c>
      <c r="C309" s="673" t="s">
        <v>4</v>
      </c>
      <c r="D309" s="672" t="s">
        <v>5</v>
      </c>
    </row>
    <row r="310" spans="1:4" x14ac:dyDescent="0.2">
      <c r="A310" s="672" t="str">
        <f t="shared" si="4"/>
        <v>154</v>
      </c>
      <c r="B310" s="672">
        <v>15482</v>
      </c>
      <c r="C310" s="673" t="s">
        <v>4</v>
      </c>
      <c r="D310" s="672" t="s">
        <v>5</v>
      </c>
    </row>
    <row r="311" spans="1:4" x14ac:dyDescent="0.2">
      <c r="A311" s="672" t="str">
        <f t="shared" si="4"/>
        <v>154</v>
      </c>
      <c r="B311" s="672">
        <v>15483</v>
      </c>
      <c r="C311" s="673" t="s">
        <v>4</v>
      </c>
      <c r="D311" s="672" t="s">
        <v>5</v>
      </c>
    </row>
    <row r="312" spans="1:4" x14ac:dyDescent="0.2">
      <c r="A312" s="672" t="str">
        <f t="shared" si="4"/>
        <v>154</v>
      </c>
      <c r="B312" s="672">
        <v>15484</v>
      </c>
      <c r="C312" s="673" t="s">
        <v>4</v>
      </c>
      <c r="D312" s="672" t="s">
        <v>5</v>
      </c>
    </row>
    <row r="313" spans="1:4" x14ac:dyDescent="0.2">
      <c r="A313" s="672" t="str">
        <f t="shared" si="4"/>
        <v>154</v>
      </c>
      <c r="B313" s="672">
        <v>15485</v>
      </c>
      <c r="C313" s="673" t="s">
        <v>4</v>
      </c>
      <c r="D313" s="672" t="s">
        <v>5</v>
      </c>
    </row>
    <row r="314" spans="1:4" x14ac:dyDescent="0.2">
      <c r="A314" s="672" t="str">
        <f t="shared" si="4"/>
        <v>154</v>
      </c>
      <c r="B314" s="672">
        <v>15486</v>
      </c>
      <c r="C314" s="673" t="s">
        <v>4</v>
      </c>
      <c r="D314" s="672" t="s">
        <v>5</v>
      </c>
    </row>
    <row r="315" spans="1:4" x14ac:dyDescent="0.2">
      <c r="A315" s="672" t="str">
        <f t="shared" si="4"/>
        <v>154</v>
      </c>
      <c r="B315" s="672">
        <v>15488</v>
      </c>
      <c r="C315" s="673" t="s">
        <v>4</v>
      </c>
      <c r="D315" s="672" t="s">
        <v>5</v>
      </c>
    </row>
    <row r="316" spans="1:4" x14ac:dyDescent="0.2">
      <c r="A316" s="672" t="str">
        <f t="shared" si="4"/>
        <v>154</v>
      </c>
      <c r="B316" s="672">
        <v>15489</v>
      </c>
      <c r="C316" s="673" t="s">
        <v>4</v>
      </c>
      <c r="D316" s="672" t="s">
        <v>5</v>
      </c>
    </row>
    <row r="317" spans="1:4" x14ac:dyDescent="0.2">
      <c r="A317" s="672" t="str">
        <f t="shared" si="4"/>
        <v>154</v>
      </c>
      <c r="B317" s="672">
        <v>15490</v>
      </c>
      <c r="C317" s="673" t="s">
        <v>4</v>
      </c>
      <c r="D317" s="672" t="s">
        <v>5</v>
      </c>
    </row>
    <row r="318" spans="1:4" x14ac:dyDescent="0.2">
      <c r="A318" s="672" t="str">
        <f t="shared" si="4"/>
        <v>154</v>
      </c>
      <c r="B318" s="672">
        <v>15492</v>
      </c>
      <c r="C318" s="673" t="s">
        <v>4</v>
      </c>
      <c r="D318" s="672" t="s">
        <v>5</v>
      </c>
    </row>
    <row r="319" spans="1:4" x14ac:dyDescent="0.2">
      <c r="A319" s="672" t="str">
        <f t="shared" si="4"/>
        <v>155</v>
      </c>
      <c r="B319" s="672">
        <v>15501</v>
      </c>
      <c r="C319" s="673" t="s">
        <v>4</v>
      </c>
      <c r="D319" s="672" t="s">
        <v>5</v>
      </c>
    </row>
    <row r="320" spans="1:4" x14ac:dyDescent="0.2">
      <c r="A320" s="672" t="str">
        <f t="shared" si="4"/>
        <v>155</v>
      </c>
      <c r="B320" s="672">
        <v>15502</v>
      </c>
      <c r="C320" s="673" t="s">
        <v>4</v>
      </c>
      <c r="D320" s="672" t="s">
        <v>5</v>
      </c>
    </row>
    <row r="321" spans="1:4" x14ac:dyDescent="0.2">
      <c r="A321" s="672" t="str">
        <f t="shared" si="4"/>
        <v>155</v>
      </c>
      <c r="B321" s="672">
        <v>15510</v>
      </c>
      <c r="C321" s="673" t="s">
        <v>4</v>
      </c>
      <c r="D321" s="672" t="s">
        <v>5</v>
      </c>
    </row>
    <row r="322" spans="1:4" x14ac:dyDescent="0.2">
      <c r="A322" s="672" t="str">
        <f t="shared" ref="A322:A385" si="5">LEFT(B322,3)</f>
        <v>155</v>
      </c>
      <c r="B322" s="672">
        <v>15520</v>
      </c>
      <c r="C322" s="673" t="s">
        <v>4</v>
      </c>
      <c r="D322" s="672" t="s">
        <v>5</v>
      </c>
    </row>
    <row r="323" spans="1:4" x14ac:dyDescent="0.2">
      <c r="A323" s="672" t="str">
        <f t="shared" si="5"/>
        <v>155</v>
      </c>
      <c r="B323" s="672">
        <v>15521</v>
      </c>
      <c r="C323" s="673" t="s">
        <v>4</v>
      </c>
      <c r="D323" s="672" t="s">
        <v>5</v>
      </c>
    </row>
    <row r="324" spans="1:4" x14ac:dyDescent="0.2">
      <c r="A324" s="672" t="str">
        <f t="shared" si="5"/>
        <v>155</v>
      </c>
      <c r="B324" s="672">
        <v>15522</v>
      </c>
      <c r="C324" s="673" t="s">
        <v>4</v>
      </c>
      <c r="D324" s="672" t="s">
        <v>5</v>
      </c>
    </row>
    <row r="325" spans="1:4" x14ac:dyDescent="0.2">
      <c r="A325" s="672" t="str">
        <f t="shared" si="5"/>
        <v>155</v>
      </c>
      <c r="B325" s="672">
        <v>15530</v>
      </c>
      <c r="C325" s="673" t="s">
        <v>4</v>
      </c>
      <c r="D325" s="672" t="s">
        <v>5</v>
      </c>
    </row>
    <row r="326" spans="1:4" x14ac:dyDescent="0.2">
      <c r="A326" s="672" t="str">
        <f t="shared" si="5"/>
        <v>155</v>
      </c>
      <c r="B326" s="672">
        <v>15531</v>
      </c>
      <c r="C326" s="673" t="s">
        <v>4</v>
      </c>
      <c r="D326" s="672" t="s">
        <v>5</v>
      </c>
    </row>
    <row r="327" spans="1:4" x14ac:dyDescent="0.2">
      <c r="A327" s="672" t="str">
        <f t="shared" si="5"/>
        <v>155</v>
      </c>
      <c r="B327" s="672">
        <v>15532</v>
      </c>
      <c r="C327" s="673" t="s">
        <v>4</v>
      </c>
      <c r="D327" s="672" t="s">
        <v>5</v>
      </c>
    </row>
    <row r="328" spans="1:4" x14ac:dyDescent="0.2">
      <c r="A328" s="672" t="str">
        <f t="shared" si="5"/>
        <v>155</v>
      </c>
      <c r="B328" s="672">
        <v>15533</v>
      </c>
      <c r="C328" s="673" t="s">
        <v>4</v>
      </c>
      <c r="D328" s="672" t="s">
        <v>5</v>
      </c>
    </row>
    <row r="329" spans="1:4" x14ac:dyDescent="0.2">
      <c r="A329" s="672" t="str">
        <f t="shared" si="5"/>
        <v>155</v>
      </c>
      <c r="B329" s="672">
        <v>15534</v>
      </c>
      <c r="C329" s="673" t="s">
        <v>4</v>
      </c>
      <c r="D329" s="672" t="s">
        <v>5</v>
      </c>
    </row>
    <row r="330" spans="1:4" x14ac:dyDescent="0.2">
      <c r="A330" s="672" t="str">
        <f t="shared" si="5"/>
        <v>155</v>
      </c>
      <c r="B330" s="672">
        <v>15535</v>
      </c>
      <c r="C330" s="673" t="s">
        <v>4</v>
      </c>
      <c r="D330" s="672" t="s">
        <v>5</v>
      </c>
    </row>
    <row r="331" spans="1:4" x14ac:dyDescent="0.2">
      <c r="A331" s="672" t="str">
        <f t="shared" si="5"/>
        <v>155</v>
      </c>
      <c r="B331" s="672">
        <v>15536</v>
      </c>
      <c r="C331" s="673" t="s">
        <v>6</v>
      </c>
      <c r="D331" s="672" t="s">
        <v>7</v>
      </c>
    </row>
    <row r="332" spans="1:4" x14ac:dyDescent="0.2">
      <c r="A332" s="672" t="str">
        <f t="shared" si="5"/>
        <v>155</v>
      </c>
      <c r="B332" s="672">
        <v>15537</v>
      </c>
      <c r="C332" s="673" t="s">
        <v>4</v>
      </c>
      <c r="D332" s="672" t="s">
        <v>5</v>
      </c>
    </row>
    <row r="333" spans="1:4" x14ac:dyDescent="0.2">
      <c r="A333" s="672" t="str">
        <f t="shared" si="5"/>
        <v>155</v>
      </c>
      <c r="B333" s="672">
        <v>15538</v>
      </c>
      <c r="C333" s="673" t="s">
        <v>4</v>
      </c>
      <c r="D333" s="672" t="s">
        <v>5</v>
      </c>
    </row>
    <row r="334" spans="1:4" x14ac:dyDescent="0.2">
      <c r="A334" s="672" t="str">
        <f t="shared" si="5"/>
        <v>155</v>
      </c>
      <c r="B334" s="672">
        <v>15539</v>
      </c>
      <c r="C334" s="673" t="s">
        <v>4</v>
      </c>
      <c r="D334" s="672" t="s">
        <v>5</v>
      </c>
    </row>
    <row r="335" spans="1:4" x14ac:dyDescent="0.2">
      <c r="A335" s="672" t="str">
        <f t="shared" si="5"/>
        <v>155</v>
      </c>
      <c r="B335" s="672">
        <v>15540</v>
      </c>
      <c r="C335" s="673" t="s">
        <v>4</v>
      </c>
      <c r="D335" s="672" t="s">
        <v>5</v>
      </c>
    </row>
    <row r="336" spans="1:4" x14ac:dyDescent="0.2">
      <c r="A336" s="672" t="str">
        <f t="shared" si="5"/>
        <v>155</v>
      </c>
      <c r="B336" s="672">
        <v>15541</v>
      </c>
      <c r="C336" s="673" t="s">
        <v>4</v>
      </c>
      <c r="D336" s="672" t="s">
        <v>5</v>
      </c>
    </row>
    <row r="337" spans="1:4" x14ac:dyDescent="0.2">
      <c r="A337" s="672" t="str">
        <f t="shared" si="5"/>
        <v>155</v>
      </c>
      <c r="B337" s="672">
        <v>15542</v>
      </c>
      <c r="C337" s="673" t="s">
        <v>4</v>
      </c>
      <c r="D337" s="672" t="s">
        <v>5</v>
      </c>
    </row>
    <row r="338" spans="1:4" x14ac:dyDescent="0.2">
      <c r="A338" s="672" t="str">
        <f t="shared" si="5"/>
        <v>155</v>
      </c>
      <c r="B338" s="672">
        <v>15544</v>
      </c>
      <c r="C338" s="673" t="s">
        <v>4</v>
      </c>
      <c r="D338" s="672" t="s">
        <v>5</v>
      </c>
    </row>
    <row r="339" spans="1:4" x14ac:dyDescent="0.2">
      <c r="A339" s="672" t="str">
        <f t="shared" si="5"/>
        <v>155</v>
      </c>
      <c r="B339" s="672">
        <v>15545</v>
      </c>
      <c r="C339" s="673" t="s">
        <v>4</v>
      </c>
      <c r="D339" s="672" t="s">
        <v>5</v>
      </c>
    </row>
    <row r="340" spans="1:4" x14ac:dyDescent="0.2">
      <c r="A340" s="672" t="str">
        <f t="shared" si="5"/>
        <v>155</v>
      </c>
      <c r="B340" s="672">
        <v>15546</v>
      </c>
      <c r="C340" s="673" t="s">
        <v>4</v>
      </c>
      <c r="D340" s="672" t="s">
        <v>5</v>
      </c>
    </row>
    <row r="341" spans="1:4" x14ac:dyDescent="0.2">
      <c r="A341" s="672" t="str">
        <f t="shared" si="5"/>
        <v>155</v>
      </c>
      <c r="B341" s="672">
        <v>15547</v>
      </c>
      <c r="C341" s="673" t="s">
        <v>4</v>
      </c>
      <c r="D341" s="672" t="s">
        <v>5</v>
      </c>
    </row>
    <row r="342" spans="1:4" x14ac:dyDescent="0.2">
      <c r="A342" s="672" t="str">
        <f t="shared" si="5"/>
        <v>155</v>
      </c>
      <c r="B342" s="672">
        <v>15548</v>
      </c>
      <c r="C342" s="673" t="s">
        <v>4</v>
      </c>
      <c r="D342" s="672" t="s">
        <v>5</v>
      </c>
    </row>
    <row r="343" spans="1:4" x14ac:dyDescent="0.2">
      <c r="A343" s="672" t="str">
        <f t="shared" si="5"/>
        <v>155</v>
      </c>
      <c r="B343" s="672">
        <v>15549</v>
      </c>
      <c r="C343" s="673" t="s">
        <v>4</v>
      </c>
      <c r="D343" s="672" t="s">
        <v>5</v>
      </c>
    </row>
    <row r="344" spans="1:4" x14ac:dyDescent="0.2">
      <c r="A344" s="672" t="str">
        <f t="shared" si="5"/>
        <v>155</v>
      </c>
      <c r="B344" s="672">
        <v>15550</v>
      </c>
      <c r="C344" s="673" t="s">
        <v>4</v>
      </c>
      <c r="D344" s="672" t="s">
        <v>5</v>
      </c>
    </row>
    <row r="345" spans="1:4" x14ac:dyDescent="0.2">
      <c r="A345" s="672" t="str">
        <f t="shared" si="5"/>
        <v>155</v>
      </c>
      <c r="B345" s="672">
        <v>15551</v>
      </c>
      <c r="C345" s="673" t="s">
        <v>4</v>
      </c>
      <c r="D345" s="672" t="s">
        <v>5</v>
      </c>
    </row>
    <row r="346" spans="1:4" x14ac:dyDescent="0.2">
      <c r="A346" s="672" t="str">
        <f t="shared" si="5"/>
        <v>155</v>
      </c>
      <c r="B346" s="672">
        <v>15552</v>
      </c>
      <c r="C346" s="673" t="s">
        <v>4</v>
      </c>
      <c r="D346" s="672" t="s">
        <v>5</v>
      </c>
    </row>
    <row r="347" spans="1:4" x14ac:dyDescent="0.2">
      <c r="A347" s="672" t="str">
        <f t="shared" si="5"/>
        <v>155</v>
      </c>
      <c r="B347" s="672">
        <v>15553</v>
      </c>
      <c r="C347" s="673" t="s">
        <v>4</v>
      </c>
      <c r="D347" s="672" t="s">
        <v>5</v>
      </c>
    </row>
    <row r="348" spans="1:4" x14ac:dyDescent="0.2">
      <c r="A348" s="672" t="str">
        <f t="shared" si="5"/>
        <v>155</v>
      </c>
      <c r="B348" s="672">
        <v>15554</v>
      </c>
      <c r="C348" s="673" t="s">
        <v>4</v>
      </c>
      <c r="D348" s="672" t="s">
        <v>5</v>
      </c>
    </row>
    <row r="349" spans="1:4" x14ac:dyDescent="0.2">
      <c r="A349" s="672" t="str">
        <f t="shared" si="5"/>
        <v>155</v>
      </c>
      <c r="B349" s="672">
        <v>15555</v>
      </c>
      <c r="C349" s="673" t="s">
        <v>4</v>
      </c>
      <c r="D349" s="672" t="s">
        <v>5</v>
      </c>
    </row>
    <row r="350" spans="1:4" x14ac:dyDescent="0.2">
      <c r="A350" s="672" t="str">
        <f t="shared" si="5"/>
        <v>155</v>
      </c>
      <c r="B350" s="672">
        <v>15557</v>
      </c>
      <c r="C350" s="673" t="s">
        <v>4</v>
      </c>
      <c r="D350" s="672" t="s">
        <v>5</v>
      </c>
    </row>
    <row r="351" spans="1:4" x14ac:dyDescent="0.2">
      <c r="A351" s="672" t="str">
        <f t="shared" si="5"/>
        <v>155</v>
      </c>
      <c r="B351" s="672">
        <v>15558</v>
      </c>
      <c r="C351" s="673" t="s">
        <v>4</v>
      </c>
      <c r="D351" s="672" t="s">
        <v>5</v>
      </c>
    </row>
    <row r="352" spans="1:4" x14ac:dyDescent="0.2">
      <c r="A352" s="672" t="str">
        <f t="shared" si="5"/>
        <v>155</v>
      </c>
      <c r="B352" s="672">
        <v>15559</v>
      </c>
      <c r="C352" s="673" t="s">
        <v>4</v>
      </c>
      <c r="D352" s="672" t="s">
        <v>5</v>
      </c>
    </row>
    <row r="353" spans="1:4" x14ac:dyDescent="0.2">
      <c r="A353" s="672" t="str">
        <f t="shared" si="5"/>
        <v>155</v>
      </c>
      <c r="B353" s="672">
        <v>15560</v>
      </c>
      <c r="C353" s="673" t="s">
        <v>4</v>
      </c>
      <c r="D353" s="672" t="s">
        <v>5</v>
      </c>
    </row>
    <row r="354" spans="1:4" x14ac:dyDescent="0.2">
      <c r="A354" s="672" t="str">
        <f t="shared" si="5"/>
        <v>155</v>
      </c>
      <c r="B354" s="672">
        <v>15561</v>
      </c>
      <c r="C354" s="673" t="s">
        <v>4</v>
      </c>
      <c r="D354" s="672" t="s">
        <v>5</v>
      </c>
    </row>
    <row r="355" spans="1:4" x14ac:dyDescent="0.2">
      <c r="A355" s="672" t="str">
        <f t="shared" si="5"/>
        <v>155</v>
      </c>
      <c r="B355" s="672">
        <v>15562</v>
      </c>
      <c r="C355" s="673" t="s">
        <v>4</v>
      </c>
      <c r="D355" s="672" t="s">
        <v>5</v>
      </c>
    </row>
    <row r="356" spans="1:4" x14ac:dyDescent="0.2">
      <c r="A356" s="672" t="str">
        <f t="shared" si="5"/>
        <v>155</v>
      </c>
      <c r="B356" s="672">
        <v>15563</v>
      </c>
      <c r="C356" s="673" t="s">
        <v>4</v>
      </c>
      <c r="D356" s="672" t="s">
        <v>5</v>
      </c>
    </row>
    <row r="357" spans="1:4" x14ac:dyDescent="0.2">
      <c r="A357" s="672" t="str">
        <f t="shared" si="5"/>
        <v>155</v>
      </c>
      <c r="B357" s="672">
        <v>15564</v>
      </c>
      <c r="C357" s="673" t="s">
        <v>4</v>
      </c>
      <c r="D357" s="672" t="s">
        <v>5</v>
      </c>
    </row>
    <row r="358" spans="1:4" x14ac:dyDescent="0.2">
      <c r="A358" s="672" t="str">
        <f t="shared" si="5"/>
        <v>155</v>
      </c>
      <c r="B358" s="672">
        <v>15565</v>
      </c>
      <c r="C358" s="673" t="s">
        <v>4</v>
      </c>
      <c r="D358" s="672" t="s">
        <v>5</v>
      </c>
    </row>
    <row r="359" spans="1:4" x14ac:dyDescent="0.2">
      <c r="A359" s="672" t="str">
        <f t="shared" si="5"/>
        <v>156</v>
      </c>
      <c r="B359" s="672">
        <v>15601</v>
      </c>
      <c r="C359" s="673" t="s">
        <v>4</v>
      </c>
      <c r="D359" s="672" t="s">
        <v>5</v>
      </c>
    </row>
    <row r="360" spans="1:4" x14ac:dyDescent="0.2">
      <c r="A360" s="672" t="str">
        <f t="shared" si="5"/>
        <v>156</v>
      </c>
      <c r="B360" s="672">
        <v>15605</v>
      </c>
      <c r="C360" s="673" t="s">
        <v>4</v>
      </c>
      <c r="D360" s="672" t="s">
        <v>5</v>
      </c>
    </row>
    <row r="361" spans="1:4" x14ac:dyDescent="0.2">
      <c r="A361" s="672" t="str">
        <f t="shared" si="5"/>
        <v>156</v>
      </c>
      <c r="B361" s="672">
        <v>15606</v>
      </c>
      <c r="C361" s="673" t="s">
        <v>4</v>
      </c>
      <c r="D361" s="672" t="s">
        <v>5</v>
      </c>
    </row>
    <row r="362" spans="1:4" x14ac:dyDescent="0.2">
      <c r="A362" s="672" t="str">
        <f t="shared" si="5"/>
        <v>156</v>
      </c>
      <c r="B362" s="672">
        <v>15610</v>
      </c>
      <c r="C362" s="673" t="s">
        <v>4</v>
      </c>
      <c r="D362" s="672" t="s">
        <v>5</v>
      </c>
    </row>
    <row r="363" spans="1:4" x14ac:dyDescent="0.2">
      <c r="A363" s="672" t="str">
        <f t="shared" si="5"/>
        <v>156</v>
      </c>
      <c r="B363" s="672">
        <v>15611</v>
      </c>
      <c r="C363" s="673" t="s">
        <v>4</v>
      </c>
      <c r="D363" s="672" t="s">
        <v>5</v>
      </c>
    </row>
    <row r="364" spans="1:4" x14ac:dyDescent="0.2">
      <c r="A364" s="672" t="str">
        <f t="shared" si="5"/>
        <v>156</v>
      </c>
      <c r="B364" s="672">
        <v>15612</v>
      </c>
      <c r="C364" s="673" t="s">
        <v>4</v>
      </c>
      <c r="D364" s="672" t="s">
        <v>5</v>
      </c>
    </row>
    <row r="365" spans="1:4" x14ac:dyDescent="0.2">
      <c r="A365" s="672" t="str">
        <f t="shared" si="5"/>
        <v>156</v>
      </c>
      <c r="B365" s="672">
        <v>15613</v>
      </c>
      <c r="C365" s="673" t="s">
        <v>4</v>
      </c>
      <c r="D365" s="672" t="s">
        <v>5</v>
      </c>
    </row>
    <row r="366" spans="1:4" x14ac:dyDescent="0.2">
      <c r="A366" s="672" t="str">
        <f t="shared" si="5"/>
        <v>156</v>
      </c>
      <c r="B366" s="672">
        <v>15615</v>
      </c>
      <c r="C366" s="673" t="s">
        <v>4</v>
      </c>
      <c r="D366" s="672" t="s">
        <v>5</v>
      </c>
    </row>
    <row r="367" spans="1:4" x14ac:dyDescent="0.2">
      <c r="A367" s="672" t="str">
        <f t="shared" si="5"/>
        <v>156</v>
      </c>
      <c r="B367" s="672">
        <v>15616</v>
      </c>
      <c r="C367" s="673" t="s">
        <v>4</v>
      </c>
      <c r="D367" s="672" t="s">
        <v>5</v>
      </c>
    </row>
    <row r="368" spans="1:4" x14ac:dyDescent="0.2">
      <c r="A368" s="672" t="str">
        <f t="shared" si="5"/>
        <v>156</v>
      </c>
      <c r="B368" s="672">
        <v>15617</v>
      </c>
      <c r="C368" s="673" t="s">
        <v>4</v>
      </c>
      <c r="D368" s="672" t="s">
        <v>5</v>
      </c>
    </row>
    <row r="369" spans="1:4" x14ac:dyDescent="0.2">
      <c r="A369" s="672" t="str">
        <f t="shared" si="5"/>
        <v>156</v>
      </c>
      <c r="B369" s="672">
        <v>15618</v>
      </c>
      <c r="C369" s="673" t="s">
        <v>4</v>
      </c>
      <c r="D369" s="672" t="s">
        <v>5</v>
      </c>
    </row>
    <row r="370" spans="1:4" x14ac:dyDescent="0.2">
      <c r="A370" s="672" t="str">
        <f t="shared" si="5"/>
        <v>156</v>
      </c>
      <c r="B370" s="672">
        <v>15619</v>
      </c>
      <c r="C370" s="673" t="s">
        <v>4</v>
      </c>
      <c r="D370" s="672" t="s">
        <v>5</v>
      </c>
    </row>
    <row r="371" spans="1:4" x14ac:dyDescent="0.2">
      <c r="A371" s="672" t="str">
        <f t="shared" si="5"/>
        <v>156</v>
      </c>
      <c r="B371" s="672">
        <v>15620</v>
      </c>
      <c r="C371" s="673" t="s">
        <v>4</v>
      </c>
      <c r="D371" s="672" t="s">
        <v>5</v>
      </c>
    </row>
    <row r="372" spans="1:4" x14ac:dyDescent="0.2">
      <c r="A372" s="672" t="str">
        <f t="shared" si="5"/>
        <v>156</v>
      </c>
      <c r="B372" s="672">
        <v>15621</v>
      </c>
      <c r="C372" s="673" t="s">
        <v>4</v>
      </c>
      <c r="D372" s="672" t="s">
        <v>5</v>
      </c>
    </row>
    <row r="373" spans="1:4" x14ac:dyDescent="0.2">
      <c r="A373" s="672" t="str">
        <f t="shared" si="5"/>
        <v>156</v>
      </c>
      <c r="B373" s="672">
        <v>15622</v>
      </c>
      <c r="C373" s="673" t="s">
        <v>4</v>
      </c>
      <c r="D373" s="672" t="s">
        <v>5</v>
      </c>
    </row>
    <row r="374" spans="1:4" x14ac:dyDescent="0.2">
      <c r="A374" s="672" t="str">
        <f t="shared" si="5"/>
        <v>156</v>
      </c>
      <c r="B374" s="672">
        <v>15623</v>
      </c>
      <c r="C374" s="673" t="s">
        <v>4</v>
      </c>
      <c r="D374" s="672" t="s">
        <v>5</v>
      </c>
    </row>
    <row r="375" spans="1:4" x14ac:dyDescent="0.2">
      <c r="A375" s="672" t="str">
        <f t="shared" si="5"/>
        <v>156</v>
      </c>
      <c r="B375" s="672">
        <v>15624</v>
      </c>
      <c r="C375" s="673" t="s">
        <v>4</v>
      </c>
      <c r="D375" s="672" t="s">
        <v>5</v>
      </c>
    </row>
    <row r="376" spans="1:4" x14ac:dyDescent="0.2">
      <c r="A376" s="672" t="str">
        <f t="shared" si="5"/>
        <v>156</v>
      </c>
      <c r="B376" s="672">
        <v>15625</v>
      </c>
      <c r="C376" s="673" t="s">
        <v>4</v>
      </c>
      <c r="D376" s="672" t="s">
        <v>5</v>
      </c>
    </row>
    <row r="377" spans="1:4" x14ac:dyDescent="0.2">
      <c r="A377" s="672" t="str">
        <f t="shared" si="5"/>
        <v>156</v>
      </c>
      <c r="B377" s="672">
        <v>15626</v>
      </c>
      <c r="C377" s="673" t="s">
        <v>4</v>
      </c>
      <c r="D377" s="672" t="s">
        <v>5</v>
      </c>
    </row>
    <row r="378" spans="1:4" x14ac:dyDescent="0.2">
      <c r="A378" s="672" t="str">
        <f t="shared" si="5"/>
        <v>156</v>
      </c>
      <c r="B378" s="672">
        <v>15627</v>
      </c>
      <c r="C378" s="673" t="s">
        <v>4</v>
      </c>
      <c r="D378" s="672" t="s">
        <v>5</v>
      </c>
    </row>
    <row r="379" spans="1:4" x14ac:dyDescent="0.2">
      <c r="A379" s="672" t="str">
        <f t="shared" si="5"/>
        <v>156</v>
      </c>
      <c r="B379" s="672">
        <v>15628</v>
      </c>
      <c r="C379" s="673" t="s">
        <v>4</v>
      </c>
      <c r="D379" s="672" t="s">
        <v>5</v>
      </c>
    </row>
    <row r="380" spans="1:4" x14ac:dyDescent="0.2">
      <c r="A380" s="672" t="str">
        <f t="shared" si="5"/>
        <v>156</v>
      </c>
      <c r="B380" s="672">
        <v>15629</v>
      </c>
      <c r="C380" s="673" t="s">
        <v>4</v>
      </c>
      <c r="D380" s="672" t="s">
        <v>5</v>
      </c>
    </row>
    <row r="381" spans="1:4" x14ac:dyDescent="0.2">
      <c r="A381" s="672" t="str">
        <f t="shared" si="5"/>
        <v>156</v>
      </c>
      <c r="B381" s="672">
        <v>15630</v>
      </c>
      <c r="C381" s="673" t="s">
        <v>4</v>
      </c>
      <c r="D381" s="672" t="s">
        <v>5</v>
      </c>
    </row>
    <row r="382" spans="1:4" x14ac:dyDescent="0.2">
      <c r="A382" s="672" t="str">
        <f t="shared" si="5"/>
        <v>156</v>
      </c>
      <c r="B382" s="672">
        <v>15631</v>
      </c>
      <c r="C382" s="673" t="s">
        <v>4</v>
      </c>
      <c r="D382" s="672" t="s">
        <v>5</v>
      </c>
    </row>
    <row r="383" spans="1:4" x14ac:dyDescent="0.2">
      <c r="A383" s="672" t="str">
        <f t="shared" si="5"/>
        <v>156</v>
      </c>
      <c r="B383" s="672">
        <v>15632</v>
      </c>
      <c r="C383" s="673" t="s">
        <v>4</v>
      </c>
      <c r="D383" s="672" t="s">
        <v>5</v>
      </c>
    </row>
    <row r="384" spans="1:4" x14ac:dyDescent="0.2">
      <c r="A384" s="672" t="str">
        <f t="shared" si="5"/>
        <v>156</v>
      </c>
      <c r="B384" s="672">
        <v>15633</v>
      </c>
      <c r="C384" s="673" t="s">
        <v>4</v>
      </c>
      <c r="D384" s="672" t="s">
        <v>5</v>
      </c>
    </row>
    <row r="385" spans="1:4" x14ac:dyDescent="0.2">
      <c r="A385" s="672" t="str">
        <f t="shared" si="5"/>
        <v>156</v>
      </c>
      <c r="B385" s="672">
        <v>15634</v>
      </c>
      <c r="C385" s="673" t="s">
        <v>4</v>
      </c>
      <c r="D385" s="672" t="s">
        <v>5</v>
      </c>
    </row>
    <row r="386" spans="1:4" x14ac:dyDescent="0.2">
      <c r="A386" s="672" t="str">
        <f t="shared" ref="A386:A449" si="6">LEFT(B386,3)</f>
        <v>156</v>
      </c>
      <c r="B386" s="672">
        <v>15635</v>
      </c>
      <c r="C386" s="673" t="s">
        <v>4</v>
      </c>
      <c r="D386" s="672" t="s">
        <v>5</v>
      </c>
    </row>
    <row r="387" spans="1:4" x14ac:dyDescent="0.2">
      <c r="A387" s="672" t="str">
        <f t="shared" si="6"/>
        <v>156</v>
      </c>
      <c r="B387" s="672">
        <v>15636</v>
      </c>
      <c r="C387" s="673" t="s">
        <v>4</v>
      </c>
      <c r="D387" s="672" t="s">
        <v>5</v>
      </c>
    </row>
    <row r="388" spans="1:4" x14ac:dyDescent="0.2">
      <c r="A388" s="672" t="str">
        <f t="shared" si="6"/>
        <v>156</v>
      </c>
      <c r="B388" s="672">
        <v>15637</v>
      </c>
      <c r="C388" s="673" t="s">
        <v>4</v>
      </c>
      <c r="D388" s="672" t="s">
        <v>5</v>
      </c>
    </row>
    <row r="389" spans="1:4" x14ac:dyDescent="0.2">
      <c r="A389" s="672" t="str">
        <f t="shared" si="6"/>
        <v>156</v>
      </c>
      <c r="B389" s="672">
        <v>15638</v>
      </c>
      <c r="C389" s="673" t="s">
        <v>4</v>
      </c>
      <c r="D389" s="672" t="s">
        <v>5</v>
      </c>
    </row>
    <row r="390" spans="1:4" x14ac:dyDescent="0.2">
      <c r="A390" s="672" t="str">
        <f t="shared" si="6"/>
        <v>156</v>
      </c>
      <c r="B390" s="672">
        <v>15639</v>
      </c>
      <c r="C390" s="673" t="s">
        <v>4</v>
      </c>
      <c r="D390" s="672" t="s">
        <v>5</v>
      </c>
    </row>
    <row r="391" spans="1:4" x14ac:dyDescent="0.2">
      <c r="A391" s="672" t="str">
        <f t="shared" si="6"/>
        <v>156</v>
      </c>
      <c r="B391" s="672">
        <v>15640</v>
      </c>
      <c r="C391" s="673" t="s">
        <v>4</v>
      </c>
      <c r="D391" s="672" t="s">
        <v>5</v>
      </c>
    </row>
    <row r="392" spans="1:4" x14ac:dyDescent="0.2">
      <c r="A392" s="672" t="str">
        <f t="shared" si="6"/>
        <v>156</v>
      </c>
      <c r="B392" s="672">
        <v>15641</v>
      </c>
      <c r="C392" s="673" t="s">
        <v>4</v>
      </c>
      <c r="D392" s="672" t="s">
        <v>5</v>
      </c>
    </row>
    <row r="393" spans="1:4" x14ac:dyDescent="0.2">
      <c r="A393" s="672" t="str">
        <f t="shared" si="6"/>
        <v>156</v>
      </c>
      <c r="B393" s="672">
        <v>15642</v>
      </c>
      <c r="C393" s="673" t="s">
        <v>4</v>
      </c>
      <c r="D393" s="672" t="s">
        <v>5</v>
      </c>
    </row>
    <row r="394" spans="1:4" x14ac:dyDescent="0.2">
      <c r="A394" s="672" t="str">
        <f t="shared" si="6"/>
        <v>156</v>
      </c>
      <c r="B394" s="672">
        <v>15644</v>
      </c>
      <c r="C394" s="673" t="s">
        <v>4</v>
      </c>
      <c r="D394" s="672" t="s">
        <v>5</v>
      </c>
    </row>
    <row r="395" spans="1:4" x14ac:dyDescent="0.2">
      <c r="A395" s="672" t="str">
        <f t="shared" si="6"/>
        <v>156</v>
      </c>
      <c r="B395" s="672">
        <v>15646</v>
      </c>
      <c r="C395" s="673" t="s">
        <v>4</v>
      </c>
      <c r="D395" s="672" t="s">
        <v>5</v>
      </c>
    </row>
    <row r="396" spans="1:4" x14ac:dyDescent="0.2">
      <c r="A396" s="672" t="str">
        <f t="shared" si="6"/>
        <v>156</v>
      </c>
      <c r="B396" s="672">
        <v>15647</v>
      </c>
      <c r="C396" s="673" t="s">
        <v>4</v>
      </c>
      <c r="D396" s="672" t="s">
        <v>5</v>
      </c>
    </row>
    <row r="397" spans="1:4" x14ac:dyDescent="0.2">
      <c r="A397" s="672" t="str">
        <f t="shared" si="6"/>
        <v>156</v>
      </c>
      <c r="B397" s="672">
        <v>15650</v>
      </c>
      <c r="C397" s="673" t="s">
        <v>4</v>
      </c>
      <c r="D397" s="672" t="s">
        <v>5</v>
      </c>
    </row>
    <row r="398" spans="1:4" x14ac:dyDescent="0.2">
      <c r="A398" s="672" t="str">
        <f t="shared" si="6"/>
        <v>156</v>
      </c>
      <c r="B398" s="672">
        <v>15655</v>
      </c>
      <c r="C398" s="673" t="s">
        <v>4</v>
      </c>
      <c r="D398" s="672" t="s">
        <v>5</v>
      </c>
    </row>
    <row r="399" spans="1:4" x14ac:dyDescent="0.2">
      <c r="A399" s="672" t="str">
        <f t="shared" si="6"/>
        <v>156</v>
      </c>
      <c r="B399" s="672">
        <v>15656</v>
      </c>
      <c r="C399" s="673" t="s">
        <v>4</v>
      </c>
      <c r="D399" s="672" t="s">
        <v>5</v>
      </c>
    </row>
    <row r="400" spans="1:4" x14ac:dyDescent="0.2">
      <c r="A400" s="672" t="str">
        <f t="shared" si="6"/>
        <v>156</v>
      </c>
      <c r="B400" s="672">
        <v>15658</v>
      </c>
      <c r="C400" s="673" t="s">
        <v>4</v>
      </c>
      <c r="D400" s="672" t="s">
        <v>5</v>
      </c>
    </row>
    <row r="401" spans="1:4" x14ac:dyDescent="0.2">
      <c r="A401" s="672" t="str">
        <f t="shared" si="6"/>
        <v>156</v>
      </c>
      <c r="B401" s="672">
        <v>15660</v>
      </c>
      <c r="C401" s="673" t="s">
        <v>4</v>
      </c>
      <c r="D401" s="672" t="s">
        <v>5</v>
      </c>
    </row>
    <row r="402" spans="1:4" x14ac:dyDescent="0.2">
      <c r="A402" s="672" t="str">
        <f t="shared" si="6"/>
        <v>156</v>
      </c>
      <c r="B402" s="672">
        <v>15661</v>
      </c>
      <c r="C402" s="673" t="s">
        <v>4</v>
      </c>
      <c r="D402" s="672" t="s">
        <v>5</v>
      </c>
    </row>
    <row r="403" spans="1:4" x14ac:dyDescent="0.2">
      <c r="A403" s="672" t="str">
        <f t="shared" si="6"/>
        <v>156</v>
      </c>
      <c r="B403" s="672">
        <v>15662</v>
      </c>
      <c r="C403" s="673" t="s">
        <v>4</v>
      </c>
      <c r="D403" s="672" t="s">
        <v>5</v>
      </c>
    </row>
    <row r="404" spans="1:4" x14ac:dyDescent="0.2">
      <c r="A404" s="672" t="str">
        <f t="shared" si="6"/>
        <v>156</v>
      </c>
      <c r="B404" s="672">
        <v>15663</v>
      </c>
      <c r="C404" s="673" t="s">
        <v>4</v>
      </c>
      <c r="D404" s="672" t="s">
        <v>5</v>
      </c>
    </row>
    <row r="405" spans="1:4" x14ac:dyDescent="0.2">
      <c r="A405" s="672" t="str">
        <f t="shared" si="6"/>
        <v>156</v>
      </c>
      <c r="B405" s="672">
        <v>15664</v>
      </c>
      <c r="C405" s="673" t="s">
        <v>4</v>
      </c>
      <c r="D405" s="672" t="s">
        <v>5</v>
      </c>
    </row>
    <row r="406" spans="1:4" x14ac:dyDescent="0.2">
      <c r="A406" s="672" t="str">
        <f t="shared" si="6"/>
        <v>156</v>
      </c>
      <c r="B406" s="672">
        <v>15665</v>
      </c>
      <c r="C406" s="673" t="s">
        <v>4</v>
      </c>
      <c r="D406" s="672" t="s">
        <v>5</v>
      </c>
    </row>
    <row r="407" spans="1:4" x14ac:dyDescent="0.2">
      <c r="A407" s="672" t="str">
        <f t="shared" si="6"/>
        <v>156</v>
      </c>
      <c r="B407" s="672">
        <v>15666</v>
      </c>
      <c r="C407" s="673" t="s">
        <v>4</v>
      </c>
      <c r="D407" s="672" t="s">
        <v>5</v>
      </c>
    </row>
    <row r="408" spans="1:4" x14ac:dyDescent="0.2">
      <c r="A408" s="672" t="str">
        <f t="shared" si="6"/>
        <v>156</v>
      </c>
      <c r="B408" s="672">
        <v>15668</v>
      </c>
      <c r="C408" s="673" t="s">
        <v>4</v>
      </c>
      <c r="D408" s="672" t="s">
        <v>5</v>
      </c>
    </row>
    <row r="409" spans="1:4" x14ac:dyDescent="0.2">
      <c r="A409" s="672" t="str">
        <f t="shared" si="6"/>
        <v>156</v>
      </c>
      <c r="B409" s="672">
        <v>15670</v>
      </c>
      <c r="C409" s="673" t="s">
        <v>4</v>
      </c>
      <c r="D409" s="672" t="s">
        <v>5</v>
      </c>
    </row>
    <row r="410" spans="1:4" x14ac:dyDescent="0.2">
      <c r="A410" s="672" t="str">
        <f t="shared" si="6"/>
        <v>156</v>
      </c>
      <c r="B410" s="672">
        <v>15671</v>
      </c>
      <c r="C410" s="673" t="s">
        <v>4</v>
      </c>
      <c r="D410" s="672" t="s">
        <v>5</v>
      </c>
    </row>
    <row r="411" spans="1:4" x14ac:dyDescent="0.2">
      <c r="A411" s="672" t="str">
        <f t="shared" si="6"/>
        <v>156</v>
      </c>
      <c r="B411" s="672">
        <v>15672</v>
      </c>
      <c r="C411" s="673" t="s">
        <v>4</v>
      </c>
      <c r="D411" s="672" t="s">
        <v>5</v>
      </c>
    </row>
    <row r="412" spans="1:4" x14ac:dyDescent="0.2">
      <c r="A412" s="672" t="str">
        <f t="shared" si="6"/>
        <v>156</v>
      </c>
      <c r="B412" s="672">
        <v>15673</v>
      </c>
      <c r="C412" s="673" t="s">
        <v>4</v>
      </c>
      <c r="D412" s="672" t="s">
        <v>5</v>
      </c>
    </row>
    <row r="413" spans="1:4" x14ac:dyDescent="0.2">
      <c r="A413" s="672" t="str">
        <f t="shared" si="6"/>
        <v>156</v>
      </c>
      <c r="B413" s="672">
        <v>15674</v>
      </c>
      <c r="C413" s="673" t="s">
        <v>4</v>
      </c>
      <c r="D413" s="672" t="s">
        <v>5</v>
      </c>
    </row>
    <row r="414" spans="1:4" x14ac:dyDescent="0.2">
      <c r="A414" s="672" t="str">
        <f t="shared" si="6"/>
        <v>156</v>
      </c>
      <c r="B414" s="672">
        <v>15675</v>
      </c>
      <c r="C414" s="673" t="s">
        <v>4</v>
      </c>
      <c r="D414" s="672" t="s">
        <v>5</v>
      </c>
    </row>
    <row r="415" spans="1:4" x14ac:dyDescent="0.2">
      <c r="A415" s="672" t="str">
        <f t="shared" si="6"/>
        <v>156</v>
      </c>
      <c r="B415" s="672">
        <v>15676</v>
      </c>
      <c r="C415" s="673" t="s">
        <v>4</v>
      </c>
      <c r="D415" s="672" t="s">
        <v>5</v>
      </c>
    </row>
    <row r="416" spans="1:4" x14ac:dyDescent="0.2">
      <c r="A416" s="672" t="str">
        <f t="shared" si="6"/>
        <v>156</v>
      </c>
      <c r="B416" s="672">
        <v>15677</v>
      </c>
      <c r="C416" s="673" t="s">
        <v>4</v>
      </c>
      <c r="D416" s="672" t="s">
        <v>5</v>
      </c>
    </row>
    <row r="417" spans="1:4" x14ac:dyDescent="0.2">
      <c r="A417" s="672" t="str">
        <f t="shared" si="6"/>
        <v>156</v>
      </c>
      <c r="B417" s="672">
        <v>15678</v>
      </c>
      <c r="C417" s="673" t="s">
        <v>4</v>
      </c>
      <c r="D417" s="672" t="s">
        <v>5</v>
      </c>
    </row>
    <row r="418" spans="1:4" x14ac:dyDescent="0.2">
      <c r="A418" s="672" t="str">
        <f t="shared" si="6"/>
        <v>156</v>
      </c>
      <c r="B418" s="672">
        <v>15679</v>
      </c>
      <c r="C418" s="673" t="s">
        <v>4</v>
      </c>
      <c r="D418" s="672" t="s">
        <v>5</v>
      </c>
    </row>
    <row r="419" spans="1:4" x14ac:dyDescent="0.2">
      <c r="A419" s="672" t="str">
        <f t="shared" si="6"/>
        <v>156</v>
      </c>
      <c r="B419" s="672">
        <v>15680</v>
      </c>
      <c r="C419" s="673" t="s">
        <v>4</v>
      </c>
      <c r="D419" s="672" t="s">
        <v>5</v>
      </c>
    </row>
    <row r="420" spans="1:4" x14ac:dyDescent="0.2">
      <c r="A420" s="672" t="str">
        <f t="shared" si="6"/>
        <v>156</v>
      </c>
      <c r="B420" s="672">
        <v>15681</v>
      </c>
      <c r="C420" s="673" t="s">
        <v>4</v>
      </c>
      <c r="D420" s="672" t="s">
        <v>5</v>
      </c>
    </row>
    <row r="421" spans="1:4" x14ac:dyDescent="0.2">
      <c r="A421" s="672" t="str">
        <f t="shared" si="6"/>
        <v>156</v>
      </c>
      <c r="B421" s="672">
        <v>15682</v>
      </c>
      <c r="C421" s="673" t="s">
        <v>4</v>
      </c>
      <c r="D421" s="672" t="s">
        <v>5</v>
      </c>
    </row>
    <row r="422" spans="1:4" x14ac:dyDescent="0.2">
      <c r="A422" s="672" t="str">
        <f t="shared" si="6"/>
        <v>156</v>
      </c>
      <c r="B422" s="672">
        <v>15683</v>
      </c>
      <c r="C422" s="673" t="s">
        <v>4</v>
      </c>
      <c r="D422" s="672" t="s">
        <v>5</v>
      </c>
    </row>
    <row r="423" spans="1:4" x14ac:dyDescent="0.2">
      <c r="A423" s="672" t="str">
        <f t="shared" si="6"/>
        <v>156</v>
      </c>
      <c r="B423" s="672">
        <v>15684</v>
      </c>
      <c r="C423" s="673" t="s">
        <v>4</v>
      </c>
      <c r="D423" s="672" t="s">
        <v>5</v>
      </c>
    </row>
    <row r="424" spans="1:4" x14ac:dyDescent="0.2">
      <c r="A424" s="672" t="str">
        <f t="shared" si="6"/>
        <v>156</v>
      </c>
      <c r="B424" s="672">
        <v>15685</v>
      </c>
      <c r="C424" s="673" t="s">
        <v>4</v>
      </c>
      <c r="D424" s="672" t="s">
        <v>5</v>
      </c>
    </row>
    <row r="425" spans="1:4" x14ac:dyDescent="0.2">
      <c r="A425" s="672" t="str">
        <f t="shared" si="6"/>
        <v>156</v>
      </c>
      <c r="B425" s="672">
        <v>15686</v>
      </c>
      <c r="C425" s="673" t="s">
        <v>4</v>
      </c>
      <c r="D425" s="672" t="s">
        <v>5</v>
      </c>
    </row>
    <row r="426" spans="1:4" x14ac:dyDescent="0.2">
      <c r="A426" s="672" t="str">
        <f t="shared" si="6"/>
        <v>156</v>
      </c>
      <c r="B426" s="672">
        <v>15687</v>
      </c>
      <c r="C426" s="673" t="s">
        <v>4</v>
      </c>
      <c r="D426" s="672" t="s">
        <v>5</v>
      </c>
    </row>
    <row r="427" spans="1:4" x14ac:dyDescent="0.2">
      <c r="A427" s="672" t="str">
        <f t="shared" si="6"/>
        <v>156</v>
      </c>
      <c r="B427" s="672">
        <v>15688</v>
      </c>
      <c r="C427" s="673" t="s">
        <v>4</v>
      </c>
      <c r="D427" s="672" t="s">
        <v>5</v>
      </c>
    </row>
    <row r="428" spans="1:4" x14ac:dyDescent="0.2">
      <c r="A428" s="672" t="str">
        <f t="shared" si="6"/>
        <v>156</v>
      </c>
      <c r="B428" s="672">
        <v>15689</v>
      </c>
      <c r="C428" s="673" t="s">
        <v>4</v>
      </c>
      <c r="D428" s="672" t="s">
        <v>5</v>
      </c>
    </row>
    <row r="429" spans="1:4" x14ac:dyDescent="0.2">
      <c r="A429" s="672" t="str">
        <f t="shared" si="6"/>
        <v>156</v>
      </c>
      <c r="B429" s="672">
        <v>15690</v>
      </c>
      <c r="C429" s="673" t="s">
        <v>4</v>
      </c>
      <c r="D429" s="672" t="s">
        <v>5</v>
      </c>
    </row>
    <row r="430" spans="1:4" x14ac:dyDescent="0.2">
      <c r="A430" s="672" t="str">
        <f t="shared" si="6"/>
        <v>156</v>
      </c>
      <c r="B430" s="672">
        <v>15691</v>
      </c>
      <c r="C430" s="673" t="s">
        <v>4</v>
      </c>
      <c r="D430" s="672" t="s">
        <v>5</v>
      </c>
    </row>
    <row r="431" spans="1:4" x14ac:dyDescent="0.2">
      <c r="A431" s="672" t="str">
        <f t="shared" si="6"/>
        <v>156</v>
      </c>
      <c r="B431" s="672">
        <v>15692</v>
      </c>
      <c r="C431" s="673" t="s">
        <v>4</v>
      </c>
      <c r="D431" s="672" t="s">
        <v>5</v>
      </c>
    </row>
    <row r="432" spans="1:4" x14ac:dyDescent="0.2">
      <c r="A432" s="672" t="str">
        <f t="shared" si="6"/>
        <v>156</v>
      </c>
      <c r="B432" s="672">
        <v>15693</v>
      </c>
      <c r="C432" s="673" t="s">
        <v>4</v>
      </c>
      <c r="D432" s="672" t="s">
        <v>5</v>
      </c>
    </row>
    <row r="433" spans="1:4" x14ac:dyDescent="0.2">
      <c r="A433" s="672" t="str">
        <f t="shared" si="6"/>
        <v>156</v>
      </c>
      <c r="B433" s="672">
        <v>15695</v>
      </c>
      <c r="C433" s="673" t="s">
        <v>4</v>
      </c>
      <c r="D433" s="672" t="s">
        <v>5</v>
      </c>
    </row>
    <row r="434" spans="1:4" x14ac:dyDescent="0.2">
      <c r="A434" s="672" t="str">
        <f t="shared" si="6"/>
        <v>156</v>
      </c>
      <c r="B434" s="672">
        <v>15696</v>
      </c>
      <c r="C434" s="673" t="s">
        <v>4</v>
      </c>
      <c r="D434" s="672" t="s">
        <v>5</v>
      </c>
    </row>
    <row r="435" spans="1:4" x14ac:dyDescent="0.2">
      <c r="A435" s="672" t="str">
        <f t="shared" si="6"/>
        <v>156</v>
      </c>
      <c r="B435" s="672">
        <v>15697</v>
      </c>
      <c r="C435" s="673" t="s">
        <v>4</v>
      </c>
      <c r="D435" s="672" t="s">
        <v>5</v>
      </c>
    </row>
    <row r="436" spans="1:4" x14ac:dyDescent="0.2">
      <c r="A436" s="672" t="str">
        <f t="shared" si="6"/>
        <v>156</v>
      </c>
      <c r="B436" s="672">
        <v>15698</v>
      </c>
      <c r="C436" s="673" t="s">
        <v>4</v>
      </c>
      <c r="D436" s="672" t="s">
        <v>5</v>
      </c>
    </row>
    <row r="437" spans="1:4" x14ac:dyDescent="0.2">
      <c r="A437" s="672" t="str">
        <f t="shared" si="6"/>
        <v>157</v>
      </c>
      <c r="B437" s="672">
        <v>15701</v>
      </c>
      <c r="C437" s="673" t="s">
        <v>4</v>
      </c>
      <c r="D437" s="672" t="s">
        <v>5</v>
      </c>
    </row>
    <row r="438" spans="1:4" x14ac:dyDescent="0.2">
      <c r="A438" s="672" t="str">
        <f t="shared" si="6"/>
        <v>157</v>
      </c>
      <c r="B438" s="672">
        <v>15705</v>
      </c>
      <c r="C438" s="673" t="s">
        <v>4</v>
      </c>
      <c r="D438" s="672" t="s">
        <v>5</v>
      </c>
    </row>
    <row r="439" spans="1:4" x14ac:dyDescent="0.2">
      <c r="A439" s="672" t="str">
        <f t="shared" si="6"/>
        <v>157</v>
      </c>
      <c r="B439" s="672">
        <v>15710</v>
      </c>
      <c r="C439" s="673" t="s">
        <v>4</v>
      </c>
      <c r="D439" s="672" t="s">
        <v>5</v>
      </c>
    </row>
    <row r="440" spans="1:4" x14ac:dyDescent="0.2">
      <c r="A440" s="672" t="str">
        <f t="shared" si="6"/>
        <v>157</v>
      </c>
      <c r="B440" s="672">
        <v>15711</v>
      </c>
      <c r="C440" s="673" t="s">
        <v>8</v>
      </c>
      <c r="D440" s="672" t="s">
        <v>9</v>
      </c>
    </row>
    <row r="441" spans="1:4" x14ac:dyDescent="0.2">
      <c r="A441" s="672" t="str">
        <f t="shared" si="6"/>
        <v>157</v>
      </c>
      <c r="B441" s="672">
        <v>15712</v>
      </c>
      <c r="C441" s="673" t="s">
        <v>4</v>
      </c>
      <c r="D441" s="672" t="s">
        <v>5</v>
      </c>
    </row>
    <row r="442" spans="1:4" x14ac:dyDescent="0.2">
      <c r="A442" s="672" t="str">
        <f t="shared" si="6"/>
        <v>157</v>
      </c>
      <c r="B442" s="672">
        <v>15713</v>
      </c>
      <c r="C442" s="673" t="s">
        <v>4</v>
      </c>
      <c r="D442" s="672" t="s">
        <v>5</v>
      </c>
    </row>
    <row r="443" spans="1:4" x14ac:dyDescent="0.2">
      <c r="A443" s="672" t="str">
        <f t="shared" si="6"/>
        <v>157</v>
      </c>
      <c r="B443" s="672">
        <v>15714</v>
      </c>
      <c r="C443" s="673" t="s">
        <v>4</v>
      </c>
      <c r="D443" s="672" t="s">
        <v>5</v>
      </c>
    </row>
    <row r="444" spans="1:4" x14ac:dyDescent="0.2">
      <c r="A444" s="672" t="str">
        <f t="shared" si="6"/>
        <v>157</v>
      </c>
      <c r="B444" s="672">
        <v>15715</v>
      </c>
      <c r="C444" s="673" t="s">
        <v>8</v>
      </c>
      <c r="D444" s="672" t="s">
        <v>9</v>
      </c>
    </row>
    <row r="445" spans="1:4" x14ac:dyDescent="0.2">
      <c r="A445" s="672" t="str">
        <f t="shared" si="6"/>
        <v>157</v>
      </c>
      <c r="B445" s="672">
        <v>15716</v>
      </c>
      <c r="C445" s="673" t="s">
        <v>4</v>
      </c>
      <c r="D445" s="672" t="s">
        <v>5</v>
      </c>
    </row>
    <row r="446" spans="1:4" x14ac:dyDescent="0.2">
      <c r="A446" s="672" t="str">
        <f t="shared" si="6"/>
        <v>157</v>
      </c>
      <c r="B446" s="672">
        <v>15717</v>
      </c>
      <c r="C446" s="673" t="s">
        <v>4</v>
      </c>
      <c r="D446" s="672" t="s">
        <v>5</v>
      </c>
    </row>
    <row r="447" spans="1:4" x14ac:dyDescent="0.2">
      <c r="A447" s="672" t="str">
        <f t="shared" si="6"/>
        <v>157</v>
      </c>
      <c r="B447" s="672">
        <v>15720</v>
      </c>
      <c r="C447" s="673" t="s">
        <v>4</v>
      </c>
      <c r="D447" s="672" t="s">
        <v>5</v>
      </c>
    </row>
    <row r="448" spans="1:4" x14ac:dyDescent="0.2">
      <c r="A448" s="672" t="str">
        <f t="shared" si="6"/>
        <v>157</v>
      </c>
      <c r="B448" s="672">
        <v>15721</v>
      </c>
      <c r="C448" s="673" t="s">
        <v>10</v>
      </c>
      <c r="D448" s="672" t="s">
        <v>11</v>
      </c>
    </row>
    <row r="449" spans="1:4" x14ac:dyDescent="0.2">
      <c r="A449" s="672" t="str">
        <f t="shared" si="6"/>
        <v>157</v>
      </c>
      <c r="B449" s="672">
        <v>15722</v>
      </c>
      <c r="C449" s="673" t="s">
        <v>4</v>
      </c>
      <c r="D449" s="672" t="s">
        <v>5</v>
      </c>
    </row>
    <row r="450" spans="1:4" x14ac:dyDescent="0.2">
      <c r="A450" s="672" t="str">
        <f t="shared" ref="A450:A513" si="7">LEFT(B450,3)</f>
        <v>157</v>
      </c>
      <c r="B450" s="672">
        <v>15723</v>
      </c>
      <c r="C450" s="673" t="s">
        <v>4</v>
      </c>
      <c r="D450" s="672" t="s">
        <v>5</v>
      </c>
    </row>
    <row r="451" spans="1:4" x14ac:dyDescent="0.2">
      <c r="A451" s="672" t="str">
        <f t="shared" si="7"/>
        <v>157</v>
      </c>
      <c r="B451" s="672">
        <v>15724</v>
      </c>
      <c r="C451" s="673" t="s">
        <v>4</v>
      </c>
      <c r="D451" s="672" t="s">
        <v>5</v>
      </c>
    </row>
    <row r="452" spans="1:4" x14ac:dyDescent="0.2">
      <c r="A452" s="672" t="str">
        <f t="shared" si="7"/>
        <v>157</v>
      </c>
      <c r="B452" s="672">
        <v>15725</v>
      </c>
      <c r="C452" s="673" t="s">
        <v>4</v>
      </c>
      <c r="D452" s="672" t="s">
        <v>5</v>
      </c>
    </row>
    <row r="453" spans="1:4" x14ac:dyDescent="0.2">
      <c r="A453" s="672" t="str">
        <f t="shared" si="7"/>
        <v>157</v>
      </c>
      <c r="B453" s="672">
        <v>15727</v>
      </c>
      <c r="C453" s="673" t="s">
        <v>4</v>
      </c>
      <c r="D453" s="672" t="s">
        <v>5</v>
      </c>
    </row>
    <row r="454" spans="1:4" x14ac:dyDescent="0.2">
      <c r="A454" s="672" t="str">
        <f t="shared" si="7"/>
        <v>157</v>
      </c>
      <c r="B454" s="672">
        <v>15728</v>
      </c>
      <c r="C454" s="673" t="s">
        <v>4</v>
      </c>
      <c r="D454" s="672" t="s">
        <v>5</v>
      </c>
    </row>
    <row r="455" spans="1:4" x14ac:dyDescent="0.2">
      <c r="A455" s="672" t="str">
        <f t="shared" si="7"/>
        <v>157</v>
      </c>
      <c r="B455" s="672">
        <v>15729</v>
      </c>
      <c r="C455" s="673" t="s">
        <v>4</v>
      </c>
      <c r="D455" s="672" t="s">
        <v>5</v>
      </c>
    </row>
    <row r="456" spans="1:4" x14ac:dyDescent="0.2">
      <c r="A456" s="672" t="str">
        <f t="shared" si="7"/>
        <v>157</v>
      </c>
      <c r="B456" s="672">
        <v>15730</v>
      </c>
      <c r="C456" s="673" t="s">
        <v>8</v>
      </c>
      <c r="D456" s="672" t="s">
        <v>9</v>
      </c>
    </row>
    <row r="457" spans="1:4" x14ac:dyDescent="0.2">
      <c r="A457" s="672" t="str">
        <f t="shared" si="7"/>
        <v>157</v>
      </c>
      <c r="B457" s="672">
        <v>15731</v>
      </c>
      <c r="C457" s="673" t="s">
        <v>4</v>
      </c>
      <c r="D457" s="672" t="s">
        <v>5</v>
      </c>
    </row>
    <row r="458" spans="1:4" x14ac:dyDescent="0.2">
      <c r="A458" s="672" t="str">
        <f t="shared" si="7"/>
        <v>157</v>
      </c>
      <c r="B458" s="672">
        <v>15732</v>
      </c>
      <c r="C458" s="673" t="s">
        <v>4</v>
      </c>
      <c r="D458" s="672" t="s">
        <v>5</v>
      </c>
    </row>
    <row r="459" spans="1:4" x14ac:dyDescent="0.2">
      <c r="A459" s="672" t="str">
        <f t="shared" si="7"/>
        <v>157</v>
      </c>
      <c r="B459" s="672">
        <v>15733</v>
      </c>
      <c r="C459" s="673" t="s">
        <v>8</v>
      </c>
      <c r="D459" s="672" t="s">
        <v>9</v>
      </c>
    </row>
    <row r="460" spans="1:4" x14ac:dyDescent="0.2">
      <c r="A460" s="672" t="str">
        <f t="shared" si="7"/>
        <v>157</v>
      </c>
      <c r="B460" s="672">
        <v>15734</v>
      </c>
      <c r="C460" s="673" t="s">
        <v>4</v>
      </c>
      <c r="D460" s="672" t="s">
        <v>5</v>
      </c>
    </row>
    <row r="461" spans="1:4" x14ac:dyDescent="0.2">
      <c r="A461" s="672" t="str">
        <f t="shared" si="7"/>
        <v>157</v>
      </c>
      <c r="B461" s="672">
        <v>15736</v>
      </c>
      <c r="C461" s="673" t="s">
        <v>4</v>
      </c>
      <c r="D461" s="672" t="s">
        <v>5</v>
      </c>
    </row>
    <row r="462" spans="1:4" x14ac:dyDescent="0.2">
      <c r="A462" s="672" t="str">
        <f t="shared" si="7"/>
        <v>157</v>
      </c>
      <c r="B462" s="672">
        <v>15737</v>
      </c>
      <c r="C462" s="673" t="s">
        <v>4</v>
      </c>
      <c r="D462" s="672" t="s">
        <v>5</v>
      </c>
    </row>
    <row r="463" spans="1:4" x14ac:dyDescent="0.2">
      <c r="A463" s="672" t="str">
        <f t="shared" si="7"/>
        <v>157</v>
      </c>
      <c r="B463" s="672">
        <v>15738</v>
      </c>
      <c r="C463" s="673" t="s">
        <v>4</v>
      </c>
      <c r="D463" s="672" t="s">
        <v>5</v>
      </c>
    </row>
    <row r="464" spans="1:4" x14ac:dyDescent="0.2">
      <c r="A464" s="672" t="str">
        <f t="shared" si="7"/>
        <v>157</v>
      </c>
      <c r="B464" s="672">
        <v>15739</v>
      </c>
      <c r="C464" s="673" t="s">
        <v>4</v>
      </c>
      <c r="D464" s="672" t="s">
        <v>5</v>
      </c>
    </row>
    <row r="465" spans="1:4" x14ac:dyDescent="0.2">
      <c r="A465" s="672" t="str">
        <f t="shared" si="7"/>
        <v>157</v>
      </c>
      <c r="B465" s="672">
        <v>15740</v>
      </c>
      <c r="C465" s="673" t="s">
        <v>8</v>
      </c>
      <c r="D465" s="672" t="s">
        <v>9</v>
      </c>
    </row>
    <row r="466" spans="1:4" x14ac:dyDescent="0.2">
      <c r="A466" s="672" t="str">
        <f t="shared" si="7"/>
        <v>157</v>
      </c>
      <c r="B466" s="672">
        <v>15741</v>
      </c>
      <c r="C466" s="673" t="s">
        <v>4</v>
      </c>
      <c r="D466" s="672" t="s">
        <v>5</v>
      </c>
    </row>
    <row r="467" spans="1:4" x14ac:dyDescent="0.2">
      <c r="A467" s="672" t="str">
        <f t="shared" si="7"/>
        <v>157</v>
      </c>
      <c r="B467" s="672">
        <v>15742</v>
      </c>
      <c r="C467" s="673" t="s">
        <v>4</v>
      </c>
      <c r="D467" s="672" t="s">
        <v>5</v>
      </c>
    </row>
    <row r="468" spans="1:4" x14ac:dyDescent="0.2">
      <c r="A468" s="672" t="str">
        <f t="shared" si="7"/>
        <v>157</v>
      </c>
      <c r="B468" s="672">
        <v>15744</v>
      </c>
      <c r="C468" s="673" t="s">
        <v>8</v>
      </c>
      <c r="D468" s="672" t="s">
        <v>9</v>
      </c>
    </row>
    <row r="469" spans="1:4" x14ac:dyDescent="0.2">
      <c r="A469" s="672" t="str">
        <f t="shared" si="7"/>
        <v>157</v>
      </c>
      <c r="B469" s="672">
        <v>15745</v>
      </c>
      <c r="C469" s="673" t="s">
        <v>4</v>
      </c>
      <c r="D469" s="672" t="s">
        <v>5</v>
      </c>
    </row>
    <row r="470" spans="1:4" x14ac:dyDescent="0.2">
      <c r="A470" s="672" t="str">
        <f t="shared" si="7"/>
        <v>157</v>
      </c>
      <c r="B470" s="672">
        <v>15746</v>
      </c>
      <c r="C470" s="673" t="s">
        <v>4</v>
      </c>
      <c r="D470" s="672" t="s">
        <v>5</v>
      </c>
    </row>
    <row r="471" spans="1:4" x14ac:dyDescent="0.2">
      <c r="A471" s="672" t="str">
        <f t="shared" si="7"/>
        <v>157</v>
      </c>
      <c r="B471" s="672">
        <v>15747</v>
      </c>
      <c r="C471" s="673" t="s">
        <v>4</v>
      </c>
      <c r="D471" s="672" t="s">
        <v>5</v>
      </c>
    </row>
    <row r="472" spans="1:4" x14ac:dyDescent="0.2">
      <c r="A472" s="672" t="str">
        <f t="shared" si="7"/>
        <v>157</v>
      </c>
      <c r="B472" s="672">
        <v>15748</v>
      </c>
      <c r="C472" s="673" t="s">
        <v>4</v>
      </c>
      <c r="D472" s="672" t="s">
        <v>5</v>
      </c>
    </row>
    <row r="473" spans="1:4" x14ac:dyDescent="0.2">
      <c r="A473" s="672" t="str">
        <f t="shared" si="7"/>
        <v>157</v>
      </c>
      <c r="B473" s="672">
        <v>15750</v>
      </c>
      <c r="C473" s="673" t="s">
        <v>4</v>
      </c>
      <c r="D473" s="672" t="s">
        <v>5</v>
      </c>
    </row>
    <row r="474" spans="1:4" x14ac:dyDescent="0.2">
      <c r="A474" s="672" t="str">
        <f t="shared" si="7"/>
        <v>157</v>
      </c>
      <c r="B474" s="672">
        <v>15751</v>
      </c>
      <c r="C474" s="673" t="s">
        <v>4</v>
      </c>
      <c r="D474" s="672" t="s">
        <v>5</v>
      </c>
    </row>
    <row r="475" spans="1:4" x14ac:dyDescent="0.2">
      <c r="A475" s="672" t="str">
        <f t="shared" si="7"/>
        <v>157</v>
      </c>
      <c r="B475" s="672">
        <v>15752</v>
      </c>
      <c r="C475" s="673" t="s">
        <v>4</v>
      </c>
      <c r="D475" s="672" t="s">
        <v>5</v>
      </c>
    </row>
    <row r="476" spans="1:4" x14ac:dyDescent="0.2">
      <c r="A476" s="672" t="str">
        <f t="shared" si="7"/>
        <v>157</v>
      </c>
      <c r="B476" s="672">
        <v>15753</v>
      </c>
      <c r="C476" s="673" t="s">
        <v>10</v>
      </c>
      <c r="D476" s="672" t="s">
        <v>11</v>
      </c>
    </row>
    <row r="477" spans="1:4" x14ac:dyDescent="0.2">
      <c r="A477" s="672" t="str">
        <f t="shared" si="7"/>
        <v>157</v>
      </c>
      <c r="B477" s="672">
        <v>15754</v>
      </c>
      <c r="C477" s="673" t="s">
        <v>4</v>
      </c>
      <c r="D477" s="672" t="s">
        <v>5</v>
      </c>
    </row>
    <row r="478" spans="1:4" x14ac:dyDescent="0.2">
      <c r="A478" s="672" t="str">
        <f t="shared" si="7"/>
        <v>157</v>
      </c>
      <c r="B478" s="672">
        <v>15756</v>
      </c>
      <c r="C478" s="673" t="s">
        <v>4</v>
      </c>
      <c r="D478" s="672" t="s">
        <v>5</v>
      </c>
    </row>
    <row r="479" spans="1:4" x14ac:dyDescent="0.2">
      <c r="A479" s="672" t="str">
        <f t="shared" si="7"/>
        <v>157</v>
      </c>
      <c r="B479" s="672">
        <v>15757</v>
      </c>
      <c r="C479" s="673" t="s">
        <v>10</v>
      </c>
      <c r="D479" s="672" t="s">
        <v>11</v>
      </c>
    </row>
    <row r="480" spans="1:4" x14ac:dyDescent="0.2">
      <c r="A480" s="672" t="str">
        <f t="shared" si="7"/>
        <v>157</v>
      </c>
      <c r="B480" s="672">
        <v>15758</v>
      </c>
      <c r="C480" s="673" t="s">
        <v>4</v>
      </c>
      <c r="D480" s="672" t="s">
        <v>5</v>
      </c>
    </row>
    <row r="481" spans="1:4" x14ac:dyDescent="0.2">
      <c r="A481" s="672" t="str">
        <f t="shared" si="7"/>
        <v>157</v>
      </c>
      <c r="B481" s="672">
        <v>15759</v>
      </c>
      <c r="C481" s="673" t="s">
        <v>4</v>
      </c>
      <c r="D481" s="672" t="s">
        <v>5</v>
      </c>
    </row>
    <row r="482" spans="1:4" x14ac:dyDescent="0.2">
      <c r="A482" s="672" t="str">
        <f t="shared" si="7"/>
        <v>157</v>
      </c>
      <c r="B482" s="672">
        <v>15760</v>
      </c>
      <c r="C482" s="673" t="s">
        <v>4</v>
      </c>
      <c r="D482" s="672" t="s">
        <v>5</v>
      </c>
    </row>
    <row r="483" spans="1:4" x14ac:dyDescent="0.2">
      <c r="A483" s="672" t="str">
        <f t="shared" si="7"/>
        <v>157</v>
      </c>
      <c r="B483" s="672">
        <v>15761</v>
      </c>
      <c r="C483" s="673" t="s">
        <v>4</v>
      </c>
      <c r="D483" s="672" t="s">
        <v>5</v>
      </c>
    </row>
    <row r="484" spans="1:4" x14ac:dyDescent="0.2">
      <c r="A484" s="672" t="str">
        <f t="shared" si="7"/>
        <v>157</v>
      </c>
      <c r="B484" s="672">
        <v>15762</v>
      </c>
      <c r="C484" s="673" t="s">
        <v>4</v>
      </c>
      <c r="D484" s="672" t="s">
        <v>5</v>
      </c>
    </row>
    <row r="485" spans="1:4" x14ac:dyDescent="0.2">
      <c r="A485" s="672" t="str">
        <f t="shared" si="7"/>
        <v>157</v>
      </c>
      <c r="B485" s="672">
        <v>15763</v>
      </c>
      <c r="C485" s="673" t="s">
        <v>4</v>
      </c>
      <c r="D485" s="672" t="s">
        <v>5</v>
      </c>
    </row>
    <row r="486" spans="1:4" x14ac:dyDescent="0.2">
      <c r="A486" s="672" t="str">
        <f t="shared" si="7"/>
        <v>157</v>
      </c>
      <c r="B486" s="672">
        <v>15764</v>
      </c>
      <c r="C486" s="673" t="s">
        <v>8</v>
      </c>
      <c r="D486" s="672" t="s">
        <v>9</v>
      </c>
    </row>
    <row r="487" spans="1:4" x14ac:dyDescent="0.2">
      <c r="A487" s="672" t="str">
        <f t="shared" si="7"/>
        <v>157</v>
      </c>
      <c r="B487" s="672">
        <v>15765</v>
      </c>
      <c r="C487" s="673" t="s">
        <v>4</v>
      </c>
      <c r="D487" s="672" t="s">
        <v>5</v>
      </c>
    </row>
    <row r="488" spans="1:4" x14ac:dyDescent="0.2">
      <c r="A488" s="672" t="str">
        <f t="shared" si="7"/>
        <v>157</v>
      </c>
      <c r="B488" s="672">
        <v>15767</v>
      </c>
      <c r="C488" s="673" t="s">
        <v>8</v>
      </c>
      <c r="D488" s="672" t="s">
        <v>9</v>
      </c>
    </row>
    <row r="489" spans="1:4" x14ac:dyDescent="0.2">
      <c r="A489" s="672" t="str">
        <f t="shared" si="7"/>
        <v>157</v>
      </c>
      <c r="B489" s="672">
        <v>15770</v>
      </c>
      <c r="C489" s="673" t="s">
        <v>8</v>
      </c>
      <c r="D489" s="672" t="s">
        <v>9</v>
      </c>
    </row>
    <row r="490" spans="1:4" x14ac:dyDescent="0.2">
      <c r="A490" s="672" t="str">
        <f t="shared" si="7"/>
        <v>157</v>
      </c>
      <c r="B490" s="672">
        <v>15771</v>
      </c>
      <c r="C490" s="673" t="s">
        <v>4</v>
      </c>
      <c r="D490" s="672" t="s">
        <v>5</v>
      </c>
    </row>
    <row r="491" spans="1:4" x14ac:dyDescent="0.2">
      <c r="A491" s="672" t="str">
        <f t="shared" si="7"/>
        <v>157</v>
      </c>
      <c r="B491" s="672">
        <v>15772</v>
      </c>
      <c r="C491" s="673" t="s">
        <v>4</v>
      </c>
      <c r="D491" s="672" t="s">
        <v>5</v>
      </c>
    </row>
    <row r="492" spans="1:4" x14ac:dyDescent="0.2">
      <c r="A492" s="672" t="str">
        <f t="shared" si="7"/>
        <v>157</v>
      </c>
      <c r="B492" s="672">
        <v>15773</v>
      </c>
      <c r="C492" s="673" t="s">
        <v>4</v>
      </c>
      <c r="D492" s="672" t="s">
        <v>5</v>
      </c>
    </row>
    <row r="493" spans="1:4" x14ac:dyDescent="0.2">
      <c r="A493" s="672" t="str">
        <f t="shared" si="7"/>
        <v>157</v>
      </c>
      <c r="B493" s="672">
        <v>15774</v>
      </c>
      <c r="C493" s="673" t="s">
        <v>4</v>
      </c>
      <c r="D493" s="672" t="s">
        <v>5</v>
      </c>
    </row>
    <row r="494" spans="1:4" x14ac:dyDescent="0.2">
      <c r="A494" s="672" t="str">
        <f t="shared" si="7"/>
        <v>157</v>
      </c>
      <c r="B494" s="672">
        <v>15775</v>
      </c>
      <c r="C494" s="673" t="s">
        <v>4</v>
      </c>
      <c r="D494" s="672" t="s">
        <v>5</v>
      </c>
    </row>
    <row r="495" spans="1:4" x14ac:dyDescent="0.2">
      <c r="A495" s="672" t="str">
        <f t="shared" si="7"/>
        <v>157</v>
      </c>
      <c r="B495" s="672">
        <v>15776</v>
      </c>
      <c r="C495" s="673" t="s">
        <v>8</v>
      </c>
      <c r="D495" s="672" t="s">
        <v>9</v>
      </c>
    </row>
    <row r="496" spans="1:4" x14ac:dyDescent="0.2">
      <c r="A496" s="672" t="str">
        <f t="shared" si="7"/>
        <v>157</v>
      </c>
      <c r="B496" s="672">
        <v>15777</v>
      </c>
      <c r="C496" s="673" t="s">
        <v>4</v>
      </c>
      <c r="D496" s="672" t="s">
        <v>5</v>
      </c>
    </row>
    <row r="497" spans="1:4" x14ac:dyDescent="0.2">
      <c r="A497" s="672" t="str">
        <f t="shared" si="7"/>
        <v>157</v>
      </c>
      <c r="B497" s="672">
        <v>15778</v>
      </c>
      <c r="C497" s="673" t="s">
        <v>8</v>
      </c>
      <c r="D497" s="672" t="s">
        <v>9</v>
      </c>
    </row>
    <row r="498" spans="1:4" x14ac:dyDescent="0.2">
      <c r="A498" s="672" t="str">
        <f t="shared" si="7"/>
        <v>157</v>
      </c>
      <c r="B498" s="672">
        <v>15779</v>
      </c>
      <c r="C498" s="673" t="s">
        <v>4</v>
      </c>
      <c r="D498" s="672" t="s">
        <v>5</v>
      </c>
    </row>
    <row r="499" spans="1:4" x14ac:dyDescent="0.2">
      <c r="A499" s="672" t="str">
        <f t="shared" si="7"/>
        <v>157</v>
      </c>
      <c r="B499" s="672">
        <v>15780</v>
      </c>
      <c r="C499" s="673" t="s">
        <v>8</v>
      </c>
      <c r="D499" s="672" t="s">
        <v>9</v>
      </c>
    </row>
    <row r="500" spans="1:4" x14ac:dyDescent="0.2">
      <c r="A500" s="672" t="str">
        <f t="shared" si="7"/>
        <v>157</v>
      </c>
      <c r="B500" s="672">
        <v>15781</v>
      </c>
      <c r="C500" s="673" t="s">
        <v>8</v>
      </c>
      <c r="D500" s="672" t="s">
        <v>9</v>
      </c>
    </row>
    <row r="501" spans="1:4" x14ac:dyDescent="0.2">
      <c r="A501" s="672" t="str">
        <f t="shared" si="7"/>
        <v>157</v>
      </c>
      <c r="B501" s="672">
        <v>15783</v>
      </c>
      <c r="C501" s="673" t="s">
        <v>4</v>
      </c>
      <c r="D501" s="672" t="s">
        <v>5</v>
      </c>
    </row>
    <row r="502" spans="1:4" x14ac:dyDescent="0.2">
      <c r="A502" s="672" t="str">
        <f t="shared" si="7"/>
        <v>157</v>
      </c>
      <c r="B502" s="672">
        <v>15784</v>
      </c>
      <c r="C502" s="673" t="s">
        <v>8</v>
      </c>
      <c r="D502" s="672" t="s">
        <v>9</v>
      </c>
    </row>
    <row r="503" spans="1:4" x14ac:dyDescent="0.2">
      <c r="A503" s="672" t="str">
        <f t="shared" si="7"/>
        <v>158</v>
      </c>
      <c r="B503" s="672">
        <v>15801</v>
      </c>
      <c r="C503" s="673" t="s">
        <v>10</v>
      </c>
      <c r="D503" s="672" t="s">
        <v>11</v>
      </c>
    </row>
    <row r="504" spans="1:4" x14ac:dyDescent="0.2">
      <c r="A504" s="672" t="str">
        <f t="shared" si="7"/>
        <v>158</v>
      </c>
      <c r="B504" s="672">
        <v>15821</v>
      </c>
      <c r="C504" s="673" t="s">
        <v>10</v>
      </c>
      <c r="D504" s="672" t="s">
        <v>11</v>
      </c>
    </row>
    <row r="505" spans="1:4" x14ac:dyDescent="0.2">
      <c r="A505" s="672" t="str">
        <f t="shared" si="7"/>
        <v>158</v>
      </c>
      <c r="B505" s="672">
        <v>15822</v>
      </c>
      <c r="C505" s="673" t="s">
        <v>10</v>
      </c>
      <c r="D505" s="672" t="s">
        <v>11</v>
      </c>
    </row>
    <row r="506" spans="1:4" x14ac:dyDescent="0.2">
      <c r="A506" s="672" t="str">
        <f t="shared" si="7"/>
        <v>158</v>
      </c>
      <c r="B506" s="672">
        <v>15823</v>
      </c>
      <c r="C506" s="673" t="s">
        <v>10</v>
      </c>
      <c r="D506" s="672" t="s">
        <v>11</v>
      </c>
    </row>
    <row r="507" spans="1:4" x14ac:dyDescent="0.2">
      <c r="A507" s="672" t="str">
        <f t="shared" si="7"/>
        <v>158</v>
      </c>
      <c r="B507" s="672">
        <v>15824</v>
      </c>
      <c r="C507" s="673" t="s">
        <v>8</v>
      </c>
      <c r="D507" s="672" t="s">
        <v>9</v>
      </c>
    </row>
    <row r="508" spans="1:4" x14ac:dyDescent="0.2">
      <c r="A508" s="672" t="str">
        <f t="shared" si="7"/>
        <v>158</v>
      </c>
      <c r="B508" s="672">
        <v>15825</v>
      </c>
      <c r="C508" s="673" t="s">
        <v>8</v>
      </c>
      <c r="D508" s="672" t="s">
        <v>9</v>
      </c>
    </row>
    <row r="509" spans="1:4" x14ac:dyDescent="0.2">
      <c r="A509" s="672" t="str">
        <f t="shared" si="7"/>
        <v>158</v>
      </c>
      <c r="B509" s="672">
        <v>15827</v>
      </c>
      <c r="C509" s="673" t="s">
        <v>10</v>
      </c>
      <c r="D509" s="672" t="s">
        <v>11</v>
      </c>
    </row>
    <row r="510" spans="1:4" x14ac:dyDescent="0.2">
      <c r="A510" s="672" t="str">
        <f t="shared" si="7"/>
        <v>158</v>
      </c>
      <c r="B510" s="672">
        <v>15828</v>
      </c>
      <c r="C510" s="673" t="s">
        <v>8</v>
      </c>
      <c r="D510" s="672" t="s">
        <v>9</v>
      </c>
    </row>
    <row r="511" spans="1:4" x14ac:dyDescent="0.2">
      <c r="A511" s="672" t="str">
        <f t="shared" si="7"/>
        <v>158</v>
      </c>
      <c r="B511" s="672">
        <v>15829</v>
      </c>
      <c r="C511" s="673" t="s">
        <v>8</v>
      </c>
      <c r="D511" s="672" t="s">
        <v>9</v>
      </c>
    </row>
    <row r="512" spans="1:4" x14ac:dyDescent="0.2">
      <c r="A512" s="672" t="str">
        <f t="shared" si="7"/>
        <v>158</v>
      </c>
      <c r="B512" s="672">
        <v>15831</v>
      </c>
      <c r="C512" s="673" t="s">
        <v>10</v>
      </c>
      <c r="D512" s="672" t="s">
        <v>11</v>
      </c>
    </row>
    <row r="513" spans="1:4" x14ac:dyDescent="0.2">
      <c r="A513" s="672" t="str">
        <f t="shared" si="7"/>
        <v>158</v>
      </c>
      <c r="B513" s="672">
        <v>15832</v>
      </c>
      <c r="C513" s="673" t="s">
        <v>10</v>
      </c>
      <c r="D513" s="672" t="s">
        <v>11</v>
      </c>
    </row>
    <row r="514" spans="1:4" x14ac:dyDescent="0.2">
      <c r="A514" s="672" t="str">
        <f t="shared" ref="A514:A577" si="8">LEFT(B514,3)</f>
        <v>158</v>
      </c>
      <c r="B514" s="672">
        <v>15834</v>
      </c>
      <c r="C514" s="673" t="s">
        <v>10</v>
      </c>
      <c r="D514" s="672" t="s">
        <v>11</v>
      </c>
    </row>
    <row r="515" spans="1:4" x14ac:dyDescent="0.2">
      <c r="A515" s="672" t="str">
        <f t="shared" si="8"/>
        <v>158</v>
      </c>
      <c r="B515" s="672">
        <v>15840</v>
      </c>
      <c r="C515" s="673" t="s">
        <v>8</v>
      </c>
      <c r="D515" s="672" t="s">
        <v>9</v>
      </c>
    </row>
    <row r="516" spans="1:4" x14ac:dyDescent="0.2">
      <c r="A516" s="672" t="str">
        <f t="shared" si="8"/>
        <v>158</v>
      </c>
      <c r="B516" s="672">
        <v>15841</v>
      </c>
      <c r="C516" s="673" t="s">
        <v>10</v>
      </c>
      <c r="D516" s="672" t="s">
        <v>11</v>
      </c>
    </row>
    <row r="517" spans="1:4" x14ac:dyDescent="0.2">
      <c r="A517" s="672" t="str">
        <f t="shared" si="8"/>
        <v>158</v>
      </c>
      <c r="B517" s="672">
        <v>15845</v>
      </c>
      <c r="C517" s="673" t="s">
        <v>10</v>
      </c>
      <c r="D517" s="672" t="s">
        <v>11</v>
      </c>
    </row>
    <row r="518" spans="1:4" x14ac:dyDescent="0.2">
      <c r="A518" s="672" t="str">
        <f t="shared" si="8"/>
        <v>158</v>
      </c>
      <c r="B518" s="672">
        <v>15846</v>
      </c>
      <c r="C518" s="673" t="s">
        <v>10</v>
      </c>
      <c r="D518" s="672" t="s">
        <v>11</v>
      </c>
    </row>
    <row r="519" spans="1:4" x14ac:dyDescent="0.2">
      <c r="A519" s="672" t="str">
        <f t="shared" si="8"/>
        <v>158</v>
      </c>
      <c r="B519" s="672">
        <v>15847</v>
      </c>
      <c r="C519" s="673" t="s">
        <v>8</v>
      </c>
      <c r="D519" s="672" t="s">
        <v>9</v>
      </c>
    </row>
    <row r="520" spans="1:4" x14ac:dyDescent="0.2">
      <c r="A520" s="672" t="str">
        <f t="shared" si="8"/>
        <v>158</v>
      </c>
      <c r="B520" s="672">
        <v>15848</v>
      </c>
      <c r="C520" s="673" t="s">
        <v>10</v>
      </c>
      <c r="D520" s="672" t="s">
        <v>11</v>
      </c>
    </row>
    <row r="521" spans="1:4" x14ac:dyDescent="0.2">
      <c r="A521" s="672" t="str">
        <f t="shared" si="8"/>
        <v>158</v>
      </c>
      <c r="B521" s="672">
        <v>15849</v>
      </c>
      <c r="C521" s="673" t="s">
        <v>10</v>
      </c>
      <c r="D521" s="672" t="s">
        <v>11</v>
      </c>
    </row>
    <row r="522" spans="1:4" x14ac:dyDescent="0.2">
      <c r="A522" s="672" t="str">
        <f t="shared" si="8"/>
        <v>158</v>
      </c>
      <c r="B522" s="672">
        <v>15851</v>
      </c>
      <c r="C522" s="673" t="s">
        <v>8</v>
      </c>
      <c r="D522" s="672" t="s">
        <v>9</v>
      </c>
    </row>
    <row r="523" spans="1:4" x14ac:dyDescent="0.2">
      <c r="A523" s="672" t="str">
        <f t="shared" si="8"/>
        <v>158</v>
      </c>
      <c r="B523" s="672">
        <v>15853</v>
      </c>
      <c r="C523" s="673" t="s">
        <v>10</v>
      </c>
      <c r="D523" s="672" t="s">
        <v>11</v>
      </c>
    </row>
    <row r="524" spans="1:4" x14ac:dyDescent="0.2">
      <c r="A524" s="672" t="str">
        <f t="shared" si="8"/>
        <v>158</v>
      </c>
      <c r="B524" s="672">
        <v>15856</v>
      </c>
      <c r="C524" s="673" t="s">
        <v>10</v>
      </c>
      <c r="D524" s="672" t="s">
        <v>11</v>
      </c>
    </row>
    <row r="525" spans="1:4" x14ac:dyDescent="0.2">
      <c r="A525" s="672" t="str">
        <f t="shared" si="8"/>
        <v>158</v>
      </c>
      <c r="B525" s="672">
        <v>15857</v>
      </c>
      <c r="C525" s="673" t="s">
        <v>10</v>
      </c>
      <c r="D525" s="672" t="s">
        <v>11</v>
      </c>
    </row>
    <row r="526" spans="1:4" x14ac:dyDescent="0.2">
      <c r="A526" s="672" t="str">
        <f t="shared" si="8"/>
        <v>158</v>
      </c>
      <c r="B526" s="672">
        <v>15860</v>
      </c>
      <c r="C526" s="673" t="s">
        <v>8</v>
      </c>
      <c r="D526" s="672" t="s">
        <v>9</v>
      </c>
    </row>
    <row r="527" spans="1:4" x14ac:dyDescent="0.2">
      <c r="A527" s="672" t="str">
        <f t="shared" si="8"/>
        <v>158</v>
      </c>
      <c r="B527" s="672">
        <v>15861</v>
      </c>
      <c r="C527" s="673" t="s">
        <v>10</v>
      </c>
      <c r="D527" s="672" t="s">
        <v>11</v>
      </c>
    </row>
    <row r="528" spans="1:4" x14ac:dyDescent="0.2">
      <c r="A528" s="672" t="str">
        <f t="shared" si="8"/>
        <v>158</v>
      </c>
      <c r="B528" s="672">
        <v>15863</v>
      </c>
      <c r="C528" s="673" t="s">
        <v>8</v>
      </c>
      <c r="D528" s="672" t="s">
        <v>9</v>
      </c>
    </row>
    <row r="529" spans="1:4" x14ac:dyDescent="0.2">
      <c r="A529" s="672" t="str">
        <f t="shared" si="8"/>
        <v>158</v>
      </c>
      <c r="B529" s="672">
        <v>15864</v>
      </c>
      <c r="C529" s="673" t="s">
        <v>8</v>
      </c>
      <c r="D529" s="672" t="s">
        <v>9</v>
      </c>
    </row>
    <row r="530" spans="1:4" x14ac:dyDescent="0.2">
      <c r="A530" s="672" t="str">
        <f t="shared" si="8"/>
        <v>158</v>
      </c>
      <c r="B530" s="672">
        <v>15865</v>
      </c>
      <c r="C530" s="673" t="s">
        <v>8</v>
      </c>
      <c r="D530" s="672" t="s">
        <v>9</v>
      </c>
    </row>
    <row r="531" spans="1:4" x14ac:dyDescent="0.2">
      <c r="A531" s="672" t="str">
        <f t="shared" si="8"/>
        <v>158</v>
      </c>
      <c r="B531" s="672">
        <v>15866</v>
      </c>
      <c r="C531" s="673" t="s">
        <v>10</v>
      </c>
      <c r="D531" s="672" t="s">
        <v>11</v>
      </c>
    </row>
    <row r="532" spans="1:4" x14ac:dyDescent="0.2">
      <c r="A532" s="672" t="str">
        <f t="shared" si="8"/>
        <v>158</v>
      </c>
      <c r="B532" s="672">
        <v>15868</v>
      </c>
      <c r="C532" s="673" t="s">
        <v>10</v>
      </c>
      <c r="D532" s="672" t="s">
        <v>11</v>
      </c>
    </row>
    <row r="533" spans="1:4" x14ac:dyDescent="0.2">
      <c r="A533" s="672" t="str">
        <f t="shared" si="8"/>
        <v>158</v>
      </c>
      <c r="B533" s="672">
        <v>15870</v>
      </c>
      <c r="C533" s="673" t="s">
        <v>10</v>
      </c>
      <c r="D533" s="672" t="s">
        <v>11</v>
      </c>
    </row>
    <row r="534" spans="1:4" x14ac:dyDescent="0.2">
      <c r="A534" s="672" t="str">
        <f t="shared" si="8"/>
        <v>159</v>
      </c>
      <c r="B534" s="672">
        <v>15901</v>
      </c>
      <c r="C534" s="673" t="s">
        <v>4</v>
      </c>
      <c r="D534" s="672" t="s">
        <v>5</v>
      </c>
    </row>
    <row r="535" spans="1:4" x14ac:dyDescent="0.2">
      <c r="A535" s="672" t="str">
        <f t="shared" si="8"/>
        <v>159</v>
      </c>
      <c r="B535" s="672">
        <v>15902</v>
      </c>
      <c r="C535" s="673" t="s">
        <v>4</v>
      </c>
      <c r="D535" s="672" t="s">
        <v>5</v>
      </c>
    </row>
    <row r="536" spans="1:4" x14ac:dyDescent="0.2">
      <c r="A536" s="672" t="str">
        <f t="shared" si="8"/>
        <v>159</v>
      </c>
      <c r="B536" s="672">
        <v>15904</v>
      </c>
      <c r="C536" s="673" t="s">
        <v>4</v>
      </c>
      <c r="D536" s="672" t="s">
        <v>5</v>
      </c>
    </row>
    <row r="537" spans="1:4" x14ac:dyDescent="0.2">
      <c r="A537" s="672" t="str">
        <f t="shared" si="8"/>
        <v>159</v>
      </c>
      <c r="B537" s="672">
        <v>15905</v>
      </c>
      <c r="C537" s="673" t="s">
        <v>4</v>
      </c>
      <c r="D537" s="672" t="s">
        <v>5</v>
      </c>
    </row>
    <row r="538" spans="1:4" x14ac:dyDescent="0.2">
      <c r="A538" s="672" t="str">
        <f t="shared" si="8"/>
        <v>159</v>
      </c>
      <c r="B538" s="672">
        <v>15906</v>
      </c>
      <c r="C538" s="673" t="s">
        <v>4</v>
      </c>
      <c r="D538" s="672" t="s">
        <v>5</v>
      </c>
    </row>
    <row r="539" spans="1:4" x14ac:dyDescent="0.2">
      <c r="A539" s="672" t="str">
        <f t="shared" si="8"/>
        <v>159</v>
      </c>
      <c r="B539" s="672">
        <v>15907</v>
      </c>
      <c r="C539" s="673" t="s">
        <v>4</v>
      </c>
      <c r="D539" s="672" t="s">
        <v>5</v>
      </c>
    </row>
    <row r="540" spans="1:4" x14ac:dyDescent="0.2">
      <c r="A540" s="672" t="str">
        <f t="shared" si="8"/>
        <v>159</v>
      </c>
      <c r="B540" s="672">
        <v>15909</v>
      </c>
      <c r="C540" s="673" t="s">
        <v>4</v>
      </c>
      <c r="D540" s="672" t="s">
        <v>5</v>
      </c>
    </row>
    <row r="541" spans="1:4" x14ac:dyDescent="0.2">
      <c r="A541" s="672" t="str">
        <f t="shared" si="8"/>
        <v>159</v>
      </c>
      <c r="B541" s="672">
        <v>15915</v>
      </c>
      <c r="C541" s="673" t="s">
        <v>4</v>
      </c>
      <c r="D541" s="672" t="s">
        <v>5</v>
      </c>
    </row>
    <row r="542" spans="1:4" x14ac:dyDescent="0.2">
      <c r="A542" s="672" t="str">
        <f t="shared" si="8"/>
        <v>159</v>
      </c>
      <c r="B542" s="672">
        <v>15920</v>
      </c>
      <c r="C542" s="673" t="s">
        <v>4</v>
      </c>
      <c r="D542" s="672" t="s">
        <v>5</v>
      </c>
    </row>
    <row r="543" spans="1:4" x14ac:dyDescent="0.2">
      <c r="A543" s="672" t="str">
        <f t="shared" si="8"/>
        <v>159</v>
      </c>
      <c r="B543" s="672">
        <v>15921</v>
      </c>
      <c r="C543" s="673" t="s">
        <v>4</v>
      </c>
      <c r="D543" s="672" t="s">
        <v>5</v>
      </c>
    </row>
    <row r="544" spans="1:4" x14ac:dyDescent="0.2">
      <c r="A544" s="672" t="str">
        <f t="shared" si="8"/>
        <v>159</v>
      </c>
      <c r="B544" s="672">
        <v>15922</v>
      </c>
      <c r="C544" s="673" t="s">
        <v>4</v>
      </c>
      <c r="D544" s="672" t="s">
        <v>5</v>
      </c>
    </row>
    <row r="545" spans="1:4" x14ac:dyDescent="0.2">
      <c r="A545" s="672" t="str">
        <f t="shared" si="8"/>
        <v>159</v>
      </c>
      <c r="B545" s="672">
        <v>15923</v>
      </c>
      <c r="C545" s="673" t="s">
        <v>4</v>
      </c>
      <c r="D545" s="672" t="s">
        <v>5</v>
      </c>
    </row>
    <row r="546" spans="1:4" x14ac:dyDescent="0.2">
      <c r="A546" s="672" t="str">
        <f t="shared" si="8"/>
        <v>159</v>
      </c>
      <c r="B546" s="672">
        <v>15924</v>
      </c>
      <c r="C546" s="673" t="s">
        <v>4</v>
      </c>
      <c r="D546" s="672" t="s">
        <v>5</v>
      </c>
    </row>
    <row r="547" spans="1:4" x14ac:dyDescent="0.2">
      <c r="A547" s="672" t="str">
        <f t="shared" si="8"/>
        <v>159</v>
      </c>
      <c r="B547" s="672">
        <v>15925</v>
      </c>
      <c r="C547" s="673" t="s">
        <v>4</v>
      </c>
      <c r="D547" s="672" t="s">
        <v>5</v>
      </c>
    </row>
    <row r="548" spans="1:4" x14ac:dyDescent="0.2">
      <c r="A548" s="672" t="str">
        <f t="shared" si="8"/>
        <v>159</v>
      </c>
      <c r="B548" s="672">
        <v>15926</v>
      </c>
      <c r="C548" s="673" t="s">
        <v>4</v>
      </c>
      <c r="D548" s="672" t="s">
        <v>5</v>
      </c>
    </row>
    <row r="549" spans="1:4" x14ac:dyDescent="0.2">
      <c r="A549" s="672" t="str">
        <f t="shared" si="8"/>
        <v>159</v>
      </c>
      <c r="B549" s="672">
        <v>15927</v>
      </c>
      <c r="C549" s="673" t="s">
        <v>4</v>
      </c>
      <c r="D549" s="672" t="s">
        <v>5</v>
      </c>
    </row>
    <row r="550" spans="1:4" x14ac:dyDescent="0.2">
      <c r="A550" s="672" t="str">
        <f t="shared" si="8"/>
        <v>159</v>
      </c>
      <c r="B550" s="672">
        <v>15928</v>
      </c>
      <c r="C550" s="673" t="s">
        <v>4</v>
      </c>
      <c r="D550" s="672" t="s">
        <v>5</v>
      </c>
    </row>
    <row r="551" spans="1:4" x14ac:dyDescent="0.2">
      <c r="A551" s="672" t="str">
        <f t="shared" si="8"/>
        <v>159</v>
      </c>
      <c r="B551" s="672">
        <v>15929</v>
      </c>
      <c r="C551" s="673" t="s">
        <v>4</v>
      </c>
      <c r="D551" s="672" t="s">
        <v>5</v>
      </c>
    </row>
    <row r="552" spans="1:4" x14ac:dyDescent="0.2">
      <c r="A552" s="672" t="str">
        <f t="shared" si="8"/>
        <v>159</v>
      </c>
      <c r="B552" s="672">
        <v>15930</v>
      </c>
      <c r="C552" s="673" t="s">
        <v>4</v>
      </c>
      <c r="D552" s="672" t="s">
        <v>5</v>
      </c>
    </row>
    <row r="553" spans="1:4" x14ac:dyDescent="0.2">
      <c r="A553" s="672" t="str">
        <f t="shared" si="8"/>
        <v>159</v>
      </c>
      <c r="B553" s="672">
        <v>15931</v>
      </c>
      <c r="C553" s="673" t="s">
        <v>4</v>
      </c>
      <c r="D553" s="672" t="s">
        <v>5</v>
      </c>
    </row>
    <row r="554" spans="1:4" x14ac:dyDescent="0.2">
      <c r="A554" s="672" t="str">
        <f t="shared" si="8"/>
        <v>159</v>
      </c>
      <c r="B554" s="672">
        <v>15934</v>
      </c>
      <c r="C554" s="673" t="s">
        <v>4</v>
      </c>
      <c r="D554" s="672" t="s">
        <v>5</v>
      </c>
    </row>
    <row r="555" spans="1:4" x14ac:dyDescent="0.2">
      <c r="A555" s="672" t="str">
        <f t="shared" si="8"/>
        <v>159</v>
      </c>
      <c r="B555" s="672">
        <v>15935</v>
      </c>
      <c r="C555" s="673" t="s">
        <v>4</v>
      </c>
      <c r="D555" s="672" t="s">
        <v>5</v>
      </c>
    </row>
    <row r="556" spans="1:4" x14ac:dyDescent="0.2">
      <c r="A556" s="672" t="str">
        <f t="shared" si="8"/>
        <v>159</v>
      </c>
      <c r="B556" s="672">
        <v>15936</v>
      </c>
      <c r="C556" s="673" t="s">
        <v>4</v>
      </c>
      <c r="D556" s="672" t="s">
        <v>5</v>
      </c>
    </row>
    <row r="557" spans="1:4" x14ac:dyDescent="0.2">
      <c r="A557" s="672" t="str">
        <f t="shared" si="8"/>
        <v>159</v>
      </c>
      <c r="B557" s="672">
        <v>15937</v>
      </c>
      <c r="C557" s="673" t="s">
        <v>4</v>
      </c>
      <c r="D557" s="672" t="s">
        <v>5</v>
      </c>
    </row>
    <row r="558" spans="1:4" x14ac:dyDescent="0.2">
      <c r="A558" s="672" t="str">
        <f t="shared" si="8"/>
        <v>159</v>
      </c>
      <c r="B558" s="672">
        <v>15938</v>
      </c>
      <c r="C558" s="673" t="s">
        <v>4</v>
      </c>
      <c r="D558" s="672" t="s">
        <v>5</v>
      </c>
    </row>
    <row r="559" spans="1:4" x14ac:dyDescent="0.2">
      <c r="A559" s="672" t="str">
        <f t="shared" si="8"/>
        <v>159</v>
      </c>
      <c r="B559" s="672">
        <v>15940</v>
      </c>
      <c r="C559" s="673" t="s">
        <v>4</v>
      </c>
      <c r="D559" s="672" t="s">
        <v>5</v>
      </c>
    </row>
    <row r="560" spans="1:4" x14ac:dyDescent="0.2">
      <c r="A560" s="672" t="str">
        <f t="shared" si="8"/>
        <v>159</v>
      </c>
      <c r="B560" s="672">
        <v>15942</v>
      </c>
      <c r="C560" s="673" t="s">
        <v>4</v>
      </c>
      <c r="D560" s="672" t="s">
        <v>5</v>
      </c>
    </row>
    <row r="561" spans="1:4" x14ac:dyDescent="0.2">
      <c r="A561" s="672" t="str">
        <f t="shared" si="8"/>
        <v>159</v>
      </c>
      <c r="B561" s="672">
        <v>15943</v>
      </c>
      <c r="C561" s="673" t="s">
        <v>4</v>
      </c>
      <c r="D561" s="672" t="s">
        <v>5</v>
      </c>
    </row>
    <row r="562" spans="1:4" x14ac:dyDescent="0.2">
      <c r="A562" s="672" t="str">
        <f t="shared" si="8"/>
        <v>159</v>
      </c>
      <c r="B562" s="672">
        <v>15944</v>
      </c>
      <c r="C562" s="673" t="s">
        <v>4</v>
      </c>
      <c r="D562" s="672" t="s">
        <v>5</v>
      </c>
    </row>
    <row r="563" spans="1:4" x14ac:dyDescent="0.2">
      <c r="A563" s="672" t="str">
        <f t="shared" si="8"/>
        <v>159</v>
      </c>
      <c r="B563" s="672">
        <v>15945</v>
      </c>
      <c r="C563" s="673" t="s">
        <v>4</v>
      </c>
      <c r="D563" s="672" t="s">
        <v>5</v>
      </c>
    </row>
    <row r="564" spans="1:4" x14ac:dyDescent="0.2">
      <c r="A564" s="672" t="str">
        <f t="shared" si="8"/>
        <v>159</v>
      </c>
      <c r="B564" s="672">
        <v>15946</v>
      </c>
      <c r="C564" s="673" t="s">
        <v>4</v>
      </c>
      <c r="D564" s="672" t="s">
        <v>5</v>
      </c>
    </row>
    <row r="565" spans="1:4" x14ac:dyDescent="0.2">
      <c r="A565" s="672" t="str">
        <f t="shared" si="8"/>
        <v>159</v>
      </c>
      <c r="B565" s="672">
        <v>15948</v>
      </c>
      <c r="C565" s="673" t="s">
        <v>4</v>
      </c>
      <c r="D565" s="672" t="s">
        <v>5</v>
      </c>
    </row>
    <row r="566" spans="1:4" x14ac:dyDescent="0.2">
      <c r="A566" s="672" t="str">
        <f t="shared" si="8"/>
        <v>159</v>
      </c>
      <c r="B566" s="672">
        <v>15949</v>
      </c>
      <c r="C566" s="673" t="s">
        <v>4</v>
      </c>
      <c r="D566" s="672" t="s">
        <v>5</v>
      </c>
    </row>
    <row r="567" spans="1:4" x14ac:dyDescent="0.2">
      <c r="A567" s="672" t="str">
        <f t="shared" si="8"/>
        <v>159</v>
      </c>
      <c r="B567" s="672">
        <v>15951</v>
      </c>
      <c r="C567" s="673" t="s">
        <v>4</v>
      </c>
      <c r="D567" s="672" t="s">
        <v>5</v>
      </c>
    </row>
    <row r="568" spans="1:4" x14ac:dyDescent="0.2">
      <c r="A568" s="672" t="str">
        <f t="shared" si="8"/>
        <v>159</v>
      </c>
      <c r="B568" s="672">
        <v>15952</v>
      </c>
      <c r="C568" s="673" t="s">
        <v>4</v>
      </c>
      <c r="D568" s="672" t="s">
        <v>5</v>
      </c>
    </row>
    <row r="569" spans="1:4" x14ac:dyDescent="0.2">
      <c r="A569" s="672" t="str">
        <f t="shared" si="8"/>
        <v>159</v>
      </c>
      <c r="B569" s="672">
        <v>15953</v>
      </c>
      <c r="C569" s="673" t="s">
        <v>4</v>
      </c>
      <c r="D569" s="672" t="s">
        <v>5</v>
      </c>
    </row>
    <row r="570" spans="1:4" x14ac:dyDescent="0.2">
      <c r="A570" s="672" t="str">
        <f t="shared" si="8"/>
        <v>159</v>
      </c>
      <c r="B570" s="672">
        <v>15954</v>
      </c>
      <c r="C570" s="673" t="s">
        <v>4</v>
      </c>
      <c r="D570" s="672" t="s">
        <v>5</v>
      </c>
    </row>
    <row r="571" spans="1:4" x14ac:dyDescent="0.2">
      <c r="A571" s="672" t="str">
        <f t="shared" si="8"/>
        <v>159</v>
      </c>
      <c r="B571" s="672">
        <v>15955</v>
      </c>
      <c r="C571" s="673" t="s">
        <v>4</v>
      </c>
      <c r="D571" s="672" t="s">
        <v>5</v>
      </c>
    </row>
    <row r="572" spans="1:4" x14ac:dyDescent="0.2">
      <c r="A572" s="672" t="str">
        <f t="shared" si="8"/>
        <v>159</v>
      </c>
      <c r="B572" s="672">
        <v>15956</v>
      </c>
      <c r="C572" s="673" t="s">
        <v>4</v>
      </c>
      <c r="D572" s="672" t="s">
        <v>5</v>
      </c>
    </row>
    <row r="573" spans="1:4" x14ac:dyDescent="0.2">
      <c r="A573" s="672" t="str">
        <f t="shared" si="8"/>
        <v>159</v>
      </c>
      <c r="B573" s="672">
        <v>15957</v>
      </c>
      <c r="C573" s="673" t="s">
        <v>4</v>
      </c>
      <c r="D573" s="672" t="s">
        <v>5</v>
      </c>
    </row>
    <row r="574" spans="1:4" x14ac:dyDescent="0.2">
      <c r="A574" s="672" t="str">
        <f t="shared" si="8"/>
        <v>159</v>
      </c>
      <c r="B574" s="672">
        <v>15958</v>
      </c>
      <c r="C574" s="673" t="s">
        <v>4</v>
      </c>
      <c r="D574" s="672" t="s">
        <v>5</v>
      </c>
    </row>
    <row r="575" spans="1:4" x14ac:dyDescent="0.2">
      <c r="A575" s="672" t="str">
        <f t="shared" si="8"/>
        <v>159</v>
      </c>
      <c r="B575" s="672">
        <v>15959</v>
      </c>
      <c r="C575" s="673" t="s">
        <v>4</v>
      </c>
      <c r="D575" s="672" t="s">
        <v>5</v>
      </c>
    </row>
    <row r="576" spans="1:4" x14ac:dyDescent="0.2">
      <c r="A576" s="672" t="str">
        <f t="shared" si="8"/>
        <v>159</v>
      </c>
      <c r="B576" s="672">
        <v>15960</v>
      </c>
      <c r="C576" s="673" t="s">
        <v>4</v>
      </c>
      <c r="D576" s="672" t="s">
        <v>5</v>
      </c>
    </row>
    <row r="577" spans="1:4" x14ac:dyDescent="0.2">
      <c r="A577" s="672" t="str">
        <f t="shared" si="8"/>
        <v>159</v>
      </c>
      <c r="B577" s="672">
        <v>15961</v>
      </c>
      <c r="C577" s="673" t="s">
        <v>4</v>
      </c>
      <c r="D577" s="672" t="s">
        <v>5</v>
      </c>
    </row>
    <row r="578" spans="1:4" x14ac:dyDescent="0.2">
      <c r="A578" s="672" t="str">
        <f t="shared" ref="A578:A641" si="9">LEFT(B578,3)</f>
        <v>159</v>
      </c>
      <c r="B578" s="672">
        <v>15962</v>
      </c>
      <c r="C578" s="673" t="s">
        <v>4</v>
      </c>
      <c r="D578" s="672" t="s">
        <v>5</v>
      </c>
    </row>
    <row r="579" spans="1:4" x14ac:dyDescent="0.2">
      <c r="A579" s="672" t="str">
        <f t="shared" si="9"/>
        <v>159</v>
      </c>
      <c r="B579" s="672">
        <v>15963</v>
      </c>
      <c r="C579" s="673" t="s">
        <v>4</v>
      </c>
      <c r="D579" s="672" t="s">
        <v>5</v>
      </c>
    </row>
    <row r="580" spans="1:4" x14ac:dyDescent="0.2">
      <c r="A580" s="672" t="str">
        <f t="shared" si="9"/>
        <v>160</v>
      </c>
      <c r="B580" s="672">
        <v>16001</v>
      </c>
      <c r="C580" s="673" t="s">
        <v>4</v>
      </c>
      <c r="D580" s="672" t="s">
        <v>5</v>
      </c>
    </row>
    <row r="581" spans="1:4" x14ac:dyDescent="0.2">
      <c r="A581" s="672" t="str">
        <f t="shared" si="9"/>
        <v>160</v>
      </c>
      <c r="B581" s="672">
        <v>16002</v>
      </c>
      <c r="C581" s="673" t="s">
        <v>4</v>
      </c>
      <c r="D581" s="672" t="s">
        <v>5</v>
      </c>
    </row>
    <row r="582" spans="1:4" x14ac:dyDescent="0.2">
      <c r="A582" s="672" t="str">
        <f t="shared" si="9"/>
        <v>160</v>
      </c>
      <c r="B582" s="672">
        <v>16003</v>
      </c>
      <c r="C582" s="673" t="s">
        <v>4</v>
      </c>
      <c r="D582" s="672" t="s">
        <v>5</v>
      </c>
    </row>
    <row r="583" spans="1:4" x14ac:dyDescent="0.2">
      <c r="A583" s="672" t="str">
        <f t="shared" si="9"/>
        <v>160</v>
      </c>
      <c r="B583" s="672">
        <v>16016</v>
      </c>
      <c r="C583" s="673" t="s">
        <v>4</v>
      </c>
      <c r="D583" s="672" t="s">
        <v>5</v>
      </c>
    </row>
    <row r="584" spans="1:4" x14ac:dyDescent="0.2">
      <c r="A584" s="672" t="str">
        <f t="shared" si="9"/>
        <v>160</v>
      </c>
      <c r="B584" s="672">
        <v>16017</v>
      </c>
      <c r="C584" s="673" t="s">
        <v>4</v>
      </c>
      <c r="D584" s="672" t="s">
        <v>5</v>
      </c>
    </row>
    <row r="585" spans="1:4" x14ac:dyDescent="0.2">
      <c r="A585" s="672" t="str">
        <f t="shared" si="9"/>
        <v>160</v>
      </c>
      <c r="B585" s="672">
        <v>16018</v>
      </c>
      <c r="C585" s="673" t="s">
        <v>4</v>
      </c>
      <c r="D585" s="672" t="s">
        <v>5</v>
      </c>
    </row>
    <row r="586" spans="1:4" x14ac:dyDescent="0.2">
      <c r="A586" s="672" t="str">
        <f t="shared" si="9"/>
        <v>160</v>
      </c>
      <c r="B586" s="672">
        <v>16020</v>
      </c>
      <c r="C586" s="673" t="s">
        <v>4</v>
      </c>
      <c r="D586" s="672" t="s">
        <v>5</v>
      </c>
    </row>
    <row r="587" spans="1:4" x14ac:dyDescent="0.2">
      <c r="A587" s="672" t="str">
        <f t="shared" si="9"/>
        <v>160</v>
      </c>
      <c r="B587" s="672">
        <v>16021</v>
      </c>
      <c r="C587" s="673" t="s">
        <v>4</v>
      </c>
      <c r="D587" s="672" t="s">
        <v>5</v>
      </c>
    </row>
    <row r="588" spans="1:4" x14ac:dyDescent="0.2">
      <c r="A588" s="672" t="str">
        <f t="shared" si="9"/>
        <v>160</v>
      </c>
      <c r="B588" s="672">
        <v>16022</v>
      </c>
      <c r="C588" s="673" t="s">
        <v>4</v>
      </c>
      <c r="D588" s="672" t="s">
        <v>5</v>
      </c>
    </row>
    <row r="589" spans="1:4" x14ac:dyDescent="0.2">
      <c r="A589" s="672" t="str">
        <f t="shared" si="9"/>
        <v>160</v>
      </c>
      <c r="B589" s="672">
        <v>16023</v>
      </c>
      <c r="C589" s="673" t="s">
        <v>4</v>
      </c>
      <c r="D589" s="672" t="s">
        <v>5</v>
      </c>
    </row>
    <row r="590" spans="1:4" x14ac:dyDescent="0.2">
      <c r="A590" s="672" t="str">
        <f t="shared" si="9"/>
        <v>160</v>
      </c>
      <c r="B590" s="672">
        <v>16024</v>
      </c>
      <c r="C590" s="673" t="s">
        <v>4</v>
      </c>
      <c r="D590" s="672" t="s">
        <v>5</v>
      </c>
    </row>
    <row r="591" spans="1:4" x14ac:dyDescent="0.2">
      <c r="A591" s="672" t="str">
        <f t="shared" si="9"/>
        <v>160</v>
      </c>
      <c r="B591" s="672">
        <v>16025</v>
      </c>
      <c r="C591" s="673" t="s">
        <v>4</v>
      </c>
      <c r="D591" s="672" t="s">
        <v>5</v>
      </c>
    </row>
    <row r="592" spans="1:4" x14ac:dyDescent="0.2">
      <c r="A592" s="672" t="str">
        <f t="shared" si="9"/>
        <v>160</v>
      </c>
      <c r="B592" s="672">
        <v>16027</v>
      </c>
      <c r="C592" s="673" t="s">
        <v>4</v>
      </c>
      <c r="D592" s="672" t="s">
        <v>5</v>
      </c>
    </row>
    <row r="593" spans="1:4" x14ac:dyDescent="0.2">
      <c r="A593" s="672" t="str">
        <f t="shared" si="9"/>
        <v>160</v>
      </c>
      <c r="B593" s="672">
        <v>16028</v>
      </c>
      <c r="C593" s="673" t="s">
        <v>4</v>
      </c>
      <c r="D593" s="672" t="s">
        <v>5</v>
      </c>
    </row>
    <row r="594" spans="1:4" x14ac:dyDescent="0.2">
      <c r="A594" s="672" t="str">
        <f t="shared" si="9"/>
        <v>160</v>
      </c>
      <c r="B594" s="672">
        <v>16029</v>
      </c>
      <c r="C594" s="673" t="s">
        <v>4</v>
      </c>
      <c r="D594" s="672" t="s">
        <v>5</v>
      </c>
    </row>
    <row r="595" spans="1:4" x14ac:dyDescent="0.2">
      <c r="A595" s="672" t="str">
        <f t="shared" si="9"/>
        <v>160</v>
      </c>
      <c r="B595" s="672">
        <v>16030</v>
      </c>
      <c r="C595" s="673" t="s">
        <v>4</v>
      </c>
      <c r="D595" s="672" t="s">
        <v>5</v>
      </c>
    </row>
    <row r="596" spans="1:4" x14ac:dyDescent="0.2">
      <c r="A596" s="672" t="str">
        <f t="shared" si="9"/>
        <v>160</v>
      </c>
      <c r="B596" s="672">
        <v>16033</v>
      </c>
      <c r="C596" s="673" t="s">
        <v>4</v>
      </c>
      <c r="D596" s="672" t="s">
        <v>5</v>
      </c>
    </row>
    <row r="597" spans="1:4" x14ac:dyDescent="0.2">
      <c r="A597" s="672" t="str">
        <f t="shared" si="9"/>
        <v>160</v>
      </c>
      <c r="B597" s="672">
        <v>16034</v>
      </c>
      <c r="C597" s="673" t="s">
        <v>4</v>
      </c>
      <c r="D597" s="672" t="s">
        <v>5</v>
      </c>
    </row>
    <row r="598" spans="1:4" x14ac:dyDescent="0.2">
      <c r="A598" s="672" t="str">
        <f t="shared" si="9"/>
        <v>160</v>
      </c>
      <c r="B598" s="672">
        <v>16035</v>
      </c>
      <c r="C598" s="673" t="s">
        <v>4</v>
      </c>
      <c r="D598" s="672" t="s">
        <v>5</v>
      </c>
    </row>
    <row r="599" spans="1:4" x14ac:dyDescent="0.2">
      <c r="A599" s="672" t="str">
        <f t="shared" si="9"/>
        <v>160</v>
      </c>
      <c r="B599" s="672">
        <v>16036</v>
      </c>
      <c r="C599" s="673" t="s">
        <v>8</v>
      </c>
      <c r="D599" s="672" t="s">
        <v>9</v>
      </c>
    </row>
    <row r="600" spans="1:4" x14ac:dyDescent="0.2">
      <c r="A600" s="672" t="str">
        <f t="shared" si="9"/>
        <v>160</v>
      </c>
      <c r="B600" s="672">
        <v>16037</v>
      </c>
      <c r="C600" s="673" t="s">
        <v>4</v>
      </c>
      <c r="D600" s="672" t="s">
        <v>5</v>
      </c>
    </row>
    <row r="601" spans="1:4" x14ac:dyDescent="0.2">
      <c r="A601" s="672" t="str">
        <f t="shared" si="9"/>
        <v>160</v>
      </c>
      <c r="B601" s="672">
        <v>16038</v>
      </c>
      <c r="C601" s="673" t="s">
        <v>4</v>
      </c>
      <c r="D601" s="672" t="s">
        <v>5</v>
      </c>
    </row>
    <row r="602" spans="1:4" x14ac:dyDescent="0.2">
      <c r="A602" s="672" t="str">
        <f t="shared" si="9"/>
        <v>160</v>
      </c>
      <c r="B602" s="672">
        <v>16039</v>
      </c>
      <c r="C602" s="673" t="s">
        <v>4</v>
      </c>
      <c r="D602" s="672" t="s">
        <v>5</v>
      </c>
    </row>
    <row r="603" spans="1:4" x14ac:dyDescent="0.2">
      <c r="A603" s="672" t="str">
        <f t="shared" si="9"/>
        <v>160</v>
      </c>
      <c r="B603" s="672">
        <v>16040</v>
      </c>
      <c r="C603" s="673" t="s">
        <v>4</v>
      </c>
      <c r="D603" s="672" t="s">
        <v>5</v>
      </c>
    </row>
    <row r="604" spans="1:4" x14ac:dyDescent="0.2">
      <c r="A604" s="672" t="str">
        <f t="shared" si="9"/>
        <v>160</v>
      </c>
      <c r="B604" s="672">
        <v>16041</v>
      </c>
      <c r="C604" s="673" t="s">
        <v>4</v>
      </c>
      <c r="D604" s="672" t="s">
        <v>5</v>
      </c>
    </row>
    <row r="605" spans="1:4" x14ac:dyDescent="0.2">
      <c r="A605" s="672" t="str">
        <f t="shared" si="9"/>
        <v>160</v>
      </c>
      <c r="B605" s="672">
        <v>16045</v>
      </c>
      <c r="C605" s="673" t="s">
        <v>4</v>
      </c>
      <c r="D605" s="672" t="s">
        <v>5</v>
      </c>
    </row>
    <row r="606" spans="1:4" x14ac:dyDescent="0.2">
      <c r="A606" s="672" t="str">
        <f t="shared" si="9"/>
        <v>160</v>
      </c>
      <c r="B606" s="672">
        <v>16046</v>
      </c>
      <c r="C606" s="673" t="s">
        <v>4</v>
      </c>
      <c r="D606" s="672" t="s">
        <v>5</v>
      </c>
    </row>
    <row r="607" spans="1:4" x14ac:dyDescent="0.2">
      <c r="A607" s="672" t="str">
        <f t="shared" si="9"/>
        <v>160</v>
      </c>
      <c r="B607" s="672">
        <v>16048</v>
      </c>
      <c r="C607" s="673" t="s">
        <v>4</v>
      </c>
      <c r="D607" s="672" t="s">
        <v>5</v>
      </c>
    </row>
    <row r="608" spans="1:4" x14ac:dyDescent="0.2">
      <c r="A608" s="672" t="str">
        <f t="shared" si="9"/>
        <v>160</v>
      </c>
      <c r="B608" s="672">
        <v>16049</v>
      </c>
      <c r="C608" s="673" t="s">
        <v>4</v>
      </c>
      <c r="D608" s="672" t="s">
        <v>5</v>
      </c>
    </row>
    <row r="609" spans="1:4" x14ac:dyDescent="0.2">
      <c r="A609" s="672" t="str">
        <f t="shared" si="9"/>
        <v>160</v>
      </c>
      <c r="B609" s="672">
        <v>16050</v>
      </c>
      <c r="C609" s="673" t="s">
        <v>4</v>
      </c>
      <c r="D609" s="672" t="s">
        <v>5</v>
      </c>
    </row>
    <row r="610" spans="1:4" x14ac:dyDescent="0.2">
      <c r="A610" s="672" t="str">
        <f t="shared" si="9"/>
        <v>160</v>
      </c>
      <c r="B610" s="672">
        <v>16051</v>
      </c>
      <c r="C610" s="673" t="s">
        <v>4</v>
      </c>
      <c r="D610" s="672" t="s">
        <v>5</v>
      </c>
    </row>
    <row r="611" spans="1:4" x14ac:dyDescent="0.2">
      <c r="A611" s="672" t="str">
        <f t="shared" si="9"/>
        <v>160</v>
      </c>
      <c r="B611" s="672">
        <v>16052</v>
      </c>
      <c r="C611" s="673" t="s">
        <v>4</v>
      </c>
      <c r="D611" s="672" t="s">
        <v>5</v>
      </c>
    </row>
    <row r="612" spans="1:4" x14ac:dyDescent="0.2">
      <c r="A612" s="672" t="str">
        <f t="shared" si="9"/>
        <v>160</v>
      </c>
      <c r="B612" s="672">
        <v>16053</v>
      </c>
      <c r="C612" s="673" t="s">
        <v>4</v>
      </c>
      <c r="D612" s="672" t="s">
        <v>5</v>
      </c>
    </row>
    <row r="613" spans="1:4" x14ac:dyDescent="0.2">
      <c r="A613" s="672" t="str">
        <f t="shared" si="9"/>
        <v>160</v>
      </c>
      <c r="B613" s="672">
        <v>16054</v>
      </c>
      <c r="C613" s="673" t="s">
        <v>8</v>
      </c>
      <c r="D613" s="672" t="s">
        <v>9</v>
      </c>
    </row>
    <row r="614" spans="1:4" x14ac:dyDescent="0.2">
      <c r="A614" s="672" t="str">
        <f t="shared" si="9"/>
        <v>160</v>
      </c>
      <c r="B614" s="672">
        <v>16055</v>
      </c>
      <c r="C614" s="673" t="s">
        <v>4</v>
      </c>
      <c r="D614" s="672" t="s">
        <v>5</v>
      </c>
    </row>
    <row r="615" spans="1:4" x14ac:dyDescent="0.2">
      <c r="A615" s="672" t="str">
        <f t="shared" si="9"/>
        <v>160</v>
      </c>
      <c r="B615" s="672">
        <v>16056</v>
      </c>
      <c r="C615" s="673" t="s">
        <v>4</v>
      </c>
      <c r="D615" s="672" t="s">
        <v>5</v>
      </c>
    </row>
    <row r="616" spans="1:4" x14ac:dyDescent="0.2">
      <c r="A616" s="672" t="str">
        <f t="shared" si="9"/>
        <v>160</v>
      </c>
      <c r="B616" s="672">
        <v>16057</v>
      </c>
      <c r="C616" s="673" t="s">
        <v>4</v>
      </c>
      <c r="D616" s="672" t="s">
        <v>5</v>
      </c>
    </row>
    <row r="617" spans="1:4" x14ac:dyDescent="0.2">
      <c r="A617" s="672" t="str">
        <f t="shared" si="9"/>
        <v>160</v>
      </c>
      <c r="B617" s="672">
        <v>16058</v>
      </c>
      <c r="C617" s="673" t="s">
        <v>4</v>
      </c>
      <c r="D617" s="672" t="s">
        <v>5</v>
      </c>
    </row>
    <row r="618" spans="1:4" x14ac:dyDescent="0.2">
      <c r="A618" s="672" t="str">
        <f t="shared" si="9"/>
        <v>160</v>
      </c>
      <c r="B618" s="672">
        <v>16059</v>
      </c>
      <c r="C618" s="673" t="s">
        <v>4</v>
      </c>
      <c r="D618" s="672" t="s">
        <v>5</v>
      </c>
    </row>
    <row r="619" spans="1:4" x14ac:dyDescent="0.2">
      <c r="A619" s="672" t="str">
        <f t="shared" si="9"/>
        <v>160</v>
      </c>
      <c r="B619" s="672">
        <v>16061</v>
      </c>
      <c r="C619" s="673" t="s">
        <v>4</v>
      </c>
      <c r="D619" s="672" t="s">
        <v>5</v>
      </c>
    </row>
    <row r="620" spans="1:4" x14ac:dyDescent="0.2">
      <c r="A620" s="672" t="str">
        <f t="shared" si="9"/>
        <v>160</v>
      </c>
      <c r="B620" s="672">
        <v>16063</v>
      </c>
      <c r="C620" s="673" t="s">
        <v>4</v>
      </c>
      <c r="D620" s="672" t="s">
        <v>5</v>
      </c>
    </row>
    <row r="621" spans="1:4" x14ac:dyDescent="0.2">
      <c r="A621" s="672" t="str">
        <f t="shared" si="9"/>
        <v>160</v>
      </c>
      <c r="B621" s="672">
        <v>16066</v>
      </c>
      <c r="C621" s="673" t="s">
        <v>4</v>
      </c>
      <c r="D621" s="672" t="s">
        <v>5</v>
      </c>
    </row>
    <row r="622" spans="1:4" x14ac:dyDescent="0.2">
      <c r="A622" s="672" t="str">
        <f t="shared" si="9"/>
        <v>161</v>
      </c>
      <c r="B622" s="672">
        <v>16101</v>
      </c>
      <c r="C622" s="673" t="s">
        <v>4</v>
      </c>
      <c r="D622" s="672" t="s">
        <v>5</v>
      </c>
    </row>
    <row r="623" spans="1:4" x14ac:dyDescent="0.2">
      <c r="A623" s="672" t="str">
        <f t="shared" si="9"/>
        <v>161</v>
      </c>
      <c r="B623" s="672">
        <v>16102</v>
      </c>
      <c r="C623" s="673" t="s">
        <v>4</v>
      </c>
      <c r="D623" s="672" t="s">
        <v>5</v>
      </c>
    </row>
    <row r="624" spans="1:4" x14ac:dyDescent="0.2">
      <c r="A624" s="672" t="str">
        <f t="shared" si="9"/>
        <v>161</v>
      </c>
      <c r="B624" s="672">
        <v>16103</v>
      </c>
      <c r="C624" s="673" t="s">
        <v>4</v>
      </c>
      <c r="D624" s="672" t="s">
        <v>5</v>
      </c>
    </row>
    <row r="625" spans="1:4" x14ac:dyDescent="0.2">
      <c r="A625" s="672" t="str">
        <f t="shared" si="9"/>
        <v>161</v>
      </c>
      <c r="B625" s="672">
        <v>16105</v>
      </c>
      <c r="C625" s="673" t="s">
        <v>4</v>
      </c>
      <c r="D625" s="672" t="s">
        <v>5</v>
      </c>
    </row>
    <row r="626" spans="1:4" x14ac:dyDescent="0.2">
      <c r="A626" s="672" t="str">
        <f t="shared" si="9"/>
        <v>161</v>
      </c>
      <c r="B626" s="672">
        <v>16107</v>
      </c>
      <c r="C626" s="673" t="s">
        <v>4</v>
      </c>
      <c r="D626" s="672" t="s">
        <v>5</v>
      </c>
    </row>
    <row r="627" spans="1:4" x14ac:dyDescent="0.2">
      <c r="A627" s="672" t="str">
        <f t="shared" si="9"/>
        <v>161</v>
      </c>
      <c r="B627" s="672">
        <v>16108</v>
      </c>
      <c r="C627" s="673" t="s">
        <v>4</v>
      </c>
      <c r="D627" s="672" t="s">
        <v>5</v>
      </c>
    </row>
    <row r="628" spans="1:4" x14ac:dyDescent="0.2">
      <c r="A628" s="672" t="str">
        <f t="shared" si="9"/>
        <v>161</v>
      </c>
      <c r="B628" s="672">
        <v>16110</v>
      </c>
      <c r="C628" s="673" t="s">
        <v>8</v>
      </c>
      <c r="D628" s="672" t="s">
        <v>9</v>
      </c>
    </row>
    <row r="629" spans="1:4" x14ac:dyDescent="0.2">
      <c r="A629" s="672" t="str">
        <f t="shared" si="9"/>
        <v>161</v>
      </c>
      <c r="B629" s="672">
        <v>16111</v>
      </c>
      <c r="C629" s="673" t="s">
        <v>8</v>
      </c>
      <c r="D629" s="672" t="s">
        <v>9</v>
      </c>
    </row>
    <row r="630" spans="1:4" x14ac:dyDescent="0.2">
      <c r="A630" s="672" t="str">
        <f t="shared" si="9"/>
        <v>161</v>
      </c>
      <c r="B630" s="672">
        <v>16112</v>
      </c>
      <c r="C630" s="673" t="s">
        <v>4</v>
      </c>
      <c r="D630" s="672" t="s">
        <v>5</v>
      </c>
    </row>
    <row r="631" spans="1:4" x14ac:dyDescent="0.2">
      <c r="A631" s="672" t="str">
        <f t="shared" si="9"/>
        <v>161</v>
      </c>
      <c r="B631" s="672">
        <v>16113</v>
      </c>
      <c r="C631" s="673" t="s">
        <v>8</v>
      </c>
      <c r="D631" s="672" t="s">
        <v>9</v>
      </c>
    </row>
    <row r="632" spans="1:4" x14ac:dyDescent="0.2">
      <c r="A632" s="672" t="str">
        <f t="shared" si="9"/>
        <v>161</v>
      </c>
      <c r="B632" s="672">
        <v>16114</v>
      </c>
      <c r="C632" s="673" t="s">
        <v>8</v>
      </c>
      <c r="D632" s="672" t="s">
        <v>9</v>
      </c>
    </row>
    <row r="633" spans="1:4" x14ac:dyDescent="0.2">
      <c r="A633" s="672" t="str">
        <f t="shared" si="9"/>
        <v>161</v>
      </c>
      <c r="B633" s="672">
        <v>16115</v>
      </c>
      <c r="C633" s="673" t="s">
        <v>4</v>
      </c>
      <c r="D633" s="672" t="s">
        <v>5</v>
      </c>
    </row>
    <row r="634" spans="1:4" x14ac:dyDescent="0.2">
      <c r="A634" s="672" t="str">
        <f t="shared" si="9"/>
        <v>161</v>
      </c>
      <c r="B634" s="672">
        <v>16116</v>
      </c>
      <c r="C634" s="673" t="s">
        <v>4</v>
      </c>
      <c r="D634" s="672" t="s">
        <v>5</v>
      </c>
    </row>
    <row r="635" spans="1:4" x14ac:dyDescent="0.2">
      <c r="A635" s="672" t="str">
        <f t="shared" si="9"/>
        <v>161</v>
      </c>
      <c r="B635" s="672">
        <v>16117</v>
      </c>
      <c r="C635" s="673" t="s">
        <v>4</v>
      </c>
      <c r="D635" s="672" t="s">
        <v>5</v>
      </c>
    </row>
    <row r="636" spans="1:4" x14ac:dyDescent="0.2">
      <c r="A636" s="672" t="str">
        <f t="shared" si="9"/>
        <v>161</v>
      </c>
      <c r="B636" s="672">
        <v>16120</v>
      </c>
      <c r="C636" s="673" t="s">
        <v>4</v>
      </c>
      <c r="D636" s="672" t="s">
        <v>5</v>
      </c>
    </row>
    <row r="637" spans="1:4" x14ac:dyDescent="0.2">
      <c r="A637" s="672" t="str">
        <f t="shared" si="9"/>
        <v>161</v>
      </c>
      <c r="B637" s="672">
        <v>16121</v>
      </c>
      <c r="C637" s="673" t="s">
        <v>8</v>
      </c>
      <c r="D637" s="672" t="s">
        <v>9</v>
      </c>
    </row>
    <row r="638" spans="1:4" x14ac:dyDescent="0.2">
      <c r="A638" s="672" t="str">
        <f t="shared" si="9"/>
        <v>161</v>
      </c>
      <c r="B638" s="672">
        <v>16123</v>
      </c>
      <c r="C638" s="673" t="s">
        <v>4</v>
      </c>
      <c r="D638" s="672" t="s">
        <v>5</v>
      </c>
    </row>
    <row r="639" spans="1:4" x14ac:dyDescent="0.2">
      <c r="A639" s="672" t="str">
        <f t="shared" si="9"/>
        <v>161</v>
      </c>
      <c r="B639" s="672">
        <v>16124</v>
      </c>
      <c r="C639" s="673" t="s">
        <v>8</v>
      </c>
      <c r="D639" s="672" t="s">
        <v>9</v>
      </c>
    </row>
    <row r="640" spans="1:4" x14ac:dyDescent="0.2">
      <c r="A640" s="672" t="str">
        <f t="shared" si="9"/>
        <v>161</v>
      </c>
      <c r="B640" s="672">
        <v>16125</v>
      </c>
      <c r="C640" s="673" t="s">
        <v>8</v>
      </c>
      <c r="D640" s="672" t="s">
        <v>9</v>
      </c>
    </row>
    <row r="641" spans="1:4" x14ac:dyDescent="0.2">
      <c r="A641" s="672" t="str">
        <f t="shared" si="9"/>
        <v>161</v>
      </c>
      <c r="B641" s="672">
        <v>16127</v>
      </c>
      <c r="C641" s="673" t="s">
        <v>8</v>
      </c>
      <c r="D641" s="672" t="s">
        <v>9</v>
      </c>
    </row>
    <row r="642" spans="1:4" x14ac:dyDescent="0.2">
      <c r="A642" s="672" t="str">
        <f t="shared" ref="A642:A705" si="10">LEFT(B642,3)</f>
        <v>161</v>
      </c>
      <c r="B642" s="672">
        <v>16130</v>
      </c>
      <c r="C642" s="673" t="s">
        <v>8</v>
      </c>
      <c r="D642" s="672" t="s">
        <v>9</v>
      </c>
    </row>
    <row r="643" spans="1:4" x14ac:dyDescent="0.2">
      <c r="A643" s="672" t="str">
        <f t="shared" si="10"/>
        <v>161</v>
      </c>
      <c r="B643" s="672">
        <v>16131</v>
      </c>
      <c r="C643" s="673" t="s">
        <v>8</v>
      </c>
      <c r="D643" s="672" t="s">
        <v>9</v>
      </c>
    </row>
    <row r="644" spans="1:4" x14ac:dyDescent="0.2">
      <c r="A644" s="672" t="str">
        <f t="shared" si="10"/>
        <v>161</v>
      </c>
      <c r="B644" s="672">
        <v>16132</v>
      </c>
      <c r="C644" s="673" t="s">
        <v>4</v>
      </c>
      <c r="D644" s="672" t="s">
        <v>5</v>
      </c>
    </row>
    <row r="645" spans="1:4" x14ac:dyDescent="0.2">
      <c r="A645" s="672" t="str">
        <f t="shared" si="10"/>
        <v>161</v>
      </c>
      <c r="B645" s="672">
        <v>16133</v>
      </c>
      <c r="C645" s="673" t="s">
        <v>8</v>
      </c>
      <c r="D645" s="672" t="s">
        <v>9</v>
      </c>
    </row>
    <row r="646" spans="1:4" x14ac:dyDescent="0.2">
      <c r="A646" s="672" t="str">
        <f t="shared" si="10"/>
        <v>161</v>
      </c>
      <c r="B646" s="672">
        <v>16134</v>
      </c>
      <c r="C646" s="673" t="s">
        <v>8</v>
      </c>
      <c r="D646" s="672" t="s">
        <v>9</v>
      </c>
    </row>
    <row r="647" spans="1:4" x14ac:dyDescent="0.2">
      <c r="A647" s="672" t="str">
        <f t="shared" si="10"/>
        <v>161</v>
      </c>
      <c r="B647" s="672">
        <v>16136</v>
      </c>
      <c r="C647" s="673" t="s">
        <v>4</v>
      </c>
      <c r="D647" s="672" t="s">
        <v>5</v>
      </c>
    </row>
    <row r="648" spans="1:4" x14ac:dyDescent="0.2">
      <c r="A648" s="672" t="str">
        <f t="shared" si="10"/>
        <v>161</v>
      </c>
      <c r="B648" s="672">
        <v>16137</v>
      </c>
      <c r="C648" s="673" t="s">
        <v>8</v>
      </c>
      <c r="D648" s="672" t="s">
        <v>9</v>
      </c>
    </row>
    <row r="649" spans="1:4" x14ac:dyDescent="0.2">
      <c r="A649" s="672" t="str">
        <f t="shared" si="10"/>
        <v>161</v>
      </c>
      <c r="B649" s="672">
        <v>16140</v>
      </c>
      <c r="C649" s="673" t="s">
        <v>4</v>
      </c>
      <c r="D649" s="672" t="s">
        <v>5</v>
      </c>
    </row>
    <row r="650" spans="1:4" x14ac:dyDescent="0.2">
      <c r="A650" s="672" t="str">
        <f t="shared" si="10"/>
        <v>161</v>
      </c>
      <c r="B650" s="672">
        <v>16141</v>
      </c>
      <c r="C650" s="673" t="s">
        <v>4</v>
      </c>
      <c r="D650" s="672" t="s">
        <v>5</v>
      </c>
    </row>
    <row r="651" spans="1:4" x14ac:dyDescent="0.2">
      <c r="A651" s="672" t="str">
        <f t="shared" si="10"/>
        <v>161</v>
      </c>
      <c r="B651" s="672">
        <v>16142</v>
      </c>
      <c r="C651" s="673" t="s">
        <v>4</v>
      </c>
      <c r="D651" s="672" t="s">
        <v>5</v>
      </c>
    </row>
    <row r="652" spans="1:4" x14ac:dyDescent="0.2">
      <c r="A652" s="672" t="str">
        <f t="shared" si="10"/>
        <v>161</v>
      </c>
      <c r="B652" s="672">
        <v>16143</v>
      </c>
      <c r="C652" s="673" t="s">
        <v>4</v>
      </c>
      <c r="D652" s="672" t="s">
        <v>5</v>
      </c>
    </row>
    <row r="653" spans="1:4" x14ac:dyDescent="0.2">
      <c r="A653" s="672" t="str">
        <f t="shared" si="10"/>
        <v>161</v>
      </c>
      <c r="B653" s="672">
        <v>16145</v>
      </c>
      <c r="C653" s="673" t="s">
        <v>8</v>
      </c>
      <c r="D653" s="672" t="s">
        <v>9</v>
      </c>
    </row>
    <row r="654" spans="1:4" x14ac:dyDescent="0.2">
      <c r="A654" s="672" t="str">
        <f t="shared" si="10"/>
        <v>161</v>
      </c>
      <c r="B654" s="672">
        <v>16146</v>
      </c>
      <c r="C654" s="673" t="s">
        <v>8</v>
      </c>
      <c r="D654" s="672" t="s">
        <v>9</v>
      </c>
    </row>
    <row r="655" spans="1:4" x14ac:dyDescent="0.2">
      <c r="A655" s="672" t="str">
        <f t="shared" si="10"/>
        <v>161</v>
      </c>
      <c r="B655" s="672">
        <v>16148</v>
      </c>
      <c r="C655" s="673" t="s">
        <v>8</v>
      </c>
      <c r="D655" s="672" t="s">
        <v>9</v>
      </c>
    </row>
    <row r="656" spans="1:4" x14ac:dyDescent="0.2">
      <c r="A656" s="672" t="str">
        <f t="shared" si="10"/>
        <v>161</v>
      </c>
      <c r="B656" s="672">
        <v>16150</v>
      </c>
      <c r="C656" s="673" t="s">
        <v>8</v>
      </c>
      <c r="D656" s="672" t="s">
        <v>9</v>
      </c>
    </row>
    <row r="657" spans="1:4" x14ac:dyDescent="0.2">
      <c r="A657" s="672" t="str">
        <f t="shared" si="10"/>
        <v>161</v>
      </c>
      <c r="B657" s="672">
        <v>16151</v>
      </c>
      <c r="C657" s="673" t="s">
        <v>8</v>
      </c>
      <c r="D657" s="672" t="s">
        <v>9</v>
      </c>
    </row>
    <row r="658" spans="1:4" x14ac:dyDescent="0.2">
      <c r="A658" s="672" t="str">
        <f t="shared" si="10"/>
        <v>161</v>
      </c>
      <c r="B658" s="672">
        <v>16153</v>
      </c>
      <c r="C658" s="673" t="s">
        <v>8</v>
      </c>
      <c r="D658" s="672" t="s">
        <v>9</v>
      </c>
    </row>
    <row r="659" spans="1:4" x14ac:dyDescent="0.2">
      <c r="A659" s="672" t="str">
        <f t="shared" si="10"/>
        <v>161</v>
      </c>
      <c r="B659" s="672">
        <v>16154</v>
      </c>
      <c r="C659" s="673" t="s">
        <v>8</v>
      </c>
      <c r="D659" s="672" t="s">
        <v>9</v>
      </c>
    </row>
    <row r="660" spans="1:4" x14ac:dyDescent="0.2">
      <c r="A660" s="672" t="str">
        <f t="shared" si="10"/>
        <v>161</v>
      </c>
      <c r="B660" s="672">
        <v>16155</v>
      </c>
      <c r="C660" s="673" t="s">
        <v>4</v>
      </c>
      <c r="D660" s="672" t="s">
        <v>5</v>
      </c>
    </row>
    <row r="661" spans="1:4" x14ac:dyDescent="0.2">
      <c r="A661" s="672" t="str">
        <f t="shared" si="10"/>
        <v>161</v>
      </c>
      <c r="B661" s="672">
        <v>16156</v>
      </c>
      <c r="C661" s="673" t="s">
        <v>4</v>
      </c>
      <c r="D661" s="672" t="s">
        <v>5</v>
      </c>
    </row>
    <row r="662" spans="1:4" x14ac:dyDescent="0.2">
      <c r="A662" s="672" t="str">
        <f t="shared" si="10"/>
        <v>161</v>
      </c>
      <c r="B662" s="672">
        <v>16157</v>
      </c>
      <c r="C662" s="673" t="s">
        <v>4</v>
      </c>
      <c r="D662" s="672" t="s">
        <v>5</v>
      </c>
    </row>
    <row r="663" spans="1:4" x14ac:dyDescent="0.2">
      <c r="A663" s="672" t="str">
        <f t="shared" si="10"/>
        <v>161</v>
      </c>
      <c r="B663" s="672">
        <v>16159</v>
      </c>
      <c r="C663" s="673" t="s">
        <v>8</v>
      </c>
      <c r="D663" s="672" t="s">
        <v>9</v>
      </c>
    </row>
    <row r="664" spans="1:4" x14ac:dyDescent="0.2">
      <c r="A664" s="672" t="str">
        <f t="shared" si="10"/>
        <v>161</v>
      </c>
      <c r="B664" s="672">
        <v>16160</v>
      </c>
      <c r="C664" s="673" t="s">
        <v>4</v>
      </c>
      <c r="D664" s="672" t="s">
        <v>5</v>
      </c>
    </row>
    <row r="665" spans="1:4" x14ac:dyDescent="0.2">
      <c r="A665" s="672" t="str">
        <f t="shared" si="10"/>
        <v>161</v>
      </c>
      <c r="B665" s="672">
        <v>16161</v>
      </c>
      <c r="C665" s="673" t="s">
        <v>8</v>
      </c>
      <c r="D665" s="672" t="s">
        <v>9</v>
      </c>
    </row>
    <row r="666" spans="1:4" x14ac:dyDescent="0.2">
      <c r="A666" s="672" t="str">
        <f t="shared" si="10"/>
        <v>161</v>
      </c>
      <c r="B666" s="672">
        <v>16172</v>
      </c>
      <c r="C666" s="673" t="s">
        <v>4</v>
      </c>
      <c r="D666" s="672" t="s">
        <v>5</v>
      </c>
    </row>
    <row r="667" spans="1:4" x14ac:dyDescent="0.2">
      <c r="A667" s="672" t="str">
        <f t="shared" si="10"/>
        <v>162</v>
      </c>
      <c r="B667" s="672">
        <v>16201</v>
      </c>
      <c r="C667" s="673" t="s">
        <v>4</v>
      </c>
      <c r="D667" s="672" t="s">
        <v>5</v>
      </c>
    </row>
    <row r="668" spans="1:4" x14ac:dyDescent="0.2">
      <c r="A668" s="672" t="str">
        <f t="shared" si="10"/>
        <v>162</v>
      </c>
      <c r="B668" s="672">
        <v>16210</v>
      </c>
      <c r="C668" s="673" t="s">
        <v>4</v>
      </c>
      <c r="D668" s="672" t="s">
        <v>5</v>
      </c>
    </row>
    <row r="669" spans="1:4" x14ac:dyDescent="0.2">
      <c r="A669" s="672" t="str">
        <f t="shared" si="10"/>
        <v>162</v>
      </c>
      <c r="B669" s="672">
        <v>16211</v>
      </c>
      <c r="C669" s="673" t="s">
        <v>4</v>
      </c>
      <c r="D669" s="672" t="s">
        <v>5</v>
      </c>
    </row>
    <row r="670" spans="1:4" x14ac:dyDescent="0.2">
      <c r="A670" s="672" t="str">
        <f t="shared" si="10"/>
        <v>162</v>
      </c>
      <c r="B670" s="672">
        <v>16212</v>
      </c>
      <c r="C670" s="673" t="s">
        <v>4</v>
      </c>
      <c r="D670" s="672" t="s">
        <v>5</v>
      </c>
    </row>
    <row r="671" spans="1:4" x14ac:dyDescent="0.2">
      <c r="A671" s="672" t="str">
        <f t="shared" si="10"/>
        <v>162</v>
      </c>
      <c r="B671" s="672">
        <v>16213</v>
      </c>
      <c r="C671" s="673" t="s">
        <v>8</v>
      </c>
      <c r="D671" s="672" t="s">
        <v>9</v>
      </c>
    </row>
    <row r="672" spans="1:4" x14ac:dyDescent="0.2">
      <c r="A672" s="672" t="str">
        <f t="shared" si="10"/>
        <v>162</v>
      </c>
      <c r="B672" s="672">
        <v>16214</v>
      </c>
      <c r="C672" s="673" t="s">
        <v>8</v>
      </c>
      <c r="D672" s="672" t="s">
        <v>9</v>
      </c>
    </row>
    <row r="673" spans="1:4" x14ac:dyDescent="0.2">
      <c r="A673" s="672" t="str">
        <f t="shared" si="10"/>
        <v>162</v>
      </c>
      <c r="B673" s="672">
        <v>16215</v>
      </c>
      <c r="C673" s="673" t="s">
        <v>4</v>
      </c>
      <c r="D673" s="672" t="s">
        <v>5</v>
      </c>
    </row>
    <row r="674" spans="1:4" x14ac:dyDescent="0.2">
      <c r="A674" s="672" t="str">
        <f t="shared" si="10"/>
        <v>162</v>
      </c>
      <c r="B674" s="672">
        <v>16216</v>
      </c>
      <c r="C674" s="673" t="s">
        <v>4</v>
      </c>
      <c r="D674" s="672" t="s">
        <v>5</v>
      </c>
    </row>
    <row r="675" spans="1:4" x14ac:dyDescent="0.2">
      <c r="A675" s="672" t="str">
        <f t="shared" si="10"/>
        <v>162</v>
      </c>
      <c r="B675" s="672">
        <v>16217</v>
      </c>
      <c r="C675" s="673" t="s">
        <v>8</v>
      </c>
      <c r="D675" s="672" t="s">
        <v>9</v>
      </c>
    </row>
    <row r="676" spans="1:4" x14ac:dyDescent="0.2">
      <c r="A676" s="672" t="str">
        <f t="shared" si="10"/>
        <v>162</v>
      </c>
      <c r="B676" s="672">
        <v>16218</v>
      </c>
      <c r="C676" s="673" t="s">
        <v>4</v>
      </c>
      <c r="D676" s="672" t="s">
        <v>5</v>
      </c>
    </row>
    <row r="677" spans="1:4" x14ac:dyDescent="0.2">
      <c r="A677" s="672" t="str">
        <f t="shared" si="10"/>
        <v>162</v>
      </c>
      <c r="B677" s="672">
        <v>16220</v>
      </c>
      <c r="C677" s="673" t="s">
        <v>8</v>
      </c>
      <c r="D677" s="672" t="s">
        <v>9</v>
      </c>
    </row>
    <row r="678" spans="1:4" x14ac:dyDescent="0.2">
      <c r="A678" s="672" t="str">
        <f t="shared" si="10"/>
        <v>162</v>
      </c>
      <c r="B678" s="672">
        <v>16221</v>
      </c>
      <c r="C678" s="673" t="s">
        <v>8</v>
      </c>
      <c r="D678" s="672" t="s">
        <v>9</v>
      </c>
    </row>
    <row r="679" spans="1:4" x14ac:dyDescent="0.2">
      <c r="A679" s="672" t="str">
        <f t="shared" si="10"/>
        <v>162</v>
      </c>
      <c r="B679" s="672">
        <v>16222</v>
      </c>
      <c r="C679" s="673" t="s">
        <v>4</v>
      </c>
      <c r="D679" s="672" t="s">
        <v>5</v>
      </c>
    </row>
    <row r="680" spans="1:4" x14ac:dyDescent="0.2">
      <c r="A680" s="672" t="str">
        <f t="shared" si="10"/>
        <v>162</v>
      </c>
      <c r="B680" s="672">
        <v>16223</v>
      </c>
      <c r="C680" s="673" t="s">
        <v>4</v>
      </c>
      <c r="D680" s="672" t="s">
        <v>5</v>
      </c>
    </row>
    <row r="681" spans="1:4" x14ac:dyDescent="0.2">
      <c r="A681" s="672" t="str">
        <f t="shared" si="10"/>
        <v>162</v>
      </c>
      <c r="B681" s="672">
        <v>16224</v>
      </c>
      <c r="C681" s="673" t="s">
        <v>8</v>
      </c>
      <c r="D681" s="672" t="s">
        <v>9</v>
      </c>
    </row>
    <row r="682" spans="1:4" x14ac:dyDescent="0.2">
      <c r="A682" s="672" t="str">
        <f t="shared" si="10"/>
        <v>162</v>
      </c>
      <c r="B682" s="672">
        <v>16225</v>
      </c>
      <c r="C682" s="673" t="s">
        <v>8</v>
      </c>
      <c r="D682" s="672" t="s">
        <v>9</v>
      </c>
    </row>
    <row r="683" spans="1:4" x14ac:dyDescent="0.2">
      <c r="A683" s="672" t="str">
        <f t="shared" si="10"/>
        <v>162</v>
      </c>
      <c r="B683" s="672">
        <v>16226</v>
      </c>
      <c r="C683" s="673" t="s">
        <v>4</v>
      </c>
      <c r="D683" s="672" t="s">
        <v>5</v>
      </c>
    </row>
    <row r="684" spans="1:4" x14ac:dyDescent="0.2">
      <c r="A684" s="672" t="str">
        <f t="shared" si="10"/>
        <v>162</v>
      </c>
      <c r="B684" s="672">
        <v>16228</v>
      </c>
      <c r="C684" s="673" t="s">
        <v>4</v>
      </c>
      <c r="D684" s="672" t="s">
        <v>5</v>
      </c>
    </row>
    <row r="685" spans="1:4" x14ac:dyDescent="0.2">
      <c r="A685" s="672" t="str">
        <f t="shared" si="10"/>
        <v>162</v>
      </c>
      <c r="B685" s="672">
        <v>16229</v>
      </c>
      <c r="C685" s="673" t="s">
        <v>4</v>
      </c>
      <c r="D685" s="672" t="s">
        <v>5</v>
      </c>
    </row>
    <row r="686" spans="1:4" x14ac:dyDescent="0.2">
      <c r="A686" s="672" t="str">
        <f t="shared" si="10"/>
        <v>162</v>
      </c>
      <c r="B686" s="672">
        <v>16230</v>
      </c>
      <c r="C686" s="673" t="s">
        <v>8</v>
      </c>
      <c r="D686" s="672" t="s">
        <v>9</v>
      </c>
    </row>
    <row r="687" spans="1:4" x14ac:dyDescent="0.2">
      <c r="A687" s="672" t="str">
        <f t="shared" si="10"/>
        <v>162</v>
      </c>
      <c r="B687" s="672">
        <v>16232</v>
      </c>
      <c r="C687" s="673" t="s">
        <v>8</v>
      </c>
      <c r="D687" s="672" t="s">
        <v>9</v>
      </c>
    </row>
    <row r="688" spans="1:4" x14ac:dyDescent="0.2">
      <c r="A688" s="672" t="str">
        <f t="shared" si="10"/>
        <v>162</v>
      </c>
      <c r="B688" s="672">
        <v>16233</v>
      </c>
      <c r="C688" s="673" t="s">
        <v>8</v>
      </c>
      <c r="D688" s="672" t="s">
        <v>9</v>
      </c>
    </row>
    <row r="689" spans="1:4" x14ac:dyDescent="0.2">
      <c r="A689" s="672" t="str">
        <f t="shared" si="10"/>
        <v>162</v>
      </c>
      <c r="B689" s="672">
        <v>16234</v>
      </c>
      <c r="C689" s="673" t="s">
        <v>8</v>
      </c>
      <c r="D689" s="672" t="s">
        <v>9</v>
      </c>
    </row>
    <row r="690" spans="1:4" x14ac:dyDescent="0.2">
      <c r="A690" s="672" t="str">
        <f t="shared" si="10"/>
        <v>162</v>
      </c>
      <c r="B690" s="672">
        <v>16235</v>
      </c>
      <c r="C690" s="673" t="s">
        <v>8</v>
      </c>
      <c r="D690" s="672" t="s">
        <v>9</v>
      </c>
    </row>
    <row r="691" spans="1:4" x14ac:dyDescent="0.2">
      <c r="A691" s="672" t="str">
        <f t="shared" si="10"/>
        <v>162</v>
      </c>
      <c r="B691" s="672">
        <v>16236</v>
      </c>
      <c r="C691" s="673" t="s">
        <v>4</v>
      </c>
      <c r="D691" s="672" t="s">
        <v>5</v>
      </c>
    </row>
    <row r="692" spans="1:4" x14ac:dyDescent="0.2">
      <c r="A692" s="672" t="str">
        <f t="shared" si="10"/>
        <v>162</v>
      </c>
      <c r="B692" s="672">
        <v>16238</v>
      </c>
      <c r="C692" s="673" t="s">
        <v>4</v>
      </c>
      <c r="D692" s="672" t="s">
        <v>5</v>
      </c>
    </row>
    <row r="693" spans="1:4" x14ac:dyDescent="0.2">
      <c r="A693" s="672" t="str">
        <f t="shared" si="10"/>
        <v>162</v>
      </c>
      <c r="B693" s="672">
        <v>16239</v>
      </c>
      <c r="C693" s="673" t="s">
        <v>8</v>
      </c>
      <c r="D693" s="672" t="s">
        <v>9</v>
      </c>
    </row>
    <row r="694" spans="1:4" x14ac:dyDescent="0.2">
      <c r="A694" s="672" t="str">
        <f t="shared" si="10"/>
        <v>162</v>
      </c>
      <c r="B694" s="672">
        <v>16240</v>
      </c>
      <c r="C694" s="673" t="s">
        <v>8</v>
      </c>
      <c r="D694" s="672" t="s">
        <v>9</v>
      </c>
    </row>
    <row r="695" spans="1:4" x14ac:dyDescent="0.2">
      <c r="A695" s="672" t="str">
        <f t="shared" si="10"/>
        <v>162</v>
      </c>
      <c r="B695" s="672">
        <v>16242</v>
      </c>
      <c r="C695" s="673" t="s">
        <v>8</v>
      </c>
      <c r="D695" s="672" t="s">
        <v>9</v>
      </c>
    </row>
    <row r="696" spans="1:4" x14ac:dyDescent="0.2">
      <c r="A696" s="672" t="str">
        <f t="shared" si="10"/>
        <v>162</v>
      </c>
      <c r="B696" s="672">
        <v>16244</v>
      </c>
      <c r="C696" s="673" t="s">
        <v>4</v>
      </c>
      <c r="D696" s="672" t="s">
        <v>5</v>
      </c>
    </row>
    <row r="697" spans="1:4" x14ac:dyDescent="0.2">
      <c r="A697" s="672" t="str">
        <f t="shared" si="10"/>
        <v>162</v>
      </c>
      <c r="B697" s="672">
        <v>16245</v>
      </c>
      <c r="C697" s="673" t="s">
        <v>4</v>
      </c>
      <c r="D697" s="672" t="s">
        <v>5</v>
      </c>
    </row>
    <row r="698" spans="1:4" x14ac:dyDescent="0.2">
      <c r="A698" s="672" t="str">
        <f t="shared" si="10"/>
        <v>162</v>
      </c>
      <c r="B698" s="672">
        <v>16246</v>
      </c>
      <c r="C698" s="673" t="s">
        <v>4</v>
      </c>
      <c r="D698" s="672" t="s">
        <v>5</v>
      </c>
    </row>
    <row r="699" spans="1:4" x14ac:dyDescent="0.2">
      <c r="A699" s="672" t="str">
        <f t="shared" si="10"/>
        <v>162</v>
      </c>
      <c r="B699" s="672">
        <v>16248</v>
      </c>
      <c r="C699" s="673" t="s">
        <v>8</v>
      </c>
      <c r="D699" s="672" t="s">
        <v>9</v>
      </c>
    </row>
    <row r="700" spans="1:4" x14ac:dyDescent="0.2">
      <c r="A700" s="672" t="str">
        <f t="shared" si="10"/>
        <v>162</v>
      </c>
      <c r="B700" s="672">
        <v>16249</v>
      </c>
      <c r="C700" s="673" t="s">
        <v>4</v>
      </c>
      <c r="D700" s="672" t="s">
        <v>5</v>
      </c>
    </row>
    <row r="701" spans="1:4" x14ac:dyDescent="0.2">
      <c r="A701" s="672" t="str">
        <f t="shared" si="10"/>
        <v>162</v>
      </c>
      <c r="B701" s="672">
        <v>16250</v>
      </c>
      <c r="C701" s="673" t="s">
        <v>4</v>
      </c>
      <c r="D701" s="672" t="s">
        <v>5</v>
      </c>
    </row>
    <row r="702" spans="1:4" x14ac:dyDescent="0.2">
      <c r="A702" s="672" t="str">
        <f t="shared" si="10"/>
        <v>162</v>
      </c>
      <c r="B702" s="672">
        <v>16253</v>
      </c>
      <c r="C702" s="673" t="s">
        <v>4</v>
      </c>
      <c r="D702" s="672" t="s">
        <v>5</v>
      </c>
    </row>
    <row r="703" spans="1:4" x14ac:dyDescent="0.2">
      <c r="A703" s="672" t="str">
        <f t="shared" si="10"/>
        <v>162</v>
      </c>
      <c r="B703" s="672">
        <v>16254</v>
      </c>
      <c r="C703" s="673" t="s">
        <v>8</v>
      </c>
      <c r="D703" s="672" t="s">
        <v>9</v>
      </c>
    </row>
    <row r="704" spans="1:4" x14ac:dyDescent="0.2">
      <c r="A704" s="672" t="str">
        <f t="shared" si="10"/>
        <v>162</v>
      </c>
      <c r="B704" s="672">
        <v>16255</v>
      </c>
      <c r="C704" s="673" t="s">
        <v>8</v>
      </c>
      <c r="D704" s="672" t="s">
        <v>9</v>
      </c>
    </row>
    <row r="705" spans="1:4" x14ac:dyDescent="0.2">
      <c r="A705" s="672" t="str">
        <f t="shared" si="10"/>
        <v>162</v>
      </c>
      <c r="B705" s="672">
        <v>16256</v>
      </c>
      <c r="C705" s="673" t="s">
        <v>4</v>
      </c>
      <c r="D705" s="672" t="s">
        <v>5</v>
      </c>
    </row>
    <row r="706" spans="1:4" x14ac:dyDescent="0.2">
      <c r="A706" s="672" t="str">
        <f t="shared" ref="A706:A769" si="11">LEFT(B706,3)</f>
        <v>162</v>
      </c>
      <c r="B706" s="672">
        <v>16257</v>
      </c>
      <c r="C706" s="673" t="s">
        <v>8</v>
      </c>
      <c r="D706" s="672" t="s">
        <v>9</v>
      </c>
    </row>
    <row r="707" spans="1:4" x14ac:dyDescent="0.2">
      <c r="A707" s="672" t="str">
        <f t="shared" si="11"/>
        <v>162</v>
      </c>
      <c r="B707" s="672">
        <v>16258</v>
      </c>
      <c r="C707" s="673" t="s">
        <v>8</v>
      </c>
      <c r="D707" s="672" t="s">
        <v>9</v>
      </c>
    </row>
    <row r="708" spans="1:4" x14ac:dyDescent="0.2">
      <c r="A708" s="672" t="str">
        <f t="shared" si="11"/>
        <v>162</v>
      </c>
      <c r="B708" s="672">
        <v>16259</v>
      </c>
      <c r="C708" s="673" t="s">
        <v>4</v>
      </c>
      <c r="D708" s="672" t="s">
        <v>5</v>
      </c>
    </row>
    <row r="709" spans="1:4" x14ac:dyDescent="0.2">
      <c r="A709" s="672" t="str">
        <f t="shared" si="11"/>
        <v>162</v>
      </c>
      <c r="B709" s="672">
        <v>16260</v>
      </c>
      <c r="C709" s="673" t="s">
        <v>8</v>
      </c>
      <c r="D709" s="672" t="s">
        <v>9</v>
      </c>
    </row>
    <row r="710" spans="1:4" x14ac:dyDescent="0.2">
      <c r="A710" s="672" t="str">
        <f t="shared" si="11"/>
        <v>162</v>
      </c>
      <c r="B710" s="672">
        <v>16261</v>
      </c>
      <c r="C710" s="673" t="s">
        <v>4</v>
      </c>
      <c r="D710" s="672" t="s">
        <v>5</v>
      </c>
    </row>
    <row r="711" spans="1:4" x14ac:dyDescent="0.2">
      <c r="A711" s="672" t="str">
        <f t="shared" si="11"/>
        <v>162</v>
      </c>
      <c r="B711" s="672">
        <v>16262</v>
      </c>
      <c r="C711" s="673" t="s">
        <v>4</v>
      </c>
      <c r="D711" s="672" t="s">
        <v>5</v>
      </c>
    </row>
    <row r="712" spans="1:4" x14ac:dyDescent="0.2">
      <c r="A712" s="672" t="str">
        <f t="shared" si="11"/>
        <v>162</v>
      </c>
      <c r="B712" s="672">
        <v>16263</v>
      </c>
      <c r="C712" s="673" t="s">
        <v>4</v>
      </c>
      <c r="D712" s="672" t="s">
        <v>5</v>
      </c>
    </row>
    <row r="713" spans="1:4" x14ac:dyDescent="0.2">
      <c r="A713" s="672" t="str">
        <f t="shared" si="11"/>
        <v>163</v>
      </c>
      <c r="B713" s="672">
        <v>16301</v>
      </c>
      <c r="C713" s="673" t="s">
        <v>8</v>
      </c>
      <c r="D713" s="672" t="s">
        <v>9</v>
      </c>
    </row>
    <row r="714" spans="1:4" x14ac:dyDescent="0.2">
      <c r="A714" s="672" t="str">
        <f t="shared" si="11"/>
        <v>163</v>
      </c>
      <c r="B714" s="672">
        <v>16311</v>
      </c>
      <c r="C714" s="673" t="s">
        <v>8</v>
      </c>
      <c r="D714" s="672" t="s">
        <v>9</v>
      </c>
    </row>
    <row r="715" spans="1:4" x14ac:dyDescent="0.2">
      <c r="A715" s="672" t="str">
        <f t="shared" si="11"/>
        <v>163</v>
      </c>
      <c r="B715" s="672">
        <v>16312</v>
      </c>
      <c r="C715" s="673" t="s">
        <v>8</v>
      </c>
      <c r="D715" s="672" t="s">
        <v>9</v>
      </c>
    </row>
    <row r="716" spans="1:4" x14ac:dyDescent="0.2">
      <c r="A716" s="672" t="str">
        <f t="shared" si="11"/>
        <v>163</v>
      </c>
      <c r="B716" s="672">
        <v>16313</v>
      </c>
      <c r="C716" s="673" t="s">
        <v>8</v>
      </c>
      <c r="D716" s="672" t="s">
        <v>9</v>
      </c>
    </row>
    <row r="717" spans="1:4" x14ac:dyDescent="0.2">
      <c r="A717" s="672" t="str">
        <f t="shared" si="11"/>
        <v>163</v>
      </c>
      <c r="B717" s="672">
        <v>16314</v>
      </c>
      <c r="C717" s="673" t="s">
        <v>8</v>
      </c>
      <c r="D717" s="672" t="s">
        <v>9</v>
      </c>
    </row>
    <row r="718" spans="1:4" x14ac:dyDescent="0.2">
      <c r="A718" s="672" t="str">
        <f t="shared" si="11"/>
        <v>163</v>
      </c>
      <c r="B718" s="672">
        <v>16316</v>
      </c>
      <c r="C718" s="673" t="s">
        <v>8</v>
      </c>
      <c r="D718" s="672" t="s">
        <v>9</v>
      </c>
    </row>
    <row r="719" spans="1:4" x14ac:dyDescent="0.2">
      <c r="A719" s="672" t="str">
        <f t="shared" si="11"/>
        <v>163</v>
      </c>
      <c r="B719" s="672">
        <v>16317</v>
      </c>
      <c r="C719" s="673" t="s">
        <v>8</v>
      </c>
      <c r="D719" s="672" t="s">
        <v>9</v>
      </c>
    </row>
    <row r="720" spans="1:4" x14ac:dyDescent="0.2">
      <c r="A720" s="672" t="str">
        <f t="shared" si="11"/>
        <v>163</v>
      </c>
      <c r="B720" s="672">
        <v>16319</v>
      </c>
      <c r="C720" s="673" t="s">
        <v>8</v>
      </c>
      <c r="D720" s="672" t="s">
        <v>9</v>
      </c>
    </row>
    <row r="721" spans="1:4" x14ac:dyDescent="0.2">
      <c r="A721" s="672" t="str">
        <f t="shared" si="11"/>
        <v>163</v>
      </c>
      <c r="B721" s="672">
        <v>16321</v>
      </c>
      <c r="C721" s="673" t="s">
        <v>8</v>
      </c>
      <c r="D721" s="672" t="s">
        <v>9</v>
      </c>
    </row>
    <row r="722" spans="1:4" x14ac:dyDescent="0.2">
      <c r="A722" s="672" t="str">
        <f t="shared" si="11"/>
        <v>163</v>
      </c>
      <c r="B722" s="672">
        <v>16322</v>
      </c>
      <c r="C722" s="673" t="s">
        <v>8</v>
      </c>
      <c r="D722" s="672" t="s">
        <v>9</v>
      </c>
    </row>
    <row r="723" spans="1:4" x14ac:dyDescent="0.2">
      <c r="A723" s="672" t="str">
        <f t="shared" si="11"/>
        <v>163</v>
      </c>
      <c r="B723" s="672">
        <v>16323</v>
      </c>
      <c r="C723" s="673" t="s">
        <v>8</v>
      </c>
      <c r="D723" s="672" t="s">
        <v>9</v>
      </c>
    </row>
    <row r="724" spans="1:4" x14ac:dyDescent="0.2">
      <c r="A724" s="672" t="str">
        <f t="shared" si="11"/>
        <v>163</v>
      </c>
      <c r="B724" s="672">
        <v>16326</v>
      </c>
      <c r="C724" s="673" t="s">
        <v>8</v>
      </c>
      <c r="D724" s="672" t="s">
        <v>9</v>
      </c>
    </row>
    <row r="725" spans="1:4" x14ac:dyDescent="0.2">
      <c r="A725" s="672" t="str">
        <f t="shared" si="11"/>
        <v>163</v>
      </c>
      <c r="B725" s="672">
        <v>16327</v>
      </c>
      <c r="C725" s="673" t="s">
        <v>8</v>
      </c>
      <c r="D725" s="672" t="s">
        <v>9</v>
      </c>
    </row>
    <row r="726" spans="1:4" x14ac:dyDescent="0.2">
      <c r="A726" s="672" t="str">
        <f t="shared" si="11"/>
        <v>163</v>
      </c>
      <c r="B726" s="672">
        <v>16328</v>
      </c>
      <c r="C726" s="673" t="s">
        <v>8</v>
      </c>
      <c r="D726" s="672" t="s">
        <v>9</v>
      </c>
    </row>
    <row r="727" spans="1:4" x14ac:dyDescent="0.2">
      <c r="A727" s="672" t="str">
        <f t="shared" si="11"/>
        <v>163</v>
      </c>
      <c r="B727" s="672">
        <v>16329</v>
      </c>
      <c r="C727" s="673" t="s">
        <v>8</v>
      </c>
      <c r="D727" s="672" t="s">
        <v>9</v>
      </c>
    </row>
    <row r="728" spans="1:4" x14ac:dyDescent="0.2">
      <c r="A728" s="672" t="str">
        <f t="shared" si="11"/>
        <v>163</v>
      </c>
      <c r="B728" s="672">
        <v>16331</v>
      </c>
      <c r="C728" s="673" t="s">
        <v>8</v>
      </c>
      <c r="D728" s="672" t="s">
        <v>9</v>
      </c>
    </row>
    <row r="729" spans="1:4" x14ac:dyDescent="0.2">
      <c r="A729" s="672" t="str">
        <f t="shared" si="11"/>
        <v>163</v>
      </c>
      <c r="B729" s="672">
        <v>16332</v>
      </c>
      <c r="C729" s="673" t="s">
        <v>8</v>
      </c>
      <c r="D729" s="672" t="s">
        <v>9</v>
      </c>
    </row>
    <row r="730" spans="1:4" x14ac:dyDescent="0.2">
      <c r="A730" s="672" t="str">
        <f t="shared" si="11"/>
        <v>163</v>
      </c>
      <c r="B730" s="672">
        <v>16333</v>
      </c>
      <c r="C730" s="673" t="s">
        <v>10</v>
      </c>
      <c r="D730" s="672" t="s">
        <v>11</v>
      </c>
    </row>
    <row r="731" spans="1:4" x14ac:dyDescent="0.2">
      <c r="A731" s="672" t="str">
        <f t="shared" si="11"/>
        <v>163</v>
      </c>
      <c r="B731" s="672">
        <v>16334</v>
      </c>
      <c r="C731" s="673" t="s">
        <v>8</v>
      </c>
      <c r="D731" s="672" t="s">
        <v>9</v>
      </c>
    </row>
    <row r="732" spans="1:4" x14ac:dyDescent="0.2">
      <c r="A732" s="672" t="str">
        <f t="shared" si="11"/>
        <v>163</v>
      </c>
      <c r="B732" s="672">
        <v>16335</v>
      </c>
      <c r="C732" s="673" t="s">
        <v>8</v>
      </c>
      <c r="D732" s="672" t="s">
        <v>9</v>
      </c>
    </row>
    <row r="733" spans="1:4" x14ac:dyDescent="0.2">
      <c r="A733" s="672" t="str">
        <f t="shared" si="11"/>
        <v>163</v>
      </c>
      <c r="B733" s="672">
        <v>16340</v>
      </c>
      <c r="C733" s="673" t="s">
        <v>8</v>
      </c>
      <c r="D733" s="672" t="s">
        <v>9</v>
      </c>
    </row>
    <row r="734" spans="1:4" x14ac:dyDescent="0.2">
      <c r="A734" s="672" t="str">
        <f t="shared" si="11"/>
        <v>163</v>
      </c>
      <c r="B734" s="672">
        <v>16341</v>
      </c>
      <c r="C734" s="673" t="s">
        <v>8</v>
      </c>
      <c r="D734" s="672" t="s">
        <v>9</v>
      </c>
    </row>
    <row r="735" spans="1:4" x14ac:dyDescent="0.2">
      <c r="A735" s="672" t="str">
        <f t="shared" si="11"/>
        <v>163</v>
      </c>
      <c r="B735" s="672">
        <v>16342</v>
      </c>
      <c r="C735" s="673" t="s">
        <v>8</v>
      </c>
      <c r="D735" s="672" t="s">
        <v>9</v>
      </c>
    </row>
    <row r="736" spans="1:4" x14ac:dyDescent="0.2">
      <c r="A736" s="672" t="str">
        <f t="shared" si="11"/>
        <v>163</v>
      </c>
      <c r="B736" s="672">
        <v>16343</v>
      </c>
      <c r="C736" s="673" t="s">
        <v>8</v>
      </c>
      <c r="D736" s="672" t="s">
        <v>9</v>
      </c>
    </row>
    <row r="737" spans="1:4" x14ac:dyDescent="0.2">
      <c r="A737" s="672" t="str">
        <f t="shared" si="11"/>
        <v>163</v>
      </c>
      <c r="B737" s="672">
        <v>16344</v>
      </c>
      <c r="C737" s="673" t="s">
        <v>8</v>
      </c>
      <c r="D737" s="672" t="s">
        <v>9</v>
      </c>
    </row>
    <row r="738" spans="1:4" x14ac:dyDescent="0.2">
      <c r="A738" s="672" t="str">
        <f t="shared" si="11"/>
        <v>163</v>
      </c>
      <c r="B738" s="672">
        <v>16345</v>
      </c>
      <c r="C738" s="673" t="s">
        <v>8</v>
      </c>
      <c r="D738" s="672" t="s">
        <v>9</v>
      </c>
    </row>
    <row r="739" spans="1:4" x14ac:dyDescent="0.2">
      <c r="A739" s="672" t="str">
        <f t="shared" si="11"/>
        <v>163</v>
      </c>
      <c r="B739" s="672">
        <v>16346</v>
      </c>
      <c r="C739" s="673" t="s">
        <v>8</v>
      </c>
      <c r="D739" s="672" t="s">
        <v>9</v>
      </c>
    </row>
    <row r="740" spans="1:4" x14ac:dyDescent="0.2">
      <c r="A740" s="672" t="str">
        <f t="shared" si="11"/>
        <v>163</v>
      </c>
      <c r="B740" s="672">
        <v>16347</v>
      </c>
      <c r="C740" s="673" t="s">
        <v>8</v>
      </c>
      <c r="D740" s="672" t="s">
        <v>9</v>
      </c>
    </row>
    <row r="741" spans="1:4" x14ac:dyDescent="0.2">
      <c r="A741" s="672" t="str">
        <f t="shared" si="11"/>
        <v>163</v>
      </c>
      <c r="B741" s="672">
        <v>16350</v>
      </c>
      <c r="C741" s="673" t="s">
        <v>8</v>
      </c>
      <c r="D741" s="672" t="s">
        <v>9</v>
      </c>
    </row>
    <row r="742" spans="1:4" x14ac:dyDescent="0.2">
      <c r="A742" s="672" t="str">
        <f t="shared" si="11"/>
        <v>163</v>
      </c>
      <c r="B742" s="672">
        <v>16351</v>
      </c>
      <c r="C742" s="673" t="s">
        <v>8</v>
      </c>
      <c r="D742" s="672" t="s">
        <v>9</v>
      </c>
    </row>
    <row r="743" spans="1:4" x14ac:dyDescent="0.2">
      <c r="A743" s="672" t="str">
        <f t="shared" si="11"/>
        <v>163</v>
      </c>
      <c r="B743" s="672">
        <v>16352</v>
      </c>
      <c r="C743" s="673" t="s">
        <v>8</v>
      </c>
      <c r="D743" s="672" t="s">
        <v>9</v>
      </c>
    </row>
    <row r="744" spans="1:4" x14ac:dyDescent="0.2">
      <c r="A744" s="672" t="str">
        <f t="shared" si="11"/>
        <v>163</v>
      </c>
      <c r="B744" s="672">
        <v>16353</v>
      </c>
      <c r="C744" s="673" t="s">
        <v>8</v>
      </c>
      <c r="D744" s="672" t="s">
        <v>9</v>
      </c>
    </row>
    <row r="745" spans="1:4" x14ac:dyDescent="0.2">
      <c r="A745" s="672" t="str">
        <f t="shared" si="11"/>
        <v>163</v>
      </c>
      <c r="B745" s="672">
        <v>16354</v>
      </c>
      <c r="C745" s="673" t="s">
        <v>8</v>
      </c>
      <c r="D745" s="672" t="s">
        <v>9</v>
      </c>
    </row>
    <row r="746" spans="1:4" x14ac:dyDescent="0.2">
      <c r="A746" s="672" t="str">
        <f t="shared" si="11"/>
        <v>163</v>
      </c>
      <c r="B746" s="672">
        <v>16360</v>
      </c>
      <c r="C746" s="673" t="s">
        <v>8</v>
      </c>
      <c r="D746" s="672" t="s">
        <v>9</v>
      </c>
    </row>
    <row r="747" spans="1:4" x14ac:dyDescent="0.2">
      <c r="A747" s="672" t="str">
        <f t="shared" si="11"/>
        <v>163</v>
      </c>
      <c r="B747" s="672">
        <v>16361</v>
      </c>
      <c r="C747" s="673" t="s">
        <v>8</v>
      </c>
      <c r="D747" s="672" t="s">
        <v>9</v>
      </c>
    </row>
    <row r="748" spans="1:4" x14ac:dyDescent="0.2">
      <c r="A748" s="672" t="str">
        <f t="shared" si="11"/>
        <v>163</v>
      </c>
      <c r="B748" s="672">
        <v>16362</v>
      </c>
      <c r="C748" s="673" t="s">
        <v>8</v>
      </c>
      <c r="D748" s="672" t="s">
        <v>9</v>
      </c>
    </row>
    <row r="749" spans="1:4" x14ac:dyDescent="0.2">
      <c r="A749" s="672" t="str">
        <f t="shared" si="11"/>
        <v>163</v>
      </c>
      <c r="B749" s="672">
        <v>16364</v>
      </c>
      <c r="C749" s="673" t="s">
        <v>8</v>
      </c>
      <c r="D749" s="672" t="s">
        <v>9</v>
      </c>
    </row>
    <row r="750" spans="1:4" x14ac:dyDescent="0.2">
      <c r="A750" s="672" t="str">
        <f t="shared" si="11"/>
        <v>163</v>
      </c>
      <c r="B750" s="672">
        <v>16365</v>
      </c>
      <c r="C750" s="673" t="s">
        <v>8</v>
      </c>
      <c r="D750" s="672" t="s">
        <v>9</v>
      </c>
    </row>
    <row r="751" spans="1:4" x14ac:dyDescent="0.2">
      <c r="A751" s="672" t="str">
        <f t="shared" si="11"/>
        <v>163</v>
      </c>
      <c r="B751" s="672">
        <v>16366</v>
      </c>
      <c r="C751" s="673" t="s">
        <v>8</v>
      </c>
      <c r="D751" s="672" t="s">
        <v>9</v>
      </c>
    </row>
    <row r="752" spans="1:4" x14ac:dyDescent="0.2">
      <c r="A752" s="672" t="str">
        <f t="shared" si="11"/>
        <v>163</v>
      </c>
      <c r="B752" s="672">
        <v>16367</v>
      </c>
      <c r="C752" s="673" t="s">
        <v>8</v>
      </c>
      <c r="D752" s="672" t="s">
        <v>9</v>
      </c>
    </row>
    <row r="753" spans="1:4" x14ac:dyDescent="0.2">
      <c r="A753" s="672" t="str">
        <f t="shared" si="11"/>
        <v>163</v>
      </c>
      <c r="B753" s="672">
        <v>16368</v>
      </c>
      <c r="C753" s="673" t="s">
        <v>8</v>
      </c>
      <c r="D753" s="672" t="s">
        <v>9</v>
      </c>
    </row>
    <row r="754" spans="1:4" x14ac:dyDescent="0.2">
      <c r="A754" s="672" t="str">
        <f t="shared" si="11"/>
        <v>163</v>
      </c>
      <c r="B754" s="672">
        <v>16369</v>
      </c>
      <c r="C754" s="673" t="s">
        <v>8</v>
      </c>
      <c r="D754" s="672" t="s">
        <v>9</v>
      </c>
    </row>
    <row r="755" spans="1:4" x14ac:dyDescent="0.2">
      <c r="A755" s="672" t="str">
        <f t="shared" si="11"/>
        <v>163</v>
      </c>
      <c r="B755" s="672">
        <v>16370</v>
      </c>
      <c r="C755" s="673" t="s">
        <v>8</v>
      </c>
      <c r="D755" s="672" t="s">
        <v>9</v>
      </c>
    </row>
    <row r="756" spans="1:4" x14ac:dyDescent="0.2">
      <c r="A756" s="672" t="str">
        <f t="shared" si="11"/>
        <v>163</v>
      </c>
      <c r="B756" s="672">
        <v>16371</v>
      </c>
      <c r="C756" s="673" t="s">
        <v>8</v>
      </c>
      <c r="D756" s="672" t="s">
        <v>9</v>
      </c>
    </row>
    <row r="757" spans="1:4" x14ac:dyDescent="0.2">
      <c r="A757" s="672" t="str">
        <f t="shared" si="11"/>
        <v>163</v>
      </c>
      <c r="B757" s="672">
        <v>16372</v>
      </c>
      <c r="C757" s="673" t="s">
        <v>8</v>
      </c>
      <c r="D757" s="672" t="s">
        <v>9</v>
      </c>
    </row>
    <row r="758" spans="1:4" x14ac:dyDescent="0.2">
      <c r="A758" s="672" t="str">
        <f t="shared" si="11"/>
        <v>163</v>
      </c>
      <c r="B758" s="672">
        <v>16373</v>
      </c>
      <c r="C758" s="673" t="s">
        <v>8</v>
      </c>
      <c r="D758" s="672" t="s">
        <v>9</v>
      </c>
    </row>
    <row r="759" spans="1:4" x14ac:dyDescent="0.2">
      <c r="A759" s="672" t="str">
        <f t="shared" si="11"/>
        <v>163</v>
      </c>
      <c r="B759" s="672">
        <v>16374</v>
      </c>
      <c r="C759" s="673" t="s">
        <v>8</v>
      </c>
      <c r="D759" s="672" t="s">
        <v>9</v>
      </c>
    </row>
    <row r="760" spans="1:4" x14ac:dyDescent="0.2">
      <c r="A760" s="672" t="str">
        <f t="shared" si="11"/>
        <v>163</v>
      </c>
      <c r="B760" s="672">
        <v>16375</v>
      </c>
      <c r="C760" s="673" t="s">
        <v>8</v>
      </c>
      <c r="D760" s="672" t="s">
        <v>9</v>
      </c>
    </row>
    <row r="761" spans="1:4" x14ac:dyDescent="0.2">
      <c r="A761" s="672" t="str">
        <f t="shared" si="11"/>
        <v>163</v>
      </c>
      <c r="B761" s="672">
        <v>16388</v>
      </c>
      <c r="C761" s="673" t="s">
        <v>8</v>
      </c>
      <c r="D761" s="672" t="s">
        <v>9</v>
      </c>
    </row>
    <row r="762" spans="1:4" x14ac:dyDescent="0.2">
      <c r="A762" s="672" t="str">
        <f t="shared" si="11"/>
        <v>164</v>
      </c>
      <c r="B762" s="672">
        <v>16401</v>
      </c>
      <c r="C762" s="673" t="s">
        <v>8</v>
      </c>
      <c r="D762" s="672" t="s">
        <v>9</v>
      </c>
    </row>
    <row r="763" spans="1:4" x14ac:dyDescent="0.2">
      <c r="A763" s="672" t="str">
        <f t="shared" si="11"/>
        <v>164</v>
      </c>
      <c r="B763" s="672">
        <v>16402</v>
      </c>
      <c r="C763" s="673" t="s">
        <v>8</v>
      </c>
      <c r="D763" s="672" t="s">
        <v>9</v>
      </c>
    </row>
    <row r="764" spans="1:4" x14ac:dyDescent="0.2">
      <c r="A764" s="672" t="str">
        <f t="shared" si="11"/>
        <v>164</v>
      </c>
      <c r="B764" s="672">
        <v>16403</v>
      </c>
      <c r="C764" s="673" t="s">
        <v>8</v>
      </c>
      <c r="D764" s="672" t="s">
        <v>9</v>
      </c>
    </row>
    <row r="765" spans="1:4" x14ac:dyDescent="0.2">
      <c r="A765" s="672" t="str">
        <f t="shared" si="11"/>
        <v>164</v>
      </c>
      <c r="B765" s="672">
        <v>16404</v>
      </c>
      <c r="C765" s="673" t="s">
        <v>8</v>
      </c>
      <c r="D765" s="672" t="s">
        <v>9</v>
      </c>
    </row>
    <row r="766" spans="1:4" x14ac:dyDescent="0.2">
      <c r="A766" s="672" t="str">
        <f t="shared" si="11"/>
        <v>164</v>
      </c>
      <c r="B766" s="672">
        <v>16405</v>
      </c>
      <c r="C766" s="673" t="s">
        <v>8</v>
      </c>
      <c r="D766" s="672" t="s">
        <v>9</v>
      </c>
    </row>
    <row r="767" spans="1:4" x14ac:dyDescent="0.2">
      <c r="A767" s="672" t="str">
        <f t="shared" si="11"/>
        <v>164</v>
      </c>
      <c r="B767" s="672">
        <v>16406</v>
      </c>
      <c r="C767" s="673" t="s">
        <v>8</v>
      </c>
      <c r="D767" s="672" t="s">
        <v>9</v>
      </c>
    </row>
    <row r="768" spans="1:4" x14ac:dyDescent="0.2">
      <c r="A768" s="672" t="str">
        <f t="shared" si="11"/>
        <v>164</v>
      </c>
      <c r="B768" s="672">
        <v>16407</v>
      </c>
      <c r="C768" s="673" t="s">
        <v>8</v>
      </c>
      <c r="D768" s="672" t="s">
        <v>9</v>
      </c>
    </row>
    <row r="769" spans="1:4" x14ac:dyDescent="0.2">
      <c r="A769" s="672" t="str">
        <f t="shared" si="11"/>
        <v>164</v>
      </c>
      <c r="B769" s="672">
        <v>16410</v>
      </c>
      <c r="C769" s="673" t="s">
        <v>8</v>
      </c>
      <c r="D769" s="672" t="s">
        <v>9</v>
      </c>
    </row>
    <row r="770" spans="1:4" x14ac:dyDescent="0.2">
      <c r="A770" s="672" t="str">
        <f t="shared" ref="A770:A833" si="12">LEFT(B770,3)</f>
        <v>164</v>
      </c>
      <c r="B770" s="672">
        <v>16411</v>
      </c>
      <c r="C770" s="673" t="s">
        <v>8</v>
      </c>
      <c r="D770" s="672" t="s">
        <v>9</v>
      </c>
    </row>
    <row r="771" spans="1:4" x14ac:dyDescent="0.2">
      <c r="A771" s="672" t="str">
        <f t="shared" si="12"/>
        <v>164</v>
      </c>
      <c r="B771" s="672">
        <v>16412</v>
      </c>
      <c r="C771" s="673" t="s">
        <v>8</v>
      </c>
      <c r="D771" s="672" t="s">
        <v>9</v>
      </c>
    </row>
    <row r="772" spans="1:4" x14ac:dyDescent="0.2">
      <c r="A772" s="672" t="str">
        <f t="shared" si="12"/>
        <v>164</v>
      </c>
      <c r="B772" s="672">
        <v>16413</v>
      </c>
      <c r="C772" s="673" t="s">
        <v>8</v>
      </c>
      <c r="D772" s="672" t="s">
        <v>9</v>
      </c>
    </row>
    <row r="773" spans="1:4" x14ac:dyDescent="0.2">
      <c r="A773" s="672" t="str">
        <f t="shared" si="12"/>
        <v>164</v>
      </c>
      <c r="B773" s="672">
        <v>16415</v>
      </c>
      <c r="C773" s="673" t="s">
        <v>8</v>
      </c>
      <c r="D773" s="672" t="s">
        <v>9</v>
      </c>
    </row>
    <row r="774" spans="1:4" x14ac:dyDescent="0.2">
      <c r="A774" s="672" t="str">
        <f t="shared" si="12"/>
        <v>164</v>
      </c>
      <c r="B774" s="672">
        <v>16416</v>
      </c>
      <c r="C774" s="673" t="s">
        <v>8</v>
      </c>
      <c r="D774" s="672" t="s">
        <v>9</v>
      </c>
    </row>
    <row r="775" spans="1:4" x14ac:dyDescent="0.2">
      <c r="A775" s="672" t="str">
        <f t="shared" si="12"/>
        <v>164</v>
      </c>
      <c r="B775" s="672">
        <v>16417</v>
      </c>
      <c r="C775" s="673" t="s">
        <v>8</v>
      </c>
      <c r="D775" s="672" t="s">
        <v>9</v>
      </c>
    </row>
    <row r="776" spans="1:4" x14ac:dyDescent="0.2">
      <c r="A776" s="672" t="str">
        <f t="shared" si="12"/>
        <v>164</v>
      </c>
      <c r="B776" s="672">
        <v>16420</v>
      </c>
      <c r="C776" s="673" t="s">
        <v>8</v>
      </c>
      <c r="D776" s="672" t="s">
        <v>9</v>
      </c>
    </row>
    <row r="777" spans="1:4" x14ac:dyDescent="0.2">
      <c r="A777" s="672" t="str">
        <f t="shared" si="12"/>
        <v>164</v>
      </c>
      <c r="B777" s="672">
        <v>16421</v>
      </c>
      <c r="C777" s="673" t="s">
        <v>8</v>
      </c>
      <c r="D777" s="672" t="s">
        <v>9</v>
      </c>
    </row>
    <row r="778" spans="1:4" x14ac:dyDescent="0.2">
      <c r="A778" s="672" t="str">
        <f t="shared" si="12"/>
        <v>164</v>
      </c>
      <c r="B778" s="672">
        <v>16422</v>
      </c>
      <c r="C778" s="673" t="s">
        <v>8</v>
      </c>
      <c r="D778" s="672" t="s">
        <v>9</v>
      </c>
    </row>
    <row r="779" spans="1:4" x14ac:dyDescent="0.2">
      <c r="A779" s="672" t="str">
        <f t="shared" si="12"/>
        <v>164</v>
      </c>
      <c r="B779" s="672">
        <v>16423</v>
      </c>
      <c r="C779" s="673" t="s">
        <v>8</v>
      </c>
      <c r="D779" s="672" t="s">
        <v>9</v>
      </c>
    </row>
    <row r="780" spans="1:4" x14ac:dyDescent="0.2">
      <c r="A780" s="672" t="str">
        <f t="shared" si="12"/>
        <v>164</v>
      </c>
      <c r="B780" s="672">
        <v>16424</v>
      </c>
      <c r="C780" s="673" t="s">
        <v>8</v>
      </c>
      <c r="D780" s="672" t="s">
        <v>9</v>
      </c>
    </row>
    <row r="781" spans="1:4" x14ac:dyDescent="0.2">
      <c r="A781" s="672" t="str">
        <f t="shared" si="12"/>
        <v>164</v>
      </c>
      <c r="B781" s="672">
        <v>16426</v>
      </c>
      <c r="C781" s="673" t="s">
        <v>8</v>
      </c>
      <c r="D781" s="672" t="s">
        <v>9</v>
      </c>
    </row>
    <row r="782" spans="1:4" x14ac:dyDescent="0.2">
      <c r="A782" s="672" t="str">
        <f t="shared" si="12"/>
        <v>164</v>
      </c>
      <c r="B782" s="672">
        <v>16427</v>
      </c>
      <c r="C782" s="673" t="s">
        <v>8</v>
      </c>
      <c r="D782" s="672" t="s">
        <v>9</v>
      </c>
    </row>
    <row r="783" spans="1:4" x14ac:dyDescent="0.2">
      <c r="A783" s="672" t="str">
        <f t="shared" si="12"/>
        <v>164</v>
      </c>
      <c r="B783" s="672">
        <v>16428</v>
      </c>
      <c r="C783" s="673" t="s">
        <v>8</v>
      </c>
      <c r="D783" s="672" t="s">
        <v>9</v>
      </c>
    </row>
    <row r="784" spans="1:4" x14ac:dyDescent="0.2">
      <c r="A784" s="672" t="str">
        <f t="shared" si="12"/>
        <v>164</v>
      </c>
      <c r="B784" s="672">
        <v>16430</v>
      </c>
      <c r="C784" s="673" t="s">
        <v>8</v>
      </c>
      <c r="D784" s="672" t="s">
        <v>9</v>
      </c>
    </row>
    <row r="785" spans="1:4" x14ac:dyDescent="0.2">
      <c r="A785" s="672" t="str">
        <f t="shared" si="12"/>
        <v>164</v>
      </c>
      <c r="B785" s="672">
        <v>16432</v>
      </c>
      <c r="C785" s="673" t="s">
        <v>8</v>
      </c>
      <c r="D785" s="672" t="s">
        <v>9</v>
      </c>
    </row>
    <row r="786" spans="1:4" x14ac:dyDescent="0.2">
      <c r="A786" s="672" t="str">
        <f t="shared" si="12"/>
        <v>164</v>
      </c>
      <c r="B786" s="672">
        <v>16433</v>
      </c>
      <c r="C786" s="673" t="s">
        <v>8</v>
      </c>
      <c r="D786" s="672" t="s">
        <v>9</v>
      </c>
    </row>
    <row r="787" spans="1:4" x14ac:dyDescent="0.2">
      <c r="A787" s="672" t="str">
        <f t="shared" si="12"/>
        <v>164</v>
      </c>
      <c r="B787" s="672">
        <v>16434</v>
      </c>
      <c r="C787" s="673" t="s">
        <v>8</v>
      </c>
      <c r="D787" s="672" t="s">
        <v>9</v>
      </c>
    </row>
    <row r="788" spans="1:4" x14ac:dyDescent="0.2">
      <c r="A788" s="672" t="str">
        <f t="shared" si="12"/>
        <v>164</v>
      </c>
      <c r="B788" s="672">
        <v>16435</v>
      </c>
      <c r="C788" s="673" t="s">
        <v>8</v>
      </c>
      <c r="D788" s="672" t="s">
        <v>9</v>
      </c>
    </row>
    <row r="789" spans="1:4" x14ac:dyDescent="0.2">
      <c r="A789" s="672" t="str">
        <f t="shared" si="12"/>
        <v>164</v>
      </c>
      <c r="B789" s="672">
        <v>16436</v>
      </c>
      <c r="C789" s="673" t="s">
        <v>8</v>
      </c>
      <c r="D789" s="672" t="s">
        <v>9</v>
      </c>
    </row>
    <row r="790" spans="1:4" x14ac:dyDescent="0.2">
      <c r="A790" s="672" t="str">
        <f t="shared" si="12"/>
        <v>164</v>
      </c>
      <c r="B790" s="672">
        <v>16438</v>
      </c>
      <c r="C790" s="673" t="s">
        <v>8</v>
      </c>
      <c r="D790" s="672" t="s">
        <v>9</v>
      </c>
    </row>
    <row r="791" spans="1:4" x14ac:dyDescent="0.2">
      <c r="A791" s="672" t="str">
        <f t="shared" si="12"/>
        <v>164</v>
      </c>
      <c r="B791" s="672">
        <v>16440</v>
      </c>
      <c r="C791" s="673" t="s">
        <v>8</v>
      </c>
      <c r="D791" s="672" t="s">
        <v>9</v>
      </c>
    </row>
    <row r="792" spans="1:4" x14ac:dyDescent="0.2">
      <c r="A792" s="672" t="str">
        <f t="shared" si="12"/>
        <v>164</v>
      </c>
      <c r="B792" s="672">
        <v>16441</v>
      </c>
      <c r="C792" s="673" t="s">
        <v>8</v>
      </c>
      <c r="D792" s="672" t="s">
        <v>9</v>
      </c>
    </row>
    <row r="793" spans="1:4" x14ac:dyDescent="0.2">
      <c r="A793" s="672" t="str">
        <f t="shared" si="12"/>
        <v>164</v>
      </c>
      <c r="B793" s="672">
        <v>16442</v>
      </c>
      <c r="C793" s="673" t="s">
        <v>8</v>
      </c>
      <c r="D793" s="672" t="s">
        <v>9</v>
      </c>
    </row>
    <row r="794" spans="1:4" x14ac:dyDescent="0.2">
      <c r="A794" s="672" t="str">
        <f t="shared" si="12"/>
        <v>164</v>
      </c>
      <c r="B794" s="672">
        <v>16443</v>
      </c>
      <c r="C794" s="673" t="s">
        <v>8</v>
      </c>
      <c r="D794" s="672" t="s">
        <v>9</v>
      </c>
    </row>
    <row r="795" spans="1:4" x14ac:dyDescent="0.2">
      <c r="A795" s="672" t="str">
        <f t="shared" si="12"/>
        <v>164</v>
      </c>
      <c r="B795" s="672">
        <v>16444</v>
      </c>
      <c r="C795" s="673" t="s">
        <v>8</v>
      </c>
      <c r="D795" s="672" t="s">
        <v>9</v>
      </c>
    </row>
    <row r="796" spans="1:4" x14ac:dyDescent="0.2">
      <c r="A796" s="672" t="str">
        <f t="shared" si="12"/>
        <v>164</v>
      </c>
      <c r="B796" s="672">
        <v>16475</v>
      </c>
      <c r="C796" s="673" t="s">
        <v>8</v>
      </c>
      <c r="D796" s="672" t="s">
        <v>9</v>
      </c>
    </row>
    <row r="797" spans="1:4" x14ac:dyDescent="0.2">
      <c r="A797" s="672" t="str">
        <f t="shared" si="12"/>
        <v>165</v>
      </c>
      <c r="B797" s="672">
        <v>16501</v>
      </c>
      <c r="C797" s="673" t="s">
        <v>8</v>
      </c>
      <c r="D797" s="672" t="s">
        <v>9</v>
      </c>
    </row>
    <row r="798" spans="1:4" x14ac:dyDescent="0.2">
      <c r="A798" s="672" t="str">
        <f t="shared" si="12"/>
        <v>165</v>
      </c>
      <c r="B798" s="672">
        <v>16502</v>
      </c>
      <c r="C798" s="673" t="s">
        <v>8</v>
      </c>
      <c r="D798" s="672" t="s">
        <v>9</v>
      </c>
    </row>
    <row r="799" spans="1:4" x14ac:dyDescent="0.2">
      <c r="A799" s="672" t="str">
        <f t="shared" si="12"/>
        <v>165</v>
      </c>
      <c r="B799" s="672">
        <v>16503</v>
      </c>
      <c r="C799" s="673" t="s">
        <v>8</v>
      </c>
      <c r="D799" s="672" t="s">
        <v>9</v>
      </c>
    </row>
    <row r="800" spans="1:4" x14ac:dyDescent="0.2">
      <c r="A800" s="672" t="str">
        <f t="shared" si="12"/>
        <v>165</v>
      </c>
      <c r="B800" s="672">
        <v>16504</v>
      </c>
      <c r="C800" s="673" t="s">
        <v>8</v>
      </c>
      <c r="D800" s="672" t="s">
        <v>9</v>
      </c>
    </row>
    <row r="801" spans="1:4" x14ac:dyDescent="0.2">
      <c r="A801" s="672" t="str">
        <f t="shared" si="12"/>
        <v>165</v>
      </c>
      <c r="B801" s="672">
        <v>16505</v>
      </c>
      <c r="C801" s="673" t="s">
        <v>8</v>
      </c>
      <c r="D801" s="672" t="s">
        <v>9</v>
      </c>
    </row>
    <row r="802" spans="1:4" x14ac:dyDescent="0.2">
      <c r="A802" s="672" t="str">
        <f t="shared" si="12"/>
        <v>165</v>
      </c>
      <c r="B802" s="672">
        <v>16506</v>
      </c>
      <c r="C802" s="673" t="s">
        <v>8</v>
      </c>
      <c r="D802" s="672" t="s">
        <v>9</v>
      </c>
    </row>
    <row r="803" spans="1:4" x14ac:dyDescent="0.2">
      <c r="A803" s="672" t="str">
        <f t="shared" si="12"/>
        <v>165</v>
      </c>
      <c r="B803" s="672">
        <v>16507</v>
      </c>
      <c r="C803" s="673" t="s">
        <v>8</v>
      </c>
      <c r="D803" s="672" t="s">
        <v>9</v>
      </c>
    </row>
    <row r="804" spans="1:4" x14ac:dyDescent="0.2">
      <c r="A804" s="672" t="str">
        <f t="shared" si="12"/>
        <v>165</v>
      </c>
      <c r="B804" s="672">
        <v>16508</v>
      </c>
      <c r="C804" s="673" t="s">
        <v>8</v>
      </c>
      <c r="D804" s="672" t="s">
        <v>9</v>
      </c>
    </row>
    <row r="805" spans="1:4" x14ac:dyDescent="0.2">
      <c r="A805" s="672" t="str">
        <f t="shared" si="12"/>
        <v>165</v>
      </c>
      <c r="B805" s="672">
        <v>16509</v>
      </c>
      <c r="C805" s="673" t="s">
        <v>8</v>
      </c>
      <c r="D805" s="672" t="s">
        <v>9</v>
      </c>
    </row>
    <row r="806" spans="1:4" x14ac:dyDescent="0.2">
      <c r="A806" s="672" t="str">
        <f t="shared" si="12"/>
        <v>165</v>
      </c>
      <c r="B806" s="672">
        <v>16510</v>
      </c>
      <c r="C806" s="673" t="s">
        <v>8</v>
      </c>
      <c r="D806" s="672" t="s">
        <v>9</v>
      </c>
    </row>
    <row r="807" spans="1:4" x14ac:dyDescent="0.2">
      <c r="A807" s="672" t="str">
        <f t="shared" si="12"/>
        <v>165</v>
      </c>
      <c r="B807" s="672">
        <v>16511</v>
      </c>
      <c r="C807" s="673" t="s">
        <v>8</v>
      </c>
      <c r="D807" s="672" t="s">
        <v>9</v>
      </c>
    </row>
    <row r="808" spans="1:4" x14ac:dyDescent="0.2">
      <c r="A808" s="672" t="str">
        <f t="shared" si="12"/>
        <v>165</v>
      </c>
      <c r="B808" s="672">
        <v>16512</v>
      </c>
      <c r="C808" s="673" t="s">
        <v>8</v>
      </c>
      <c r="D808" s="672" t="s">
        <v>9</v>
      </c>
    </row>
    <row r="809" spans="1:4" x14ac:dyDescent="0.2">
      <c r="A809" s="672" t="str">
        <f t="shared" si="12"/>
        <v>165</v>
      </c>
      <c r="B809" s="672">
        <v>16514</v>
      </c>
      <c r="C809" s="673" t="s">
        <v>8</v>
      </c>
      <c r="D809" s="672" t="s">
        <v>9</v>
      </c>
    </row>
    <row r="810" spans="1:4" x14ac:dyDescent="0.2">
      <c r="A810" s="672" t="str">
        <f t="shared" si="12"/>
        <v>165</v>
      </c>
      <c r="B810" s="672">
        <v>16515</v>
      </c>
      <c r="C810" s="673" t="s">
        <v>8</v>
      </c>
      <c r="D810" s="672" t="s">
        <v>9</v>
      </c>
    </row>
    <row r="811" spans="1:4" x14ac:dyDescent="0.2">
      <c r="A811" s="672" t="str">
        <f t="shared" si="12"/>
        <v>165</v>
      </c>
      <c r="B811" s="672">
        <v>16522</v>
      </c>
      <c r="C811" s="673" t="s">
        <v>8</v>
      </c>
      <c r="D811" s="672" t="s">
        <v>9</v>
      </c>
    </row>
    <row r="812" spans="1:4" x14ac:dyDescent="0.2">
      <c r="A812" s="672" t="str">
        <f t="shared" si="12"/>
        <v>165</v>
      </c>
      <c r="B812" s="672">
        <v>16530</v>
      </c>
      <c r="C812" s="673" t="s">
        <v>8</v>
      </c>
      <c r="D812" s="672" t="s">
        <v>9</v>
      </c>
    </row>
    <row r="813" spans="1:4" x14ac:dyDescent="0.2">
      <c r="A813" s="672" t="str">
        <f t="shared" si="12"/>
        <v>165</v>
      </c>
      <c r="B813" s="672">
        <v>16531</v>
      </c>
      <c r="C813" s="673" t="s">
        <v>8</v>
      </c>
      <c r="D813" s="672" t="s">
        <v>9</v>
      </c>
    </row>
    <row r="814" spans="1:4" x14ac:dyDescent="0.2">
      <c r="A814" s="672" t="str">
        <f t="shared" si="12"/>
        <v>165</v>
      </c>
      <c r="B814" s="672">
        <v>16532</v>
      </c>
      <c r="C814" s="673" t="s">
        <v>8</v>
      </c>
      <c r="D814" s="672" t="s">
        <v>9</v>
      </c>
    </row>
    <row r="815" spans="1:4" x14ac:dyDescent="0.2">
      <c r="A815" s="672" t="str">
        <f t="shared" si="12"/>
        <v>165</v>
      </c>
      <c r="B815" s="672">
        <v>16533</v>
      </c>
      <c r="C815" s="673" t="s">
        <v>8</v>
      </c>
      <c r="D815" s="672" t="s">
        <v>9</v>
      </c>
    </row>
    <row r="816" spans="1:4" x14ac:dyDescent="0.2">
      <c r="A816" s="672" t="str">
        <f t="shared" si="12"/>
        <v>165</v>
      </c>
      <c r="B816" s="672">
        <v>16534</v>
      </c>
      <c r="C816" s="673" t="s">
        <v>8</v>
      </c>
      <c r="D816" s="672" t="s">
        <v>9</v>
      </c>
    </row>
    <row r="817" spans="1:4" x14ac:dyDescent="0.2">
      <c r="A817" s="672" t="str">
        <f t="shared" si="12"/>
        <v>165</v>
      </c>
      <c r="B817" s="672">
        <v>16538</v>
      </c>
      <c r="C817" s="673" t="s">
        <v>8</v>
      </c>
      <c r="D817" s="672" t="s">
        <v>9</v>
      </c>
    </row>
    <row r="818" spans="1:4" x14ac:dyDescent="0.2">
      <c r="A818" s="672" t="str">
        <f t="shared" si="12"/>
        <v>165</v>
      </c>
      <c r="B818" s="672">
        <v>16541</v>
      </c>
      <c r="C818" s="673" t="s">
        <v>8</v>
      </c>
      <c r="D818" s="672" t="s">
        <v>9</v>
      </c>
    </row>
    <row r="819" spans="1:4" x14ac:dyDescent="0.2">
      <c r="A819" s="672" t="str">
        <f t="shared" si="12"/>
        <v>165</v>
      </c>
      <c r="B819" s="672">
        <v>16544</v>
      </c>
      <c r="C819" s="673" t="s">
        <v>8</v>
      </c>
      <c r="D819" s="672" t="s">
        <v>9</v>
      </c>
    </row>
    <row r="820" spans="1:4" x14ac:dyDescent="0.2">
      <c r="A820" s="672" t="str">
        <f t="shared" si="12"/>
        <v>165</v>
      </c>
      <c r="B820" s="672">
        <v>16546</v>
      </c>
      <c r="C820" s="673" t="s">
        <v>8</v>
      </c>
      <c r="D820" s="672" t="s">
        <v>9</v>
      </c>
    </row>
    <row r="821" spans="1:4" x14ac:dyDescent="0.2">
      <c r="A821" s="672" t="str">
        <f t="shared" si="12"/>
        <v>165</v>
      </c>
      <c r="B821" s="672">
        <v>16550</v>
      </c>
      <c r="C821" s="673" t="s">
        <v>8</v>
      </c>
      <c r="D821" s="672" t="s">
        <v>9</v>
      </c>
    </row>
    <row r="822" spans="1:4" x14ac:dyDescent="0.2">
      <c r="A822" s="672" t="str">
        <f t="shared" si="12"/>
        <v>165</v>
      </c>
      <c r="B822" s="672">
        <v>16553</v>
      </c>
      <c r="C822" s="673" t="s">
        <v>8</v>
      </c>
      <c r="D822" s="672" t="s">
        <v>9</v>
      </c>
    </row>
    <row r="823" spans="1:4" x14ac:dyDescent="0.2">
      <c r="A823" s="672" t="str">
        <f t="shared" si="12"/>
        <v>165</v>
      </c>
      <c r="B823" s="672">
        <v>16554</v>
      </c>
      <c r="C823" s="673" t="s">
        <v>8</v>
      </c>
      <c r="D823" s="672" t="s">
        <v>9</v>
      </c>
    </row>
    <row r="824" spans="1:4" x14ac:dyDescent="0.2">
      <c r="A824" s="672" t="str">
        <f t="shared" si="12"/>
        <v>165</v>
      </c>
      <c r="B824" s="672">
        <v>16558</v>
      </c>
      <c r="C824" s="673" t="s">
        <v>8</v>
      </c>
      <c r="D824" s="672" t="s">
        <v>9</v>
      </c>
    </row>
    <row r="825" spans="1:4" x14ac:dyDescent="0.2">
      <c r="A825" s="672" t="str">
        <f t="shared" si="12"/>
        <v>165</v>
      </c>
      <c r="B825" s="672">
        <v>16563</v>
      </c>
      <c r="C825" s="673" t="s">
        <v>8</v>
      </c>
      <c r="D825" s="672" t="s">
        <v>9</v>
      </c>
    </row>
    <row r="826" spans="1:4" x14ac:dyDescent="0.2">
      <c r="A826" s="672" t="str">
        <f t="shared" si="12"/>
        <v>165</v>
      </c>
      <c r="B826" s="672">
        <v>16565</v>
      </c>
      <c r="C826" s="673" t="s">
        <v>8</v>
      </c>
      <c r="D826" s="672" t="s">
        <v>9</v>
      </c>
    </row>
    <row r="827" spans="1:4" x14ac:dyDescent="0.2">
      <c r="A827" s="672" t="str">
        <f t="shared" si="12"/>
        <v>166</v>
      </c>
      <c r="B827" s="672">
        <v>16601</v>
      </c>
      <c r="C827" s="673" t="s">
        <v>4</v>
      </c>
      <c r="D827" s="672" t="s">
        <v>5</v>
      </c>
    </row>
    <row r="828" spans="1:4" x14ac:dyDescent="0.2">
      <c r="A828" s="672" t="str">
        <f t="shared" si="12"/>
        <v>166</v>
      </c>
      <c r="B828" s="672">
        <v>16602</v>
      </c>
      <c r="C828" s="673" t="s">
        <v>4</v>
      </c>
      <c r="D828" s="672" t="s">
        <v>5</v>
      </c>
    </row>
    <row r="829" spans="1:4" x14ac:dyDescent="0.2">
      <c r="A829" s="672" t="str">
        <f t="shared" si="12"/>
        <v>166</v>
      </c>
      <c r="B829" s="672">
        <v>16603</v>
      </c>
      <c r="C829" s="673" t="s">
        <v>4</v>
      </c>
      <c r="D829" s="672" t="s">
        <v>5</v>
      </c>
    </row>
    <row r="830" spans="1:4" x14ac:dyDescent="0.2">
      <c r="A830" s="672" t="str">
        <f t="shared" si="12"/>
        <v>166</v>
      </c>
      <c r="B830" s="672">
        <v>16611</v>
      </c>
      <c r="C830" s="673" t="s">
        <v>12</v>
      </c>
      <c r="D830" s="672" t="s">
        <v>13</v>
      </c>
    </row>
    <row r="831" spans="1:4" x14ac:dyDescent="0.2">
      <c r="A831" s="672" t="str">
        <f t="shared" si="12"/>
        <v>166</v>
      </c>
      <c r="B831" s="672">
        <v>16613</v>
      </c>
      <c r="C831" s="673" t="s">
        <v>4</v>
      </c>
      <c r="D831" s="672" t="s">
        <v>5</v>
      </c>
    </row>
    <row r="832" spans="1:4" x14ac:dyDescent="0.2">
      <c r="A832" s="672" t="str">
        <f t="shared" si="12"/>
        <v>166</v>
      </c>
      <c r="B832" s="672">
        <v>16614</v>
      </c>
      <c r="C832" s="673" t="s">
        <v>4</v>
      </c>
      <c r="D832" s="672" t="s">
        <v>5</v>
      </c>
    </row>
    <row r="833" spans="1:4" x14ac:dyDescent="0.2">
      <c r="A833" s="672" t="str">
        <f t="shared" si="12"/>
        <v>166</v>
      </c>
      <c r="B833" s="672">
        <v>16616</v>
      </c>
      <c r="C833" s="673" t="s">
        <v>10</v>
      </c>
      <c r="D833" s="672" t="s">
        <v>11</v>
      </c>
    </row>
    <row r="834" spans="1:4" x14ac:dyDescent="0.2">
      <c r="A834" s="672" t="str">
        <f t="shared" ref="A834:A897" si="13">LEFT(B834,3)</f>
        <v>166</v>
      </c>
      <c r="B834" s="672">
        <v>16617</v>
      </c>
      <c r="C834" s="673" t="s">
        <v>4</v>
      </c>
      <c r="D834" s="672" t="s">
        <v>5</v>
      </c>
    </row>
    <row r="835" spans="1:4" x14ac:dyDescent="0.2">
      <c r="A835" s="672" t="str">
        <f t="shared" si="13"/>
        <v>166</v>
      </c>
      <c r="B835" s="672">
        <v>16619</v>
      </c>
      <c r="C835" s="673" t="s">
        <v>4</v>
      </c>
      <c r="D835" s="672" t="s">
        <v>5</v>
      </c>
    </row>
    <row r="836" spans="1:4" x14ac:dyDescent="0.2">
      <c r="A836" s="672" t="str">
        <f t="shared" si="13"/>
        <v>166</v>
      </c>
      <c r="B836" s="672">
        <v>16620</v>
      </c>
      <c r="C836" s="673" t="s">
        <v>10</v>
      </c>
      <c r="D836" s="672" t="s">
        <v>11</v>
      </c>
    </row>
    <row r="837" spans="1:4" x14ac:dyDescent="0.2">
      <c r="A837" s="672" t="str">
        <f t="shared" si="13"/>
        <v>166</v>
      </c>
      <c r="B837" s="672">
        <v>16621</v>
      </c>
      <c r="C837" s="673" t="s">
        <v>12</v>
      </c>
      <c r="D837" s="672" t="s">
        <v>13</v>
      </c>
    </row>
    <row r="838" spans="1:4" x14ac:dyDescent="0.2">
      <c r="A838" s="672" t="str">
        <f t="shared" si="13"/>
        <v>166</v>
      </c>
      <c r="B838" s="672">
        <v>16622</v>
      </c>
      <c r="C838" s="673" t="s">
        <v>12</v>
      </c>
      <c r="D838" s="672" t="s">
        <v>13</v>
      </c>
    </row>
    <row r="839" spans="1:4" x14ac:dyDescent="0.2">
      <c r="A839" s="672" t="str">
        <f t="shared" si="13"/>
        <v>166</v>
      </c>
      <c r="B839" s="672">
        <v>16623</v>
      </c>
      <c r="C839" s="673" t="s">
        <v>12</v>
      </c>
      <c r="D839" s="672" t="s">
        <v>13</v>
      </c>
    </row>
    <row r="840" spans="1:4" x14ac:dyDescent="0.2">
      <c r="A840" s="672" t="str">
        <f t="shared" si="13"/>
        <v>166</v>
      </c>
      <c r="B840" s="672">
        <v>16624</v>
      </c>
      <c r="C840" s="673" t="s">
        <v>4</v>
      </c>
      <c r="D840" s="672" t="s">
        <v>5</v>
      </c>
    </row>
    <row r="841" spans="1:4" x14ac:dyDescent="0.2">
      <c r="A841" s="672" t="str">
        <f t="shared" si="13"/>
        <v>166</v>
      </c>
      <c r="B841" s="672">
        <v>16625</v>
      </c>
      <c r="C841" s="673" t="s">
        <v>4</v>
      </c>
      <c r="D841" s="672" t="s">
        <v>5</v>
      </c>
    </row>
    <row r="842" spans="1:4" x14ac:dyDescent="0.2">
      <c r="A842" s="672" t="str">
        <f t="shared" si="13"/>
        <v>166</v>
      </c>
      <c r="B842" s="672">
        <v>16627</v>
      </c>
      <c r="C842" s="673" t="s">
        <v>10</v>
      </c>
      <c r="D842" s="672" t="s">
        <v>11</v>
      </c>
    </row>
    <row r="843" spans="1:4" x14ac:dyDescent="0.2">
      <c r="A843" s="672" t="str">
        <f t="shared" si="13"/>
        <v>166</v>
      </c>
      <c r="B843" s="672">
        <v>16629</v>
      </c>
      <c r="C843" s="673" t="s">
        <v>4</v>
      </c>
      <c r="D843" s="672" t="s">
        <v>5</v>
      </c>
    </row>
    <row r="844" spans="1:4" x14ac:dyDescent="0.2">
      <c r="A844" s="672" t="str">
        <f t="shared" si="13"/>
        <v>166</v>
      </c>
      <c r="B844" s="672">
        <v>16630</v>
      </c>
      <c r="C844" s="673" t="s">
        <v>4</v>
      </c>
      <c r="D844" s="672" t="s">
        <v>5</v>
      </c>
    </row>
    <row r="845" spans="1:4" x14ac:dyDescent="0.2">
      <c r="A845" s="672" t="str">
        <f t="shared" si="13"/>
        <v>166</v>
      </c>
      <c r="B845" s="672">
        <v>16631</v>
      </c>
      <c r="C845" s="673" t="s">
        <v>4</v>
      </c>
      <c r="D845" s="672" t="s">
        <v>5</v>
      </c>
    </row>
    <row r="846" spans="1:4" x14ac:dyDescent="0.2">
      <c r="A846" s="672" t="str">
        <f t="shared" si="13"/>
        <v>166</v>
      </c>
      <c r="B846" s="672">
        <v>16633</v>
      </c>
      <c r="C846" s="673" t="s">
        <v>4</v>
      </c>
      <c r="D846" s="672" t="s">
        <v>5</v>
      </c>
    </row>
    <row r="847" spans="1:4" x14ac:dyDescent="0.2">
      <c r="A847" s="672" t="str">
        <f t="shared" si="13"/>
        <v>166</v>
      </c>
      <c r="B847" s="672">
        <v>16634</v>
      </c>
      <c r="C847" s="673" t="s">
        <v>12</v>
      </c>
      <c r="D847" s="672" t="s">
        <v>13</v>
      </c>
    </row>
    <row r="848" spans="1:4" x14ac:dyDescent="0.2">
      <c r="A848" s="672" t="str">
        <f t="shared" si="13"/>
        <v>166</v>
      </c>
      <c r="B848" s="672">
        <v>16635</v>
      </c>
      <c r="C848" s="673" t="s">
        <v>4</v>
      </c>
      <c r="D848" s="672" t="s">
        <v>5</v>
      </c>
    </row>
    <row r="849" spans="1:4" x14ac:dyDescent="0.2">
      <c r="A849" s="672" t="str">
        <f t="shared" si="13"/>
        <v>166</v>
      </c>
      <c r="B849" s="672">
        <v>16636</v>
      </c>
      <c r="C849" s="673" t="s">
        <v>4</v>
      </c>
      <c r="D849" s="672" t="s">
        <v>5</v>
      </c>
    </row>
    <row r="850" spans="1:4" x14ac:dyDescent="0.2">
      <c r="A850" s="672" t="str">
        <f t="shared" si="13"/>
        <v>166</v>
      </c>
      <c r="B850" s="672">
        <v>16637</v>
      </c>
      <c r="C850" s="673" t="s">
        <v>4</v>
      </c>
      <c r="D850" s="672" t="s">
        <v>5</v>
      </c>
    </row>
    <row r="851" spans="1:4" x14ac:dyDescent="0.2">
      <c r="A851" s="672" t="str">
        <f t="shared" si="13"/>
        <v>166</v>
      </c>
      <c r="B851" s="672">
        <v>16638</v>
      </c>
      <c r="C851" s="673" t="s">
        <v>12</v>
      </c>
      <c r="D851" s="672" t="s">
        <v>13</v>
      </c>
    </row>
    <row r="852" spans="1:4" x14ac:dyDescent="0.2">
      <c r="A852" s="672" t="str">
        <f t="shared" si="13"/>
        <v>166</v>
      </c>
      <c r="B852" s="672">
        <v>16639</v>
      </c>
      <c r="C852" s="673" t="s">
        <v>4</v>
      </c>
      <c r="D852" s="672" t="s">
        <v>5</v>
      </c>
    </row>
    <row r="853" spans="1:4" x14ac:dyDescent="0.2">
      <c r="A853" s="672" t="str">
        <f t="shared" si="13"/>
        <v>166</v>
      </c>
      <c r="B853" s="672">
        <v>16640</v>
      </c>
      <c r="C853" s="673" t="s">
        <v>4</v>
      </c>
      <c r="D853" s="672" t="s">
        <v>5</v>
      </c>
    </row>
    <row r="854" spans="1:4" x14ac:dyDescent="0.2">
      <c r="A854" s="672" t="str">
        <f t="shared" si="13"/>
        <v>166</v>
      </c>
      <c r="B854" s="672">
        <v>16641</v>
      </c>
      <c r="C854" s="673" t="s">
        <v>4</v>
      </c>
      <c r="D854" s="672" t="s">
        <v>5</v>
      </c>
    </row>
    <row r="855" spans="1:4" x14ac:dyDescent="0.2">
      <c r="A855" s="672" t="str">
        <f t="shared" si="13"/>
        <v>166</v>
      </c>
      <c r="B855" s="672">
        <v>16644</v>
      </c>
      <c r="C855" s="673" t="s">
        <v>4</v>
      </c>
      <c r="D855" s="672" t="s">
        <v>5</v>
      </c>
    </row>
    <row r="856" spans="1:4" x14ac:dyDescent="0.2">
      <c r="A856" s="672" t="str">
        <f t="shared" si="13"/>
        <v>166</v>
      </c>
      <c r="B856" s="672">
        <v>16645</v>
      </c>
      <c r="C856" s="673" t="s">
        <v>10</v>
      </c>
      <c r="D856" s="672" t="s">
        <v>11</v>
      </c>
    </row>
    <row r="857" spans="1:4" x14ac:dyDescent="0.2">
      <c r="A857" s="672" t="str">
        <f t="shared" si="13"/>
        <v>166</v>
      </c>
      <c r="B857" s="672">
        <v>16646</v>
      </c>
      <c r="C857" s="673" t="s">
        <v>4</v>
      </c>
      <c r="D857" s="672" t="s">
        <v>5</v>
      </c>
    </row>
    <row r="858" spans="1:4" x14ac:dyDescent="0.2">
      <c r="A858" s="672" t="str">
        <f t="shared" si="13"/>
        <v>166</v>
      </c>
      <c r="B858" s="672">
        <v>16647</v>
      </c>
      <c r="C858" s="673" t="s">
        <v>12</v>
      </c>
      <c r="D858" s="672" t="s">
        <v>13</v>
      </c>
    </row>
    <row r="859" spans="1:4" x14ac:dyDescent="0.2">
      <c r="A859" s="672" t="str">
        <f t="shared" si="13"/>
        <v>166</v>
      </c>
      <c r="B859" s="672">
        <v>16648</v>
      </c>
      <c r="C859" s="673" t="s">
        <v>4</v>
      </c>
      <c r="D859" s="672" t="s">
        <v>5</v>
      </c>
    </row>
    <row r="860" spans="1:4" x14ac:dyDescent="0.2">
      <c r="A860" s="672" t="str">
        <f t="shared" si="13"/>
        <v>166</v>
      </c>
      <c r="B860" s="672">
        <v>16650</v>
      </c>
      <c r="C860" s="673" t="s">
        <v>4</v>
      </c>
      <c r="D860" s="672" t="s">
        <v>5</v>
      </c>
    </row>
    <row r="861" spans="1:4" x14ac:dyDescent="0.2">
      <c r="A861" s="672" t="str">
        <f t="shared" si="13"/>
        <v>166</v>
      </c>
      <c r="B861" s="672">
        <v>16651</v>
      </c>
      <c r="C861" s="673" t="s">
        <v>10</v>
      </c>
      <c r="D861" s="672" t="s">
        <v>11</v>
      </c>
    </row>
    <row r="862" spans="1:4" x14ac:dyDescent="0.2">
      <c r="A862" s="672" t="str">
        <f t="shared" si="13"/>
        <v>166</v>
      </c>
      <c r="B862" s="672">
        <v>16652</v>
      </c>
      <c r="C862" s="673" t="s">
        <v>12</v>
      </c>
      <c r="D862" s="672" t="s">
        <v>13</v>
      </c>
    </row>
    <row r="863" spans="1:4" x14ac:dyDescent="0.2">
      <c r="A863" s="672" t="str">
        <f t="shared" si="13"/>
        <v>166</v>
      </c>
      <c r="B863" s="672">
        <v>16654</v>
      </c>
      <c r="C863" s="673" t="s">
        <v>12</v>
      </c>
      <c r="D863" s="672" t="s">
        <v>13</v>
      </c>
    </row>
    <row r="864" spans="1:4" x14ac:dyDescent="0.2">
      <c r="A864" s="672" t="str">
        <f t="shared" si="13"/>
        <v>166</v>
      </c>
      <c r="B864" s="672">
        <v>16655</v>
      </c>
      <c r="C864" s="673" t="s">
        <v>4</v>
      </c>
      <c r="D864" s="672" t="s">
        <v>5</v>
      </c>
    </row>
    <row r="865" spans="1:4" x14ac:dyDescent="0.2">
      <c r="A865" s="672" t="str">
        <f t="shared" si="13"/>
        <v>166</v>
      </c>
      <c r="B865" s="672">
        <v>16656</v>
      </c>
      <c r="C865" s="673" t="s">
        <v>10</v>
      </c>
      <c r="D865" s="672" t="s">
        <v>11</v>
      </c>
    </row>
    <row r="866" spans="1:4" x14ac:dyDescent="0.2">
      <c r="A866" s="672" t="str">
        <f t="shared" si="13"/>
        <v>166</v>
      </c>
      <c r="B866" s="672">
        <v>16657</v>
      </c>
      <c r="C866" s="673" t="s">
        <v>12</v>
      </c>
      <c r="D866" s="672" t="s">
        <v>13</v>
      </c>
    </row>
    <row r="867" spans="1:4" x14ac:dyDescent="0.2">
      <c r="A867" s="672" t="str">
        <f t="shared" si="13"/>
        <v>166</v>
      </c>
      <c r="B867" s="672">
        <v>16659</v>
      </c>
      <c r="C867" s="673" t="s">
        <v>4</v>
      </c>
      <c r="D867" s="672" t="s">
        <v>5</v>
      </c>
    </row>
    <row r="868" spans="1:4" x14ac:dyDescent="0.2">
      <c r="A868" s="672" t="str">
        <f t="shared" si="13"/>
        <v>166</v>
      </c>
      <c r="B868" s="672">
        <v>16660</v>
      </c>
      <c r="C868" s="673" t="s">
        <v>4</v>
      </c>
      <c r="D868" s="672" t="s">
        <v>5</v>
      </c>
    </row>
    <row r="869" spans="1:4" x14ac:dyDescent="0.2">
      <c r="A869" s="672" t="str">
        <f t="shared" si="13"/>
        <v>166</v>
      </c>
      <c r="B869" s="672">
        <v>16661</v>
      </c>
      <c r="C869" s="673" t="s">
        <v>10</v>
      </c>
      <c r="D869" s="672" t="s">
        <v>11</v>
      </c>
    </row>
    <row r="870" spans="1:4" x14ac:dyDescent="0.2">
      <c r="A870" s="672" t="str">
        <f t="shared" si="13"/>
        <v>166</v>
      </c>
      <c r="B870" s="672">
        <v>16662</v>
      </c>
      <c r="C870" s="673" t="s">
        <v>4</v>
      </c>
      <c r="D870" s="672" t="s">
        <v>5</v>
      </c>
    </row>
    <row r="871" spans="1:4" x14ac:dyDescent="0.2">
      <c r="A871" s="672" t="str">
        <f t="shared" si="13"/>
        <v>166</v>
      </c>
      <c r="B871" s="672">
        <v>16663</v>
      </c>
      <c r="C871" s="673" t="s">
        <v>10</v>
      </c>
      <c r="D871" s="672" t="s">
        <v>11</v>
      </c>
    </row>
    <row r="872" spans="1:4" x14ac:dyDescent="0.2">
      <c r="A872" s="672" t="str">
        <f t="shared" si="13"/>
        <v>166</v>
      </c>
      <c r="B872" s="672">
        <v>16664</v>
      </c>
      <c r="C872" s="673" t="s">
        <v>4</v>
      </c>
      <c r="D872" s="672" t="s">
        <v>5</v>
      </c>
    </row>
    <row r="873" spans="1:4" x14ac:dyDescent="0.2">
      <c r="A873" s="672" t="str">
        <f t="shared" si="13"/>
        <v>166</v>
      </c>
      <c r="B873" s="672">
        <v>16665</v>
      </c>
      <c r="C873" s="673" t="s">
        <v>4</v>
      </c>
      <c r="D873" s="672" t="s">
        <v>5</v>
      </c>
    </row>
    <row r="874" spans="1:4" x14ac:dyDescent="0.2">
      <c r="A874" s="672" t="str">
        <f t="shared" si="13"/>
        <v>166</v>
      </c>
      <c r="B874" s="672">
        <v>16666</v>
      </c>
      <c r="C874" s="673" t="s">
        <v>10</v>
      </c>
      <c r="D874" s="672" t="s">
        <v>11</v>
      </c>
    </row>
    <row r="875" spans="1:4" x14ac:dyDescent="0.2">
      <c r="A875" s="672" t="str">
        <f t="shared" si="13"/>
        <v>166</v>
      </c>
      <c r="B875" s="672">
        <v>16667</v>
      </c>
      <c r="C875" s="673" t="s">
        <v>4</v>
      </c>
      <c r="D875" s="672" t="s">
        <v>5</v>
      </c>
    </row>
    <row r="876" spans="1:4" x14ac:dyDescent="0.2">
      <c r="A876" s="672" t="str">
        <f t="shared" si="13"/>
        <v>166</v>
      </c>
      <c r="B876" s="672">
        <v>16668</v>
      </c>
      <c r="C876" s="673" t="s">
        <v>4</v>
      </c>
      <c r="D876" s="672" t="s">
        <v>5</v>
      </c>
    </row>
    <row r="877" spans="1:4" x14ac:dyDescent="0.2">
      <c r="A877" s="672" t="str">
        <f t="shared" si="13"/>
        <v>166</v>
      </c>
      <c r="B877" s="672">
        <v>16669</v>
      </c>
      <c r="C877" s="673" t="s">
        <v>12</v>
      </c>
      <c r="D877" s="672" t="s">
        <v>13</v>
      </c>
    </row>
    <row r="878" spans="1:4" x14ac:dyDescent="0.2">
      <c r="A878" s="672" t="str">
        <f t="shared" si="13"/>
        <v>166</v>
      </c>
      <c r="B878" s="672">
        <v>16670</v>
      </c>
      <c r="C878" s="673" t="s">
        <v>4</v>
      </c>
      <c r="D878" s="672" t="s">
        <v>5</v>
      </c>
    </row>
    <row r="879" spans="1:4" x14ac:dyDescent="0.2">
      <c r="A879" s="672" t="str">
        <f t="shared" si="13"/>
        <v>166</v>
      </c>
      <c r="B879" s="672">
        <v>16671</v>
      </c>
      <c r="C879" s="673" t="s">
        <v>10</v>
      </c>
      <c r="D879" s="672" t="s">
        <v>11</v>
      </c>
    </row>
    <row r="880" spans="1:4" x14ac:dyDescent="0.2">
      <c r="A880" s="672" t="str">
        <f t="shared" si="13"/>
        <v>166</v>
      </c>
      <c r="B880" s="672">
        <v>16672</v>
      </c>
      <c r="C880" s="673" t="s">
        <v>4</v>
      </c>
      <c r="D880" s="672" t="s">
        <v>5</v>
      </c>
    </row>
    <row r="881" spans="1:4" x14ac:dyDescent="0.2">
      <c r="A881" s="672" t="str">
        <f t="shared" si="13"/>
        <v>166</v>
      </c>
      <c r="B881" s="672">
        <v>16673</v>
      </c>
      <c r="C881" s="673" t="s">
        <v>4</v>
      </c>
      <c r="D881" s="672" t="s">
        <v>5</v>
      </c>
    </row>
    <row r="882" spans="1:4" x14ac:dyDescent="0.2">
      <c r="A882" s="672" t="str">
        <f t="shared" si="13"/>
        <v>166</v>
      </c>
      <c r="B882" s="672">
        <v>16674</v>
      </c>
      <c r="C882" s="673" t="s">
        <v>12</v>
      </c>
      <c r="D882" s="672" t="s">
        <v>13</v>
      </c>
    </row>
    <row r="883" spans="1:4" x14ac:dyDescent="0.2">
      <c r="A883" s="672" t="str">
        <f t="shared" si="13"/>
        <v>166</v>
      </c>
      <c r="B883" s="672">
        <v>16675</v>
      </c>
      <c r="C883" s="673" t="s">
        <v>4</v>
      </c>
      <c r="D883" s="672" t="s">
        <v>5</v>
      </c>
    </row>
    <row r="884" spans="1:4" x14ac:dyDescent="0.2">
      <c r="A884" s="672" t="str">
        <f t="shared" si="13"/>
        <v>166</v>
      </c>
      <c r="B884" s="672">
        <v>16677</v>
      </c>
      <c r="C884" s="673" t="s">
        <v>12</v>
      </c>
      <c r="D884" s="672" t="s">
        <v>13</v>
      </c>
    </row>
    <row r="885" spans="1:4" x14ac:dyDescent="0.2">
      <c r="A885" s="672" t="str">
        <f t="shared" si="13"/>
        <v>166</v>
      </c>
      <c r="B885" s="672">
        <v>16678</v>
      </c>
      <c r="C885" s="673" t="s">
        <v>4</v>
      </c>
      <c r="D885" s="672" t="s">
        <v>5</v>
      </c>
    </row>
    <row r="886" spans="1:4" x14ac:dyDescent="0.2">
      <c r="A886" s="672" t="str">
        <f t="shared" si="13"/>
        <v>166</v>
      </c>
      <c r="B886" s="672">
        <v>16679</v>
      </c>
      <c r="C886" s="673" t="s">
        <v>4</v>
      </c>
      <c r="D886" s="672" t="s">
        <v>5</v>
      </c>
    </row>
    <row r="887" spans="1:4" x14ac:dyDescent="0.2">
      <c r="A887" s="672" t="str">
        <f t="shared" si="13"/>
        <v>166</v>
      </c>
      <c r="B887" s="672">
        <v>16680</v>
      </c>
      <c r="C887" s="673" t="s">
        <v>10</v>
      </c>
      <c r="D887" s="672" t="s">
        <v>11</v>
      </c>
    </row>
    <row r="888" spans="1:4" x14ac:dyDescent="0.2">
      <c r="A888" s="672" t="str">
        <f t="shared" si="13"/>
        <v>166</v>
      </c>
      <c r="B888" s="672">
        <v>16681</v>
      </c>
      <c r="C888" s="673" t="s">
        <v>10</v>
      </c>
      <c r="D888" s="672" t="s">
        <v>11</v>
      </c>
    </row>
    <row r="889" spans="1:4" x14ac:dyDescent="0.2">
      <c r="A889" s="672" t="str">
        <f t="shared" si="13"/>
        <v>166</v>
      </c>
      <c r="B889" s="672">
        <v>16682</v>
      </c>
      <c r="C889" s="673" t="s">
        <v>4</v>
      </c>
      <c r="D889" s="672" t="s">
        <v>5</v>
      </c>
    </row>
    <row r="890" spans="1:4" x14ac:dyDescent="0.2">
      <c r="A890" s="672" t="str">
        <f t="shared" si="13"/>
        <v>166</v>
      </c>
      <c r="B890" s="672">
        <v>16683</v>
      </c>
      <c r="C890" s="673" t="s">
        <v>12</v>
      </c>
      <c r="D890" s="672" t="s">
        <v>13</v>
      </c>
    </row>
    <row r="891" spans="1:4" x14ac:dyDescent="0.2">
      <c r="A891" s="672" t="str">
        <f t="shared" si="13"/>
        <v>166</v>
      </c>
      <c r="B891" s="672">
        <v>16684</v>
      </c>
      <c r="C891" s="673" t="s">
        <v>4</v>
      </c>
      <c r="D891" s="672" t="s">
        <v>5</v>
      </c>
    </row>
    <row r="892" spans="1:4" x14ac:dyDescent="0.2">
      <c r="A892" s="672" t="str">
        <f t="shared" si="13"/>
        <v>166</v>
      </c>
      <c r="B892" s="672">
        <v>16685</v>
      </c>
      <c r="C892" s="673" t="s">
        <v>12</v>
      </c>
      <c r="D892" s="672" t="s">
        <v>13</v>
      </c>
    </row>
    <row r="893" spans="1:4" x14ac:dyDescent="0.2">
      <c r="A893" s="672" t="str">
        <f t="shared" si="13"/>
        <v>166</v>
      </c>
      <c r="B893" s="672">
        <v>16686</v>
      </c>
      <c r="C893" s="673" t="s">
        <v>4</v>
      </c>
      <c r="D893" s="672" t="s">
        <v>5</v>
      </c>
    </row>
    <row r="894" spans="1:4" x14ac:dyDescent="0.2">
      <c r="A894" s="672" t="str">
        <f t="shared" si="13"/>
        <v>166</v>
      </c>
      <c r="B894" s="672">
        <v>16689</v>
      </c>
      <c r="C894" s="673" t="s">
        <v>6</v>
      </c>
      <c r="D894" s="672" t="s">
        <v>7</v>
      </c>
    </row>
    <row r="895" spans="1:4" x14ac:dyDescent="0.2">
      <c r="A895" s="672" t="str">
        <f t="shared" si="13"/>
        <v>166</v>
      </c>
      <c r="B895" s="672">
        <v>16691</v>
      </c>
      <c r="C895" s="673" t="s">
        <v>6</v>
      </c>
      <c r="D895" s="672" t="s">
        <v>7</v>
      </c>
    </row>
    <row r="896" spans="1:4" x14ac:dyDescent="0.2">
      <c r="A896" s="672" t="str">
        <f t="shared" si="13"/>
        <v>166</v>
      </c>
      <c r="B896" s="672">
        <v>16692</v>
      </c>
      <c r="C896" s="673" t="s">
        <v>10</v>
      </c>
      <c r="D896" s="672" t="s">
        <v>11</v>
      </c>
    </row>
    <row r="897" spans="1:4" x14ac:dyDescent="0.2">
      <c r="A897" s="672" t="str">
        <f t="shared" si="13"/>
        <v>166</v>
      </c>
      <c r="B897" s="672">
        <v>16693</v>
      </c>
      <c r="C897" s="673" t="s">
        <v>4</v>
      </c>
      <c r="D897" s="672" t="s">
        <v>5</v>
      </c>
    </row>
    <row r="898" spans="1:4" x14ac:dyDescent="0.2">
      <c r="A898" s="672" t="str">
        <f t="shared" ref="A898:A961" si="14">LEFT(B898,3)</f>
        <v>166</v>
      </c>
      <c r="B898" s="672">
        <v>16694</v>
      </c>
      <c r="C898" s="673" t="s">
        <v>12</v>
      </c>
      <c r="D898" s="672" t="s">
        <v>13</v>
      </c>
    </row>
    <row r="899" spans="1:4" x14ac:dyDescent="0.2">
      <c r="A899" s="672" t="str">
        <f t="shared" si="14"/>
        <v>166</v>
      </c>
      <c r="B899" s="672">
        <v>16695</v>
      </c>
      <c r="C899" s="673" t="s">
        <v>4</v>
      </c>
      <c r="D899" s="672" t="s">
        <v>5</v>
      </c>
    </row>
    <row r="900" spans="1:4" x14ac:dyDescent="0.2">
      <c r="A900" s="672" t="str">
        <f t="shared" si="14"/>
        <v>166</v>
      </c>
      <c r="B900" s="672">
        <v>16698</v>
      </c>
      <c r="C900" s="673" t="s">
        <v>10</v>
      </c>
      <c r="D900" s="672" t="s">
        <v>11</v>
      </c>
    </row>
    <row r="901" spans="1:4" x14ac:dyDescent="0.2">
      <c r="A901" s="672" t="str">
        <f t="shared" si="14"/>
        <v>166</v>
      </c>
      <c r="B901" s="672">
        <v>16699</v>
      </c>
      <c r="C901" s="673" t="s">
        <v>4</v>
      </c>
      <c r="D901" s="672" t="s">
        <v>5</v>
      </c>
    </row>
    <row r="902" spans="1:4" x14ac:dyDescent="0.2">
      <c r="A902" s="672" t="str">
        <f t="shared" si="14"/>
        <v>167</v>
      </c>
      <c r="B902" s="672">
        <v>16701</v>
      </c>
      <c r="C902" s="673" t="s">
        <v>10</v>
      </c>
      <c r="D902" s="672" t="s">
        <v>11</v>
      </c>
    </row>
    <row r="903" spans="1:4" x14ac:dyDescent="0.2">
      <c r="A903" s="672" t="str">
        <f t="shared" si="14"/>
        <v>167</v>
      </c>
      <c r="B903" s="672">
        <v>16720</v>
      </c>
      <c r="C903" s="673" t="s">
        <v>10</v>
      </c>
      <c r="D903" s="672" t="s">
        <v>11</v>
      </c>
    </row>
    <row r="904" spans="1:4" x14ac:dyDescent="0.2">
      <c r="A904" s="672" t="str">
        <f t="shared" si="14"/>
        <v>167</v>
      </c>
      <c r="B904" s="672">
        <v>16724</v>
      </c>
      <c r="C904" s="673" t="s">
        <v>10</v>
      </c>
      <c r="D904" s="672" t="s">
        <v>11</v>
      </c>
    </row>
    <row r="905" spans="1:4" x14ac:dyDescent="0.2">
      <c r="A905" s="672" t="str">
        <f t="shared" si="14"/>
        <v>167</v>
      </c>
      <c r="B905" s="672">
        <v>16725</v>
      </c>
      <c r="C905" s="673" t="s">
        <v>10</v>
      </c>
      <c r="D905" s="672" t="s">
        <v>11</v>
      </c>
    </row>
    <row r="906" spans="1:4" x14ac:dyDescent="0.2">
      <c r="A906" s="672" t="str">
        <f t="shared" si="14"/>
        <v>167</v>
      </c>
      <c r="B906" s="672">
        <v>16726</v>
      </c>
      <c r="C906" s="673" t="s">
        <v>10</v>
      </c>
      <c r="D906" s="672" t="s">
        <v>11</v>
      </c>
    </row>
    <row r="907" spans="1:4" x14ac:dyDescent="0.2">
      <c r="A907" s="672" t="str">
        <f t="shared" si="14"/>
        <v>167</v>
      </c>
      <c r="B907" s="672">
        <v>16727</v>
      </c>
      <c r="C907" s="673" t="s">
        <v>10</v>
      </c>
      <c r="D907" s="672" t="s">
        <v>11</v>
      </c>
    </row>
    <row r="908" spans="1:4" x14ac:dyDescent="0.2">
      <c r="A908" s="672" t="str">
        <f t="shared" si="14"/>
        <v>167</v>
      </c>
      <c r="B908" s="672">
        <v>16728</v>
      </c>
      <c r="C908" s="673" t="s">
        <v>10</v>
      </c>
      <c r="D908" s="672" t="s">
        <v>11</v>
      </c>
    </row>
    <row r="909" spans="1:4" x14ac:dyDescent="0.2">
      <c r="A909" s="672" t="str">
        <f t="shared" si="14"/>
        <v>167</v>
      </c>
      <c r="B909" s="672">
        <v>16729</v>
      </c>
      <c r="C909" s="673" t="s">
        <v>10</v>
      </c>
      <c r="D909" s="672" t="s">
        <v>11</v>
      </c>
    </row>
    <row r="910" spans="1:4" x14ac:dyDescent="0.2">
      <c r="A910" s="672" t="str">
        <f t="shared" si="14"/>
        <v>167</v>
      </c>
      <c r="B910" s="672">
        <v>16730</v>
      </c>
      <c r="C910" s="673" t="s">
        <v>10</v>
      </c>
      <c r="D910" s="672" t="s">
        <v>11</v>
      </c>
    </row>
    <row r="911" spans="1:4" x14ac:dyDescent="0.2">
      <c r="A911" s="672" t="str">
        <f t="shared" si="14"/>
        <v>167</v>
      </c>
      <c r="B911" s="672">
        <v>16731</v>
      </c>
      <c r="C911" s="673" t="s">
        <v>10</v>
      </c>
      <c r="D911" s="672" t="s">
        <v>11</v>
      </c>
    </row>
    <row r="912" spans="1:4" x14ac:dyDescent="0.2">
      <c r="A912" s="672" t="str">
        <f t="shared" si="14"/>
        <v>167</v>
      </c>
      <c r="B912" s="672">
        <v>16732</v>
      </c>
      <c r="C912" s="673" t="s">
        <v>10</v>
      </c>
      <c r="D912" s="672" t="s">
        <v>11</v>
      </c>
    </row>
    <row r="913" spans="1:4" x14ac:dyDescent="0.2">
      <c r="A913" s="672" t="str">
        <f t="shared" si="14"/>
        <v>167</v>
      </c>
      <c r="B913" s="672">
        <v>16733</v>
      </c>
      <c r="C913" s="673" t="s">
        <v>10</v>
      </c>
      <c r="D913" s="672" t="s">
        <v>11</v>
      </c>
    </row>
    <row r="914" spans="1:4" x14ac:dyDescent="0.2">
      <c r="A914" s="672" t="str">
        <f t="shared" si="14"/>
        <v>167</v>
      </c>
      <c r="B914" s="672">
        <v>16734</v>
      </c>
      <c r="C914" s="673" t="s">
        <v>10</v>
      </c>
      <c r="D914" s="672" t="s">
        <v>11</v>
      </c>
    </row>
    <row r="915" spans="1:4" x14ac:dyDescent="0.2">
      <c r="A915" s="672" t="str">
        <f t="shared" si="14"/>
        <v>167</v>
      </c>
      <c r="B915" s="672">
        <v>16735</v>
      </c>
      <c r="C915" s="673" t="s">
        <v>10</v>
      </c>
      <c r="D915" s="672" t="s">
        <v>11</v>
      </c>
    </row>
    <row r="916" spans="1:4" x14ac:dyDescent="0.2">
      <c r="A916" s="672" t="str">
        <f t="shared" si="14"/>
        <v>167</v>
      </c>
      <c r="B916" s="672">
        <v>16738</v>
      </c>
      <c r="C916" s="673" t="s">
        <v>10</v>
      </c>
      <c r="D916" s="672" t="s">
        <v>11</v>
      </c>
    </row>
    <row r="917" spans="1:4" x14ac:dyDescent="0.2">
      <c r="A917" s="672" t="str">
        <f t="shared" si="14"/>
        <v>167</v>
      </c>
      <c r="B917" s="672">
        <v>16740</v>
      </c>
      <c r="C917" s="673" t="s">
        <v>10</v>
      </c>
      <c r="D917" s="672" t="s">
        <v>11</v>
      </c>
    </row>
    <row r="918" spans="1:4" x14ac:dyDescent="0.2">
      <c r="A918" s="672" t="str">
        <f t="shared" si="14"/>
        <v>167</v>
      </c>
      <c r="B918" s="672">
        <v>16743</v>
      </c>
      <c r="C918" s="673" t="s">
        <v>10</v>
      </c>
      <c r="D918" s="672" t="s">
        <v>11</v>
      </c>
    </row>
    <row r="919" spans="1:4" x14ac:dyDescent="0.2">
      <c r="A919" s="672" t="str">
        <f t="shared" si="14"/>
        <v>167</v>
      </c>
      <c r="B919" s="672">
        <v>16744</v>
      </c>
      <c r="C919" s="673" t="s">
        <v>10</v>
      </c>
      <c r="D919" s="672" t="s">
        <v>11</v>
      </c>
    </row>
    <row r="920" spans="1:4" x14ac:dyDescent="0.2">
      <c r="A920" s="672" t="str">
        <f t="shared" si="14"/>
        <v>167</v>
      </c>
      <c r="B920" s="672">
        <v>16745</v>
      </c>
      <c r="C920" s="673" t="s">
        <v>10</v>
      </c>
      <c r="D920" s="672" t="s">
        <v>11</v>
      </c>
    </row>
    <row r="921" spans="1:4" x14ac:dyDescent="0.2">
      <c r="A921" s="672" t="str">
        <f t="shared" si="14"/>
        <v>167</v>
      </c>
      <c r="B921" s="672">
        <v>16746</v>
      </c>
      <c r="C921" s="673" t="s">
        <v>10</v>
      </c>
      <c r="D921" s="672" t="s">
        <v>11</v>
      </c>
    </row>
    <row r="922" spans="1:4" x14ac:dyDescent="0.2">
      <c r="A922" s="672" t="str">
        <f t="shared" si="14"/>
        <v>167</v>
      </c>
      <c r="B922" s="672">
        <v>16748</v>
      </c>
      <c r="C922" s="673" t="s">
        <v>10</v>
      </c>
      <c r="D922" s="672" t="s">
        <v>11</v>
      </c>
    </row>
    <row r="923" spans="1:4" x14ac:dyDescent="0.2">
      <c r="A923" s="672" t="str">
        <f t="shared" si="14"/>
        <v>167</v>
      </c>
      <c r="B923" s="672">
        <v>16749</v>
      </c>
      <c r="C923" s="673" t="s">
        <v>10</v>
      </c>
      <c r="D923" s="672" t="s">
        <v>11</v>
      </c>
    </row>
    <row r="924" spans="1:4" x14ac:dyDescent="0.2">
      <c r="A924" s="672" t="str">
        <f t="shared" si="14"/>
        <v>167</v>
      </c>
      <c r="B924" s="672">
        <v>16750</v>
      </c>
      <c r="C924" s="673" t="s">
        <v>10</v>
      </c>
      <c r="D924" s="672" t="s">
        <v>11</v>
      </c>
    </row>
    <row r="925" spans="1:4" x14ac:dyDescent="0.2">
      <c r="A925" s="672" t="str">
        <f t="shared" si="14"/>
        <v>167</v>
      </c>
      <c r="B925" s="672">
        <v>16751</v>
      </c>
      <c r="C925" s="673" t="s">
        <v>10</v>
      </c>
      <c r="D925" s="672" t="s">
        <v>11</v>
      </c>
    </row>
    <row r="926" spans="1:4" x14ac:dyDescent="0.2">
      <c r="A926" s="672" t="str">
        <f t="shared" si="14"/>
        <v>168</v>
      </c>
      <c r="B926" s="672">
        <v>16801</v>
      </c>
      <c r="C926" s="673" t="s">
        <v>12</v>
      </c>
      <c r="D926" s="672" t="s">
        <v>13</v>
      </c>
    </row>
    <row r="927" spans="1:4" x14ac:dyDescent="0.2">
      <c r="A927" s="672" t="str">
        <f t="shared" si="14"/>
        <v>168</v>
      </c>
      <c r="B927" s="672">
        <v>16802</v>
      </c>
      <c r="C927" s="673" t="s">
        <v>12</v>
      </c>
      <c r="D927" s="672" t="s">
        <v>13</v>
      </c>
    </row>
    <row r="928" spans="1:4" x14ac:dyDescent="0.2">
      <c r="A928" s="672" t="str">
        <f t="shared" si="14"/>
        <v>168</v>
      </c>
      <c r="B928" s="672">
        <v>16803</v>
      </c>
      <c r="C928" s="673" t="s">
        <v>12</v>
      </c>
      <c r="D928" s="672" t="s">
        <v>13</v>
      </c>
    </row>
    <row r="929" spans="1:4" x14ac:dyDescent="0.2">
      <c r="A929" s="672" t="str">
        <f t="shared" si="14"/>
        <v>168</v>
      </c>
      <c r="B929" s="672">
        <v>16804</v>
      </c>
      <c r="C929" s="673" t="s">
        <v>12</v>
      </c>
      <c r="D929" s="672" t="s">
        <v>13</v>
      </c>
    </row>
    <row r="930" spans="1:4" x14ac:dyDescent="0.2">
      <c r="A930" s="672" t="str">
        <f t="shared" si="14"/>
        <v>168</v>
      </c>
      <c r="B930" s="672">
        <v>16805</v>
      </c>
      <c r="C930" s="673" t="s">
        <v>12</v>
      </c>
      <c r="D930" s="672" t="s">
        <v>13</v>
      </c>
    </row>
    <row r="931" spans="1:4" x14ac:dyDescent="0.2">
      <c r="A931" s="672" t="str">
        <f t="shared" si="14"/>
        <v>168</v>
      </c>
      <c r="B931" s="672">
        <v>16820</v>
      </c>
      <c r="C931" s="673" t="s">
        <v>12</v>
      </c>
      <c r="D931" s="672" t="s">
        <v>13</v>
      </c>
    </row>
    <row r="932" spans="1:4" x14ac:dyDescent="0.2">
      <c r="A932" s="672" t="str">
        <f t="shared" si="14"/>
        <v>168</v>
      </c>
      <c r="B932" s="672">
        <v>16821</v>
      </c>
      <c r="C932" s="673" t="s">
        <v>10</v>
      </c>
      <c r="D932" s="672" t="s">
        <v>11</v>
      </c>
    </row>
    <row r="933" spans="1:4" x14ac:dyDescent="0.2">
      <c r="A933" s="672" t="str">
        <f t="shared" si="14"/>
        <v>168</v>
      </c>
      <c r="B933" s="672">
        <v>16822</v>
      </c>
      <c r="C933" s="673" t="s">
        <v>12</v>
      </c>
      <c r="D933" s="672" t="s">
        <v>13</v>
      </c>
    </row>
    <row r="934" spans="1:4" x14ac:dyDescent="0.2">
      <c r="A934" s="672" t="str">
        <f t="shared" si="14"/>
        <v>168</v>
      </c>
      <c r="B934" s="672">
        <v>16823</v>
      </c>
      <c r="C934" s="673" t="s">
        <v>12</v>
      </c>
      <c r="D934" s="672" t="s">
        <v>13</v>
      </c>
    </row>
    <row r="935" spans="1:4" x14ac:dyDescent="0.2">
      <c r="A935" s="672" t="str">
        <f t="shared" si="14"/>
        <v>168</v>
      </c>
      <c r="B935" s="672">
        <v>16825</v>
      </c>
      <c r="C935" s="673" t="s">
        <v>10</v>
      </c>
      <c r="D935" s="672" t="s">
        <v>11</v>
      </c>
    </row>
    <row r="936" spans="1:4" x14ac:dyDescent="0.2">
      <c r="A936" s="672" t="str">
        <f t="shared" si="14"/>
        <v>168</v>
      </c>
      <c r="B936" s="672">
        <v>16826</v>
      </c>
      <c r="C936" s="673" t="s">
        <v>12</v>
      </c>
      <c r="D936" s="672" t="s">
        <v>13</v>
      </c>
    </row>
    <row r="937" spans="1:4" x14ac:dyDescent="0.2">
      <c r="A937" s="672" t="str">
        <f t="shared" si="14"/>
        <v>168</v>
      </c>
      <c r="B937" s="672">
        <v>16827</v>
      </c>
      <c r="C937" s="673" t="s">
        <v>12</v>
      </c>
      <c r="D937" s="672" t="s">
        <v>13</v>
      </c>
    </row>
    <row r="938" spans="1:4" x14ac:dyDescent="0.2">
      <c r="A938" s="672" t="str">
        <f t="shared" si="14"/>
        <v>168</v>
      </c>
      <c r="B938" s="672">
        <v>16828</v>
      </c>
      <c r="C938" s="673" t="s">
        <v>12</v>
      </c>
      <c r="D938" s="672" t="s">
        <v>13</v>
      </c>
    </row>
    <row r="939" spans="1:4" x14ac:dyDescent="0.2">
      <c r="A939" s="672" t="str">
        <f t="shared" si="14"/>
        <v>168</v>
      </c>
      <c r="B939" s="672">
        <v>16829</v>
      </c>
      <c r="C939" s="673" t="s">
        <v>12</v>
      </c>
      <c r="D939" s="672" t="s">
        <v>13</v>
      </c>
    </row>
    <row r="940" spans="1:4" x14ac:dyDescent="0.2">
      <c r="A940" s="672" t="str">
        <f t="shared" si="14"/>
        <v>168</v>
      </c>
      <c r="B940" s="672">
        <v>16830</v>
      </c>
      <c r="C940" s="673" t="s">
        <v>10</v>
      </c>
      <c r="D940" s="672" t="s">
        <v>11</v>
      </c>
    </row>
    <row r="941" spans="1:4" x14ac:dyDescent="0.2">
      <c r="A941" s="672" t="str">
        <f t="shared" si="14"/>
        <v>168</v>
      </c>
      <c r="B941" s="672">
        <v>16832</v>
      </c>
      <c r="C941" s="673" t="s">
        <v>12</v>
      </c>
      <c r="D941" s="672" t="s">
        <v>13</v>
      </c>
    </row>
    <row r="942" spans="1:4" x14ac:dyDescent="0.2">
      <c r="A942" s="672" t="str">
        <f t="shared" si="14"/>
        <v>168</v>
      </c>
      <c r="B942" s="672">
        <v>16833</v>
      </c>
      <c r="C942" s="673" t="s">
        <v>10</v>
      </c>
      <c r="D942" s="672" t="s">
        <v>11</v>
      </c>
    </row>
    <row r="943" spans="1:4" x14ac:dyDescent="0.2">
      <c r="A943" s="672" t="str">
        <f t="shared" si="14"/>
        <v>168</v>
      </c>
      <c r="B943" s="672">
        <v>16834</v>
      </c>
      <c r="C943" s="673" t="s">
        <v>10</v>
      </c>
      <c r="D943" s="672" t="s">
        <v>11</v>
      </c>
    </row>
    <row r="944" spans="1:4" x14ac:dyDescent="0.2">
      <c r="A944" s="672" t="str">
        <f t="shared" si="14"/>
        <v>168</v>
      </c>
      <c r="B944" s="672">
        <v>16835</v>
      </c>
      <c r="C944" s="673" t="s">
        <v>12</v>
      </c>
      <c r="D944" s="672" t="s">
        <v>13</v>
      </c>
    </row>
    <row r="945" spans="1:4" x14ac:dyDescent="0.2">
      <c r="A945" s="672" t="str">
        <f t="shared" si="14"/>
        <v>168</v>
      </c>
      <c r="B945" s="672">
        <v>16836</v>
      </c>
      <c r="C945" s="673" t="s">
        <v>10</v>
      </c>
      <c r="D945" s="672" t="s">
        <v>11</v>
      </c>
    </row>
    <row r="946" spans="1:4" x14ac:dyDescent="0.2">
      <c r="A946" s="672" t="str">
        <f t="shared" si="14"/>
        <v>168</v>
      </c>
      <c r="B946" s="672">
        <v>16837</v>
      </c>
      <c r="C946" s="673" t="s">
        <v>10</v>
      </c>
      <c r="D946" s="672" t="s">
        <v>11</v>
      </c>
    </row>
    <row r="947" spans="1:4" x14ac:dyDescent="0.2">
      <c r="A947" s="672" t="str">
        <f t="shared" si="14"/>
        <v>168</v>
      </c>
      <c r="B947" s="672">
        <v>16838</v>
      </c>
      <c r="C947" s="673" t="s">
        <v>10</v>
      </c>
      <c r="D947" s="672" t="s">
        <v>11</v>
      </c>
    </row>
    <row r="948" spans="1:4" x14ac:dyDescent="0.2">
      <c r="A948" s="672" t="str">
        <f t="shared" si="14"/>
        <v>168</v>
      </c>
      <c r="B948" s="672">
        <v>16839</v>
      </c>
      <c r="C948" s="673" t="s">
        <v>10</v>
      </c>
      <c r="D948" s="672" t="s">
        <v>11</v>
      </c>
    </row>
    <row r="949" spans="1:4" x14ac:dyDescent="0.2">
      <c r="A949" s="672" t="str">
        <f t="shared" si="14"/>
        <v>168</v>
      </c>
      <c r="B949" s="672">
        <v>16840</v>
      </c>
      <c r="C949" s="673" t="s">
        <v>10</v>
      </c>
      <c r="D949" s="672" t="s">
        <v>11</v>
      </c>
    </row>
    <row r="950" spans="1:4" x14ac:dyDescent="0.2">
      <c r="A950" s="672" t="str">
        <f t="shared" si="14"/>
        <v>168</v>
      </c>
      <c r="B950" s="672">
        <v>16841</v>
      </c>
      <c r="C950" s="673" t="s">
        <v>12</v>
      </c>
      <c r="D950" s="672" t="s">
        <v>13</v>
      </c>
    </row>
    <row r="951" spans="1:4" x14ac:dyDescent="0.2">
      <c r="A951" s="672" t="str">
        <f t="shared" si="14"/>
        <v>168</v>
      </c>
      <c r="B951" s="672">
        <v>16843</v>
      </c>
      <c r="C951" s="673" t="s">
        <v>10</v>
      </c>
      <c r="D951" s="672" t="s">
        <v>11</v>
      </c>
    </row>
    <row r="952" spans="1:4" x14ac:dyDescent="0.2">
      <c r="A952" s="672" t="str">
        <f t="shared" si="14"/>
        <v>168</v>
      </c>
      <c r="B952" s="672">
        <v>16844</v>
      </c>
      <c r="C952" s="673" t="s">
        <v>12</v>
      </c>
      <c r="D952" s="672" t="s">
        <v>13</v>
      </c>
    </row>
    <row r="953" spans="1:4" x14ac:dyDescent="0.2">
      <c r="A953" s="672" t="str">
        <f t="shared" si="14"/>
        <v>168</v>
      </c>
      <c r="B953" s="672">
        <v>16845</v>
      </c>
      <c r="C953" s="673" t="s">
        <v>10</v>
      </c>
      <c r="D953" s="672" t="s">
        <v>11</v>
      </c>
    </row>
    <row r="954" spans="1:4" x14ac:dyDescent="0.2">
      <c r="A954" s="672" t="str">
        <f t="shared" si="14"/>
        <v>168</v>
      </c>
      <c r="B954" s="672">
        <v>16847</v>
      </c>
      <c r="C954" s="673" t="s">
        <v>10</v>
      </c>
      <c r="D954" s="672" t="s">
        <v>11</v>
      </c>
    </row>
    <row r="955" spans="1:4" x14ac:dyDescent="0.2">
      <c r="A955" s="672" t="str">
        <f t="shared" si="14"/>
        <v>168</v>
      </c>
      <c r="B955" s="672">
        <v>16848</v>
      </c>
      <c r="C955" s="673" t="s">
        <v>12</v>
      </c>
      <c r="D955" s="672" t="s">
        <v>13</v>
      </c>
    </row>
    <row r="956" spans="1:4" x14ac:dyDescent="0.2">
      <c r="A956" s="672" t="str">
        <f t="shared" si="14"/>
        <v>168</v>
      </c>
      <c r="B956" s="672">
        <v>16849</v>
      </c>
      <c r="C956" s="673" t="s">
        <v>10</v>
      </c>
      <c r="D956" s="672" t="s">
        <v>11</v>
      </c>
    </row>
    <row r="957" spans="1:4" x14ac:dyDescent="0.2">
      <c r="A957" s="672" t="str">
        <f t="shared" si="14"/>
        <v>168</v>
      </c>
      <c r="B957" s="672">
        <v>16850</v>
      </c>
      <c r="C957" s="673" t="s">
        <v>10</v>
      </c>
      <c r="D957" s="672" t="s">
        <v>11</v>
      </c>
    </row>
    <row r="958" spans="1:4" x14ac:dyDescent="0.2">
      <c r="A958" s="672" t="str">
        <f t="shared" si="14"/>
        <v>168</v>
      </c>
      <c r="B958" s="672">
        <v>16851</v>
      </c>
      <c r="C958" s="673" t="s">
        <v>12</v>
      </c>
      <c r="D958" s="672" t="s">
        <v>13</v>
      </c>
    </row>
    <row r="959" spans="1:4" x14ac:dyDescent="0.2">
      <c r="A959" s="672" t="str">
        <f t="shared" si="14"/>
        <v>168</v>
      </c>
      <c r="B959" s="672">
        <v>16852</v>
      </c>
      <c r="C959" s="673" t="s">
        <v>12</v>
      </c>
      <c r="D959" s="672" t="s">
        <v>13</v>
      </c>
    </row>
    <row r="960" spans="1:4" x14ac:dyDescent="0.2">
      <c r="A960" s="672" t="str">
        <f t="shared" si="14"/>
        <v>168</v>
      </c>
      <c r="B960" s="672">
        <v>16853</v>
      </c>
      <c r="C960" s="673" t="s">
        <v>12</v>
      </c>
      <c r="D960" s="672" t="s">
        <v>13</v>
      </c>
    </row>
    <row r="961" spans="1:4" x14ac:dyDescent="0.2">
      <c r="A961" s="672" t="str">
        <f t="shared" si="14"/>
        <v>168</v>
      </c>
      <c r="B961" s="672">
        <v>16854</v>
      </c>
      <c r="C961" s="673" t="s">
        <v>12</v>
      </c>
      <c r="D961" s="672" t="s">
        <v>13</v>
      </c>
    </row>
    <row r="962" spans="1:4" x14ac:dyDescent="0.2">
      <c r="A962" s="672" t="str">
        <f t="shared" ref="A962:A1025" si="15">LEFT(B962,3)</f>
        <v>168</v>
      </c>
      <c r="B962" s="672">
        <v>16855</v>
      </c>
      <c r="C962" s="673" t="s">
        <v>10</v>
      </c>
      <c r="D962" s="672" t="s">
        <v>11</v>
      </c>
    </row>
    <row r="963" spans="1:4" x14ac:dyDescent="0.2">
      <c r="A963" s="672" t="str">
        <f t="shared" si="15"/>
        <v>168</v>
      </c>
      <c r="B963" s="672">
        <v>16856</v>
      </c>
      <c r="C963" s="673" t="s">
        <v>12</v>
      </c>
      <c r="D963" s="672" t="s">
        <v>13</v>
      </c>
    </row>
    <row r="964" spans="1:4" x14ac:dyDescent="0.2">
      <c r="A964" s="672" t="str">
        <f t="shared" si="15"/>
        <v>168</v>
      </c>
      <c r="B964" s="672">
        <v>16858</v>
      </c>
      <c r="C964" s="673" t="s">
        <v>10</v>
      </c>
      <c r="D964" s="672" t="s">
        <v>11</v>
      </c>
    </row>
    <row r="965" spans="1:4" x14ac:dyDescent="0.2">
      <c r="A965" s="672" t="str">
        <f t="shared" si="15"/>
        <v>168</v>
      </c>
      <c r="B965" s="672">
        <v>16859</v>
      </c>
      <c r="C965" s="673" t="s">
        <v>12</v>
      </c>
      <c r="D965" s="672" t="s">
        <v>13</v>
      </c>
    </row>
    <row r="966" spans="1:4" x14ac:dyDescent="0.2">
      <c r="A966" s="672" t="str">
        <f t="shared" si="15"/>
        <v>168</v>
      </c>
      <c r="B966" s="672">
        <v>16860</v>
      </c>
      <c r="C966" s="673" t="s">
        <v>12</v>
      </c>
      <c r="D966" s="672" t="s">
        <v>13</v>
      </c>
    </row>
    <row r="967" spans="1:4" x14ac:dyDescent="0.2">
      <c r="A967" s="672" t="str">
        <f t="shared" si="15"/>
        <v>168</v>
      </c>
      <c r="B967" s="672">
        <v>16861</v>
      </c>
      <c r="C967" s="673" t="s">
        <v>10</v>
      </c>
      <c r="D967" s="672" t="s">
        <v>11</v>
      </c>
    </row>
    <row r="968" spans="1:4" x14ac:dyDescent="0.2">
      <c r="A968" s="672" t="str">
        <f t="shared" si="15"/>
        <v>168</v>
      </c>
      <c r="B968" s="672">
        <v>16863</v>
      </c>
      <c r="C968" s="673" t="s">
        <v>10</v>
      </c>
      <c r="D968" s="672" t="s">
        <v>11</v>
      </c>
    </row>
    <row r="969" spans="1:4" x14ac:dyDescent="0.2">
      <c r="A969" s="672" t="str">
        <f t="shared" si="15"/>
        <v>168</v>
      </c>
      <c r="B969" s="672">
        <v>16864</v>
      </c>
      <c r="C969" s="673" t="s">
        <v>12</v>
      </c>
      <c r="D969" s="672" t="s">
        <v>13</v>
      </c>
    </row>
    <row r="970" spans="1:4" x14ac:dyDescent="0.2">
      <c r="A970" s="672" t="str">
        <f t="shared" si="15"/>
        <v>168</v>
      </c>
      <c r="B970" s="672">
        <v>16865</v>
      </c>
      <c r="C970" s="673" t="s">
        <v>12</v>
      </c>
      <c r="D970" s="672" t="s">
        <v>13</v>
      </c>
    </row>
    <row r="971" spans="1:4" x14ac:dyDescent="0.2">
      <c r="A971" s="672" t="str">
        <f t="shared" si="15"/>
        <v>168</v>
      </c>
      <c r="B971" s="672">
        <v>16866</v>
      </c>
      <c r="C971" s="673" t="s">
        <v>12</v>
      </c>
      <c r="D971" s="672" t="s">
        <v>13</v>
      </c>
    </row>
    <row r="972" spans="1:4" x14ac:dyDescent="0.2">
      <c r="A972" s="672" t="str">
        <f t="shared" si="15"/>
        <v>168</v>
      </c>
      <c r="B972" s="672">
        <v>16868</v>
      </c>
      <c r="C972" s="673" t="s">
        <v>12</v>
      </c>
      <c r="D972" s="672" t="s">
        <v>13</v>
      </c>
    </row>
    <row r="973" spans="1:4" x14ac:dyDescent="0.2">
      <c r="A973" s="672" t="str">
        <f t="shared" si="15"/>
        <v>168</v>
      </c>
      <c r="B973" s="672">
        <v>16870</v>
      </c>
      <c r="C973" s="673" t="s">
        <v>12</v>
      </c>
      <c r="D973" s="672" t="s">
        <v>13</v>
      </c>
    </row>
    <row r="974" spans="1:4" x14ac:dyDescent="0.2">
      <c r="A974" s="672" t="str">
        <f t="shared" si="15"/>
        <v>168</v>
      </c>
      <c r="B974" s="672">
        <v>16871</v>
      </c>
      <c r="C974" s="673" t="s">
        <v>12</v>
      </c>
      <c r="D974" s="672" t="s">
        <v>13</v>
      </c>
    </row>
    <row r="975" spans="1:4" x14ac:dyDescent="0.2">
      <c r="A975" s="672" t="str">
        <f t="shared" si="15"/>
        <v>168</v>
      </c>
      <c r="B975" s="672">
        <v>16872</v>
      </c>
      <c r="C975" s="673" t="s">
        <v>12</v>
      </c>
      <c r="D975" s="672" t="s">
        <v>13</v>
      </c>
    </row>
    <row r="976" spans="1:4" x14ac:dyDescent="0.2">
      <c r="A976" s="672" t="str">
        <f t="shared" si="15"/>
        <v>168</v>
      </c>
      <c r="B976" s="672">
        <v>16873</v>
      </c>
      <c r="C976" s="673" t="s">
        <v>10</v>
      </c>
      <c r="D976" s="672" t="s">
        <v>11</v>
      </c>
    </row>
    <row r="977" spans="1:4" x14ac:dyDescent="0.2">
      <c r="A977" s="672" t="str">
        <f t="shared" si="15"/>
        <v>168</v>
      </c>
      <c r="B977" s="672">
        <v>16874</v>
      </c>
      <c r="C977" s="673" t="s">
        <v>12</v>
      </c>
      <c r="D977" s="672" t="s">
        <v>13</v>
      </c>
    </row>
    <row r="978" spans="1:4" x14ac:dyDescent="0.2">
      <c r="A978" s="672" t="str">
        <f t="shared" si="15"/>
        <v>168</v>
      </c>
      <c r="B978" s="672">
        <v>16875</v>
      </c>
      <c r="C978" s="673" t="s">
        <v>12</v>
      </c>
      <c r="D978" s="672" t="s">
        <v>13</v>
      </c>
    </row>
    <row r="979" spans="1:4" x14ac:dyDescent="0.2">
      <c r="A979" s="672" t="str">
        <f t="shared" si="15"/>
        <v>168</v>
      </c>
      <c r="B979" s="672">
        <v>16876</v>
      </c>
      <c r="C979" s="673" t="s">
        <v>10</v>
      </c>
      <c r="D979" s="672" t="s">
        <v>11</v>
      </c>
    </row>
    <row r="980" spans="1:4" x14ac:dyDescent="0.2">
      <c r="A980" s="672" t="str">
        <f t="shared" si="15"/>
        <v>168</v>
      </c>
      <c r="B980" s="672">
        <v>16877</v>
      </c>
      <c r="C980" s="673" t="s">
        <v>12</v>
      </c>
      <c r="D980" s="672" t="s">
        <v>13</v>
      </c>
    </row>
    <row r="981" spans="1:4" x14ac:dyDescent="0.2">
      <c r="A981" s="672" t="str">
        <f t="shared" si="15"/>
        <v>168</v>
      </c>
      <c r="B981" s="672">
        <v>16878</v>
      </c>
      <c r="C981" s="673" t="s">
        <v>10</v>
      </c>
      <c r="D981" s="672" t="s">
        <v>11</v>
      </c>
    </row>
    <row r="982" spans="1:4" x14ac:dyDescent="0.2">
      <c r="A982" s="672" t="str">
        <f t="shared" si="15"/>
        <v>168</v>
      </c>
      <c r="B982" s="672">
        <v>16879</v>
      </c>
      <c r="C982" s="673" t="s">
        <v>10</v>
      </c>
      <c r="D982" s="672" t="s">
        <v>11</v>
      </c>
    </row>
    <row r="983" spans="1:4" x14ac:dyDescent="0.2">
      <c r="A983" s="672" t="str">
        <f t="shared" si="15"/>
        <v>168</v>
      </c>
      <c r="B983" s="672">
        <v>16881</v>
      </c>
      <c r="C983" s="673" t="s">
        <v>10</v>
      </c>
      <c r="D983" s="672" t="s">
        <v>11</v>
      </c>
    </row>
    <row r="984" spans="1:4" x14ac:dyDescent="0.2">
      <c r="A984" s="672" t="str">
        <f t="shared" si="15"/>
        <v>168</v>
      </c>
      <c r="B984" s="672">
        <v>16882</v>
      </c>
      <c r="C984" s="673" t="s">
        <v>12</v>
      </c>
      <c r="D984" s="672" t="s">
        <v>13</v>
      </c>
    </row>
    <row r="985" spans="1:4" x14ac:dyDescent="0.2">
      <c r="A985" s="672" t="str">
        <f t="shared" si="15"/>
        <v>169</v>
      </c>
      <c r="B985" s="672">
        <v>16901</v>
      </c>
      <c r="C985" s="673" t="s">
        <v>10</v>
      </c>
      <c r="D985" s="672" t="s">
        <v>11</v>
      </c>
    </row>
    <row r="986" spans="1:4" x14ac:dyDescent="0.2">
      <c r="A986" s="672" t="str">
        <f t="shared" si="15"/>
        <v>169</v>
      </c>
      <c r="B986" s="672">
        <v>16910</v>
      </c>
      <c r="C986" s="673" t="s">
        <v>14</v>
      </c>
      <c r="D986" s="672" t="s">
        <v>15</v>
      </c>
    </row>
    <row r="987" spans="1:4" x14ac:dyDescent="0.2">
      <c r="A987" s="672" t="str">
        <f t="shared" si="15"/>
        <v>169</v>
      </c>
      <c r="B987" s="672">
        <v>16911</v>
      </c>
      <c r="C987" s="673" t="s">
        <v>10</v>
      </c>
      <c r="D987" s="672" t="s">
        <v>11</v>
      </c>
    </row>
    <row r="988" spans="1:4" x14ac:dyDescent="0.2">
      <c r="A988" s="672" t="str">
        <f t="shared" si="15"/>
        <v>169</v>
      </c>
      <c r="B988" s="672">
        <v>16912</v>
      </c>
      <c r="C988" s="673" t="s">
        <v>10</v>
      </c>
      <c r="D988" s="672" t="s">
        <v>11</v>
      </c>
    </row>
    <row r="989" spans="1:4" x14ac:dyDescent="0.2">
      <c r="A989" s="672" t="str">
        <f t="shared" si="15"/>
        <v>169</v>
      </c>
      <c r="B989" s="672">
        <v>16914</v>
      </c>
      <c r="C989" s="673" t="s">
        <v>14</v>
      </c>
      <c r="D989" s="672" t="s">
        <v>15</v>
      </c>
    </row>
    <row r="990" spans="1:4" x14ac:dyDescent="0.2">
      <c r="A990" s="672" t="str">
        <f t="shared" si="15"/>
        <v>169</v>
      </c>
      <c r="B990" s="672">
        <v>16915</v>
      </c>
      <c r="C990" s="673" t="s">
        <v>10</v>
      </c>
      <c r="D990" s="672" t="s">
        <v>11</v>
      </c>
    </row>
    <row r="991" spans="1:4" x14ac:dyDescent="0.2">
      <c r="A991" s="672" t="str">
        <f t="shared" si="15"/>
        <v>169</v>
      </c>
      <c r="B991" s="672">
        <v>16917</v>
      </c>
      <c r="C991" s="673" t="s">
        <v>10</v>
      </c>
      <c r="D991" s="672" t="s">
        <v>11</v>
      </c>
    </row>
    <row r="992" spans="1:4" x14ac:dyDescent="0.2">
      <c r="A992" s="672" t="str">
        <f t="shared" si="15"/>
        <v>169</v>
      </c>
      <c r="B992" s="672">
        <v>16918</v>
      </c>
      <c r="C992" s="673" t="s">
        <v>10</v>
      </c>
      <c r="D992" s="672" t="s">
        <v>11</v>
      </c>
    </row>
    <row r="993" spans="1:4" x14ac:dyDescent="0.2">
      <c r="A993" s="672" t="str">
        <f t="shared" si="15"/>
        <v>169</v>
      </c>
      <c r="B993" s="672">
        <v>16920</v>
      </c>
      <c r="C993" s="673" t="s">
        <v>10</v>
      </c>
      <c r="D993" s="672" t="s">
        <v>11</v>
      </c>
    </row>
    <row r="994" spans="1:4" x14ac:dyDescent="0.2">
      <c r="A994" s="672" t="str">
        <f t="shared" si="15"/>
        <v>169</v>
      </c>
      <c r="B994" s="672">
        <v>16921</v>
      </c>
      <c r="C994" s="673" t="s">
        <v>10</v>
      </c>
      <c r="D994" s="672" t="s">
        <v>11</v>
      </c>
    </row>
    <row r="995" spans="1:4" x14ac:dyDescent="0.2">
      <c r="A995" s="672" t="str">
        <f t="shared" si="15"/>
        <v>169</v>
      </c>
      <c r="B995" s="672">
        <v>16922</v>
      </c>
      <c r="C995" s="673" t="s">
        <v>10</v>
      </c>
      <c r="D995" s="672" t="s">
        <v>11</v>
      </c>
    </row>
    <row r="996" spans="1:4" x14ac:dyDescent="0.2">
      <c r="A996" s="672" t="str">
        <f t="shared" si="15"/>
        <v>169</v>
      </c>
      <c r="B996" s="672">
        <v>16923</v>
      </c>
      <c r="C996" s="673" t="s">
        <v>10</v>
      </c>
      <c r="D996" s="672" t="s">
        <v>11</v>
      </c>
    </row>
    <row r="997" spans="1:4" x14ac:dyDescent="0.2">
      <c r="A997" s="672" t="str">
        <f t="shared" si="15"/>
        <v>169</v>
      </c>
      <c r="B997" s="672">
        <v>16925</v>
      </c>
      <c r="C997" s="673" t="s">
        <v>14</v>
      </c>
      <c r="D997" s="672" t="s">
        <v>15</v>
      </c>
    </row>
    <row r="998" spans="1:4" x14ac:dyDescent="0.2">
      <c r="A998" s="672" t="str">
        <f t="shared" si="15"/>
        <v>169</v>
      </c>
      <c r="B998" s="672">
        <v>16926</v>
      </c>
      <c r="C998" s="673" t="s">
        <v>14</v>
      </c>
      <c r="D998" s="672" t="s">
        <v>15</v>
      </c>
    </row>
    <row r="999" spans="1:4" x14ac:dyDescent="0.2">
      <c r="A999" s="672" t="str">
        <f t="shared" si="15"/>
        <v>169</v>
      </c>
      <c r="B999" s="672">
        <v>16927</v>
      </c>
      <c r="C999" s="673" t="s">
        <v>10</v>
      </c>
      <c r="D999" s="672" t="s">
        <v>11</v>
      </c>
    </row>
    <row r="1000" spans="1:4" x14ac:dyDescent="0.2">
      <c r="A1000" s="672" t="str">
        <f t="shared" si="15"/>
        <v>169</v>
      </c>
      <c r="B1000" s="672">
        <v>16928</v>
      </c>
      <c r="C1000" s="673" t="s">
        <v>10</v>
      </c>
      <c r="D1000" s="672" t="s">
        <v>11</v>
      </c>
    </row>
    <row r="1001" spans="1:4" x14ac:dyDescent="0.2">
      <c r="A1001" s="672" t="str">
        <f t="shared" si="15"/>
        <v>169</v>
      </c>
      <c r="B1001" s="672">
        <v>16929</v>
      </c>
      <c r="C1001" s="673" t="s">
        <v>10</v>
      </c>
      <c r="D1001" s="672" t="s">
        <v>11</v>
      </c>
    </row>
    <row r="1002" spans="1:4" x14ac:dyDescent="0.2">
      <c r="A1002" s="672" t="str">
        <f t="shared" si="15"/>
        <v>169</v>
      </c>
      <c r="B1002" s="672">
        <v>16930</v>
      </c>
      <c r="C1002" s="673" t="s">
        <v>10</v>
      </c>
      <c r="D1002" s="672" t="s">
        <v>11</v>
      </c>
    </row>
    <row r="1003" spans="1:4" x14ac:dyDescent="0.2">
      <c r="A1003" s="672" t="str">
        <f t="shared" si="15"/>
        <v>169</v>
      </c>
      <c r="B1003" s="672">
        <v>16932</v>
      </c>
      <c r="C1003" s="673" t="s">
        <v>10</v>
      </c>
      <c r="D1003" s="672" t="s">
        <v>11</v>
      </c>
    </row>
    <row r="1004" spans="1:4" x14ac:dyDescent="0.2">
      <c r="A1004" s="672" t="str">
        <f t="shared" si="15"/>
        <v>169</v>
      </c>
      <c r="B1004" s="672">
        <v>16933</v>
      </c>
      <c r="C1004" s="673" t="s">
        <v>10</v>
      </c>
      <c r="D1004" s="672" t="s">
        <v>11</v>
      </c>
    </row>
    <row r="1005" spans="1:4" x14ac:dyDescent="0.2">
      <c r="A1005" s="672" t="str">
        <f t="shared" si="15"/>
        <v>169</v>
      </c>
      <c r="B1005" s="672">
        <v>16935</v>
      </c>
      <c r="C1005" s="673" t="s">
        <v>10</v>
      </c>
      <c r="D1005" s="672" t="s">
        <v>11</v>
      </c>
    </row>
    <row r="1006" spans="1:4" x14ac:dyDescent="0.2">
      <c r="A1006" s="672" t="str">
        <f t="shared" si="15"/>
        <v>169</v>
      </c>
      <c r="B1006" s="672">
        <v>16936</v>
      </c>
      <c r="C1006" s="673" t="s">
        <v>10</v>
      </c>
      <c r="D1006" s="672" t="s">
        <v>11</v>
      </c>
    </row>
    <row r="1007" spans="1:4" x14ac:dyDescent="0.2">
      <c r="A1007" s="672" t="str">
        <f t="shared" si="15"/>
        <v>169</v>
      </c>
      <c r="B1007" s="672">
        <v>16937</v>
      </c>
      <c r="C1007" s="673" t="s">
        <v>10</v>
      </c>
      <c r="D1007" s="672" t="s">
        <v>11</v>
      </c>
    </row>
    <row r="1008" spans="1:4" x14ac:dyDescent="0.2">
      <c r="A1008" s="672" t="str">
        <f t="shared" si="15"/>
        <v>169</v>
      </c>
      <c r="B1008" s="672">
        <v>16938</v>
      </c>
      <c r="C1008" s="673" t="s">
        <v>10</v>
      </c>
      <c r="D1008" s="672" t="s">
        <v>11</v>
      </c>
    </row>
    <row r="1009" spans="1:4" x14ac:dyDescent="0.2">
      <c r="A1009" s="672" t="str">
        <f t="shared" si="15"/>
        <v>169</v>
      </c>
      <c r="B1009" s="672">
        <v>16939</v>
      </c>
      <c r="C1009" s="673" t="s">
        <v>10</v>
      </c>
      <c r="D1009" s="672" t="s">
        <v>11</v>
      </c>
    </row>
    <row r="1010" spans="1:4" x14ac:dyDescent="0.2">
      <c r="A1010" s="672" t="str">
        <f t="shared" si="15"/>
        <v>169</v>
      </c>
      <c r="B1010" s="672">
        <v>16940</v>
      </c>
      <c r="C1010" s="673" t="s">
        <v>10</v>
      </c>
      <c r="D1010" s="672" t="s">
        <v>11</v>
      </c>
    </row>
    <row r="1011" spans="1:4" x14ac:dyDescent="0.2">
      <c r="A1011" s="672" t="str">
        <f t="shared" si="15"/>
        <v>169</v>
      </c>
      <c r="B1011" s="672">
        <v>16941</v>
      </c>
      <c r="C1011" s="673" t="s">
        <v>10</v>
      </c>
      <c r="D1011" s="672" t="s">
        <v>11</v>
      </c>
    </row>
    <row r="1012" spans="1:4" x14ac:dyDescent="0.2">
      <c r="A1012" s="672" t="str">
        <f t="shared" si="15"/>
        <v>169</v>
      </c>
      <c r="B1012" s="672">
        <v>16942</v>
      </c>
      <c r="C1012" s="673" t="s">
        <v>10</v>
      </c>
      <c r="D1012" s="672" t="s">
        <v>11</v>
      </c>
    </row>
    <row r="1013" spans="1:4" x14ac:dyDescent="0.2">
      <c r="A1013" s="672" t="str">
        <f t="shared" si="15"/>
        <v>169</v>
      </c>
      <c r="B1013" s="672">
        <v>16943</v>
      </c>
      <c r="C1013" s="673" t="s">
        <v>10</v>
      </c>
      <c r="D1013" s="672" t="s">
        <v>11</v>
      </c>
    </row>
    <row r="1014" spans="1:4" x14ac:dyDescent="0.2">
      <c r="A1014" s="672" t="str">
        <f t="shared" si="15"/>
        <v>169</v>
      </c>
      <c r="B1014" s="672">
        <v>16945</v>
      </c>
      <c r="C1014" s="673" t="s">
        <v>14</v>
      </c>
      <c r="D1014" s="672" t="s">
        <v>15</v>
      </c>
    </row>
    <row r="1015" spans="1:4" x14ac:dyDescent="0.2">
      <c r="A1015" s="672" t="str">
        <f t="shared" si="15"/>
        <v>169</v>
      </c>
      <c r="B1015" s="672">
        <v>16946</v>
      </c>
      <c r="C1015" s="673" t="s">
        <v>10</v>
      </c>
      <c r="D1015" s="672" t="s">
        <v>11</v>
      </c>
    </row>
    <row r="1016" spans="1:4" x14ac:dyDescent="0.2">
      <c r="A1016" s="672" t="str">
        <f t="shared" si="15"/>
        <v>169</v>
      </c>
      <c r="B1016" s="672">
        <v>16947</v>
      </c>
      <c r="C1016" s="673" t="s">
        <v>14</v>
      </c>
      <c r="D1016" s="672" t="s">
        <v>15</v>
      </c>
    </row>
    <row r="1017" spans="1:4" x14ac:dyDescent="0.2">
      <c r="A1017" s="672" t="str">
        <f t="shared" si="15"/>
        <v>169</v>
      </c>
      <c r="B1017" s="672">
        <v>16948</v>
      </c>
      <c r="C1017" s="673" t="s">
        <v>10</v>
      </c>
      <c r="D1017" s="672" t="s">
        <v>11</v>
      </c>
    </row>
    <row r="1018" spans="1:4" x14ac:dyDescent="0.2">
      <c r="A1018" s="672" t="str">
        <f t="shared" si="15"/>
        <v>169</v>
      </c>
      <c r="B1018" s="672">
        <v>16950</v>
      </c>
      <c r="C1018" s="673" t="s">
        <v>10</v>
      </c>
      <c r="D1018" s="672" t="s">
        <v>11</v>
      </c>
    </row>
    <row r="1019" spans="1:4" x14ac:dyDescent="0.2">
      <c r="A1019" s="672" t="str">
        <f t="shared" si="15"/>
        <v>170</v>
      </c>
      <c r="B1019" s="672">
        <v>17001</v>
      </c>
      <c r="C1019" s="673" t="s">
        <v>6</v>
      </c>
      <c r="D1019" s="672" t="s">
        <v>7</v>
      </c>
    </row>
    <row r="1020" spans="1:4" x14ac:dyDescent="0.2">
      <c r="A1020" s="672" t="str">
        <f t="shared" si="15"/>
        <v>170</v>
      </c>
      <c r="B1020" s="672">
        <v>17002</v>
      </c>
      <c r="C1020" s="673" t="s">
        <v>12</v>
      </c>
      <c r="D1020" s="672" t="s">
        <v>13</v>
      </c>
    </row>
    <row r="1021" spans="1:4" x14ac:dyDescent="0.2">
      <c r="A1021" s="672" t="str">
        <f t="shared" si="15"/>
        <v>170</v>
      </c>
      <c r="B1021" s="672">
        <v>17003</v>
      </c>
      <c r="C1021" s="673" t="s">
        <v>16</v>
      </c>
      <c r="D1021" s="672" t="s">
        <v>17</v>
      </c>
    </row>
    <row r="1022" spans="1:4" x14ac:dyDescent="0.2">
      <c r="A1022" s="672" t="str">
        <f t="shared" si="15"/>
        <v>170</v>
      </c>
      <c r="B1022" s="672">
        <v>17004</v>
      </c>
      <c r="C1022" s="673" t="s">
        <v>12</v>
      </c>
      <c r="D1022" s="672" t="s">
        <v>13</v>
      </c>
    </row>
    <row r="1023" spans="1:4" x14ac:dyDescent="0.2">
      <c r="A1023" s="672" t="str">
        <f t="shared" si="15"/>
        <v>170</v>
      </c>
      <c r="B1023" s="672">
        <v>17005</v>
      </c>
      <c r="C1023" s="673" t="s">
        <v>6</v>
      </c>
      <c r="D1023" s="672" t="s">
        <v>7</v>
      </c>
    </row>
    <row r="1024" spans="1:4" x14ac:dyDescent="0.2">
      <c r="A1024" s="672" t="str">
        <f t="shared" si="15"/>
        <v>170</v>
      </c>
      <c r="B1024" s="672">
        <v>17006</v>
      </c>
      <c r="C1024" s="673" t="s">
        <v>6</v>
      </c>
      <c r="D1024" s="672" t="s">
        <v>7</v>
      </c>
    </row>
    <row r="1025" spans="1:4" x14ac:dyDescent="0.2">
      <c r="A1025" s="672" t="str">
        <f t="shared" si="15"/>
        <v>170</v>
      </c>
      <c r="B1025" s="672">
        <v>17007</v>
      </c>
      <c r="C1025" s="673" t="s">
        <v>6</v>
      </c>
      <c r="D1025" s="672" t="s">
        <v>7</v>
      </c>
    </row>
    <row r="1026" spans="1:4" x14ac:dyDescent="0.2">
      <c r="A1026" s="672" t="str">
        <f t="shared" ref="A1026:A1089" si="16">LEFT(B1026,3)</f>
        <v>170</v>
      </c>
      <c r="B1026" s="672">
        <v>17008</v>
      </c>
      <c r="C1026" s="673" t="s">
        <v>6</v>
      </c>
      <c r="D1026" s="672" t="s">
        <v>7</v>
      </c>
    </row>
    <row r="1027" spans="1:4" x14ac:dyDescent="0.2">
      <c r="A1027" s="672" t="str">
        <f t="shared" si="16"/>
        <v>170</v>
      </c>
      <c r="B1027" s="672">
        <v>17009</v>
      </c>
      <c r="C1027" s="673" t="s">
        <v>12</v>
      </c>
      <c r="D1027" s="672" t="s">
        <v>13</v>
      </c>
    </row>
    <row r="1028" spans="1:4" x14ac:dyDescent="0.2">
      <c r="A1028" s="672" t="str">
        <f t="shared" si="16"/>
        <v>170</v>
      </c>
      <c r="B1028" s="672">
        <v>17010</v>
      </c>
      <c r="C1028" s="673" t="s">
        <v>16</v>
      </c>
      <c r="D1028" s="672" t="s">
        <v>17</v>
      </c>
    </row>
    <row r="1029" spans="1:4" x14ac:dyDescent="0.2">
      <c r="A1029" s="672" t="str">
        <f t="shared" si="16"/>
        <v>170</v>
      </c>
      <c r="B1029" s="672">
        <v>17011</v>
      </c>
      <c r="C1029" s="673" t="s">
        <v>6</v>
      </c>
      <c r="D1029" s="672" t="s">
        <v>7</v>
      </c>
    </row>
    <row r="1030" spans="1:4" x14ac:dyDescent="0.2">
      <c r="A1030" s="672" t="str">
        <f t="shared" si="16"/>
        <v>170</v>
      </c>
      <c r="B1030" s="672">
        <v>17012</v>
      </c>
      <c r="C1030" s="673" t="s">
        <v>6</v>
      </c>
      <c r="D1030" s="672" t="s">
        <v>7</v>
      </c>
    </row>
    <row r="1031" spans="1:4" x14ac:dyDescent="0.2">
      <c r="A1031" s="672" t="str">
        <f t="shared" si="16"/>
        <v>170</v>
      </c>
      <c r="B1031" s="672">
        <v>17013</v>
      </c>
      <c r="C1031" s="673" t="s">
        <v>6</v>
      </c>
      <c r="D1031" s="672" t="s">
        <v>7</v>
      </c>
    </row>
    <row r="1032" spans="1:4" x14ac:dyDescent="0.2">
      <c r="A1032" s="672" t="str">
        <f t="shared" si="16"/>
        <v>170</v>
      </c>
      <c r="B1032" s="672">
        <v>17014</v>
      </c>
      <c r="C1032" s="673" t="s">
        <v>12</v>
      </c>
      <c r="D1032" s="672" t="s">
        <v>13</v>
      </c>
    </row>
    <row r="1033" spans="1:4" x14ac:dyDescent="0.2">
      <c r="A1033" s="672" t="str">
        <f t="shared" si="16"/>
        <v>170</v>
      </c>
      <c r="B1033" s="672">
        <v>17015</v>
      </c>
      <c r="C1033" s="673" t="s">
        <v>6</v>
      </c>
      <c r="D1033" s="672" t="s">
        <v>7</v>
      </c>
    </row>
    <row r="1034" spans="1:4" x14ac:dyDescent="0.2">
      <c r="A1034" s="672" t="str">
        <f t="shared" si="16"/>
        <v>170</v>
      </c>
      <c r="B1034" s="672">
        <v>17016</v>
      </c>
      <c r="C1034" s="673" t="s">
        <v>16</v>
      </c>
      <c r="D1034" s="672" t="s">
        <v>17</v>
      </c>
    </row>
    <row r="1035" spans="1:4" x14ac:dyDescent="0.2">
      <c r="A1035" s="672" t="str">
        <f t="shared" si="16"/>
        <v>170</v>
      </c>
      <c r="B1035" s="672">
        <v>17017</v>
      </c>
      <c r="C1035" s="673" t="s">
        <v>12</v>
      </c>
      <c r="D1035" s="672" t="s">
        <v>13</v>
      </c>
    </row>
    <row r="1036" spans="1:4" x14ac:dyDescent="0.2">
      <c r="A1036" s="672" t="str">
        <f t="shared" si="16"/>
        <v>170</v>
      </c>
      <c r="B1036" s="672">
        <v>17018</v>
      </c>
      <c r="C1036" s="673" t="s">
        <v>6</v>
      </c>
      <c r="D1036" s="672" t="s">
        <v>7</v>
      </c>
    </row>
    <row r="1037" spans="1:4" x14ac:dyDescent="0.2">
      <c r="A1037" s="672" t="str">
        <f t="shared" si="16"/>
        <v>170</v>
      </c>
      <c r="B1037" s="672">
        <v>17019</v>
      </c>
      <c r="C1037" s="673" t="s">
        <v>6</v>
      </c>
      <c r="D1037" s="672" t="s">
        <v>7</v>
      </c>
    </row>
    <row r="1038" spans="1:4" x14ac:dyDescent="0.2">
      <c r="A1038" s="672" t="str">
        <f t="shared" si="16"/>
        <v>170</v>
      </c>
      <c r="B1038" s="672">
        <v>17020</v>
      </c>
      <c r="C1038" s="673" t="s">
        <v>6</v>
      </c>
      <c r="D1038" s="672" t="s">
        <v>7</v>
      </c>
    </row>
    <row r="1039" spans="1:4" x14ac:dyDescent="0.2">
      <c r="A1039" s="672" t="str">
        <f t="shared" si="16"/>
        <v>170</v>
      </c>
      <c r="B1039" s="672">
        <v>17021</v>
      </c>
      <c r="C1039" s="673" t="s">
        <v>12</v>
      </c>
      <c r="D1039" s="672" t="s">
        <v>13</v>
      </c>
    </row>
    <row r="1040" spans="1:4" x14ac:dyDescent="0.2">
      <c r="A1040" s="672" t="str">
        <f t="shared" si="16"/>
        <v>170</v>
      </c>
      <c r="B1040" s="672">
        <v>17022</v>
      </c>
      <c r="C1040" s="673" t="s">
        <v>16</v>
      </c>
      <c r="D1040" s="672" t="s">
        <v>17</v>
      </c>
    </row>
    <row r="1041" spans="1:4" x14ac:dyDescent="0.2">
      <c r="A1041" s="672" t="str">
        <f t="shared" si="16"/>
        <v>170</v>
      </c>
      <c r="B1041" s="672">
        <v>17023</v>
      </c>
      <c r="C1041" s="673" t="s">
        <v>6</v>
      </c>
      <c r="D1041" s="672" t="s">
        <v>7</v>
      </c>
    </row>
    <row r="1042" spans="1:4" x14ac:dyDescent="0.2">
      <c r="A1042" s="672" t="str">
        <f t="shared" si="16"/>
        <v>170</v>
      </c>
      <c r="B1042" s="672">
        <v>17024</v>
      </c>
      <c r="C1042" s="673" t="s">
        <v>6</v>
      </c>
      <c r="D1042" s="672" t="s">
        <v>7</v>
      </c>
    </row>
    <row r="1043" spans="1:4" x14ac:dyDescent="0.2">
      <c r="A1043" s="672" t="str">
        <f t="shared" si="16"/>
        <v>170</v>
      </c>
      <c r="B1043" s="672">
        <v>17025</v>
      </c>
      <c r="C1043" s="673" t="s">
        <v>6</v>
      </c>
      <c r="D1043" s="672" t="s">
        <v>7</v>
      </c>
    </row>
    <row r="1044" spans="1:4" x14ac:dyDescent="0.2">
      <c r="A1044" s="672" t="str">
        <f t="shared" si="16"/>
        <v>170</v>
      </c>
      <c r="B1044" s="672">
        <v>17026</v>
      </c>
      <c r="C1044" s="673" t="s">
        <v>16</v>
      </c>
      <c r="D1044" s="672" t="s">
        <v>17</v>
      </c>
    </row>
    <row r="1045" spans="1:4" x14ac:dyDescent="0.2">
      <c r="A1045" s="672" t="str">
        <f t="shared" si="16"/>
        <v>170</v>
      </c>
      <c r="B1045" s="672">
        <v>17027</v>
      </c>
      <c r="C1045" s="673" t="s">
        <v>6</v>
      </c>
      <c r="D1045" s="672" t="s">
        <v>7</v>
      </c>
    </row>
    <row r="1046" spans="1:4" x14ac:dyDescent="0.2">
      <c r="A1046" s="672" t="str">
        <f t="shared" si="16"/>
        <v>170</v>
      </c>
      <c r="B1046" s="672">
        <v>17028</v>
      </c>
      <c r="C1046" s="673" t="s">
        <v>6</v>
      </c>
      <c r="D1046" s="672" t="s">
        <v>7</v>
      </c>
    </row>
    <row r="1047" spans="1:4" x14ac:dyDescent="0.2">
      <c r="A1047" s="672" t="str">
        <f t="shared" si="16"/>
        <v>170</v>
      </c>
      <c r="B1047" s="672">
        <v>17029</v>
      </c>
      <c r="C1047" s="673" t="s">
        <v>12</v>
      </c>
      <c r="D1047" s="672" t="s">
        <v>13</v>
      </c>
    </row>
    <row r="1048" spans="1:4" x14ac:dyDescent="0.2">
      <c r="A1048" s="672" t="str">
        <f t="shared" si="16"/>
        <v>170</v>
      </c>
      <c r="B1048" s="672">
        <v>17030</v>
      </c>
      <c r="C1048" s="673" t="s">
        <v>6</v>
      </c>
      <c r="D1048" s="672" t="s">
        <v>7</v>
      </c>
    </row>
    <row r="1049" spans="1:4" x14ac:dyDescent="0.2">
      <c r="A1049" s="672" t="str">
        <f t="shared" si="16"/>
        <v>170</v>
      </c>
      <c r="B1049" s="672">
        <v>17031</v>
      </c>
      <c r="C1049" s="673" t="s">
        <v>12</v>
      </c>
      <c r="D1049" s="672" t="s">
        <v>13</v>
      </c>
    </row>
    <row r="1050" spans="1:4" x14ac:dyDescent="0.2">
      <c r="A1050" s="672" t="str">
        <f t="shared" si="16"/>
        <v>170</v>
      </c>
      <c r="B1050" s="672">
        <v>17032</v>
      </c>
      <c r="C1050" s="673" t="s">
        <v>6</v>
      </c>
      <c r="D1050" s="672" t="s">
        <v>7</v>
      </c>
    </row>
    <row r="1051" spans="1:4" x14ac:dyDescent="0.2">
      <c r="A1051" s="672" t="str">
        <f t="shared" si="16"/>
        <v>170</v>
      </c>
      <c r="B1051" s="672">
        <v>17033</v>
      </c>
      <c r="C1051" s="673" t="s">
        <v>6</v>
      </c>
      <c r="D1051" s="672" t="s">
        <v>7</v>
      </c>
    </row>
    <row r="1052" spans="1:4" x14ac:dyDescent="0.2">
      <c r="A1052" s="672" t="str">
        <f t="shared" si="16"/>
        <v>170</v>
      </c>
      <c r="B1052" s="672">
        <v>17034</v>
      </c>
      <c r="C1052" s="673" t="s">
        <v>6</v>
      </c>
      <c r="D1052" s="672" t="s">
        <v>7</v>
      </c>
    </row>
    <row r="1053" spans="1:4" x14ac:dyDescent="0.2">
      <c r="A1053" s="672" t="str">
        <f t="shared" si="16"/>
        <v>170</v>
      </c>
      <c r="B1053" s="672">
        <v>17035</v>
      </c>
      <c r="C1053" s="673" t="s">
        <v>12</v>
      </c>
      <c r="D1053" s="672" t="s">
        <v>13</v>
      </c>
    </row>
    <row r="1054" spans="1:4" x14ac:dyDescent="0.2">
      <c r="A1054" s="672" t="str">
        <f t="shared" si="16"/>
        <v>170</v>
      </c>
      <c r="B1054" s="672">
        <v>17036</v>
      </c>
      <c r="C1054" s="673" t="s">
        <v>6</v>
      </c>
      <c r="D1054" s="672" t="s">
        <v>7</v>
      </c>
    </row>
    <row r="1055" spans="1:4" x14ac:dyDescent="0.2">
      <c r="A1055" s="672" t="str">
        <f t="shared" si="16"/>
        <v>170</v>
      </c>
      <c r="B1055" s="672">
        <v>17037</v>
      </c>
      <c r="C1055" s="673" t="s">
        <v>6</v>
      </c>
      <c r="D1055" s="672" t="s">
        <v>7</v>
      </c>
    </row>
    <row r="1056" spans="1:4" x14ac:dyDescent="0.2">
      <c r="A1056" s="672" t="str">
        <f t="shared" si="16"/>
        <v>170</v>
      </c>
      <c r="B1056" s="672">
        <v>17038</v>
      </c>
      <c r="C1056" s="673" t="s">
        <v>16</v>
      </c>
      <c r="D1056" s="672" t="s">
        <v>17</v>
      </c>
    </row>
    <row r="1057" spans="1:4" x14ac:dyDescent="0.2">
      <c r="A1057" s="672" t="str">
        <f t="shared" si="16"/>
        <v>170</v>
      </c>
      <c r="B1057" s="672">
        <v>17039</v>
      </c>
      <c r="C1057" s="673" t="s">
        <v>16</v>
      </c>
      <c r="D1057" s="672" t="s">
        <v>17</v>
      </c>
    </row>
    <row r="1058" spans="1:4" x14ac:dyDescent="0.2">
      <c r="A1058" s="672" t="str">
        <f t="shared" si="16"/>
        <v>170</v>
      </c>
      <c r="B1058" s="672">
        <v>17040</v>
      </c>
      <c r="C1058" s="673" t="s">
        <v>6</v>
      </c>
      <c r="D1058" s="672" t="s">
        <v>7</v>
      </c>
    </row>
    <row r="1059" spans="1:4" x14ac:dyDescent="0.2">
      <c r="A1059" s="672" t="str">
        <f t="shared" si="16"/>
        <v>170</v>
      </c>
      <c r="B1059" s="672">
        <v>17041</v>
      </c>
      <c r="C1059" s="673" t="s">
        <v>16</v>
      </c>
      <c r="D1059" s="672" t="s">
        <v>17</v>
      </c>
    </row>
    <row r="1060" spans="1:4" x14ac:dyDescent="0.2">
      <c r="A1060" s="672" t="str">
        <f t="shared" si="16"/>
        <v>170</v>
      </c>
      <c r="B1060" s="672">
        <v>17042</v>
      </c>
      <c r="C1060" s="673" t="s">
        <v>16</v>
      </c>
      <c r="D1060" s="672" t="s">
        <v>17</v>
      </c>
    </row>
    <row r="1061" spans="1:4" x14ac:dyDescent="0.2">
      <c r="A1061" s="672" t="str">
        <f t="shared" si="16"/>
        <v>170</v>
      </c>
      <c r="B1061" s="672">
        <v>17043</v>
      </c>
      <c r="C1061" s="673" t="s">
        <v>6</v>
      </c>
      <c r="D1061" s="672" t="s">
        <v>7</v>
      </c>
    </row>
    <row r="1062" spans="1:4" x14ac:dyDescent="0.2">
      <c r="A1062" s="672" t="str">
        <f t="shared" si="16"/>
        <v>170</v>
      </c>
      <c r="B1062" s="672">
        <v>17044</v>
      </c>
      <c r="C1062" s="673" t="s">
        <v>12</v>
      </c>
      <c r="D1062" s="672" t="s">
        <v>13</v>
      </c>
    </row>
    <row r="1063" spans="1:4" x14ac:dyDescent="0.2">
      <c r="A1063" s="672" t="str">
        <f t="shared" si="16"/>
        <v>170</v>
      </c>
      <c r="B1063" s="672">
        <v>17045</v>
      </c>
      <c r="C1063" s="673" t="s">
        <v>6</v>
      </c>
      <c r="D1063" s="672" t="s">
        <v>7</v>
      </c>
    </row>
    <row r="1064" spans="1:4" x14ac:dyDescent="0.2">
      <c r="A1064" s="672" t="str">
        <f t="shared" si="16"/>
        <v>170</v>
      </c>
      <c r="B1064" s="672">
        <v>17046</v>
      </c>
      <c r="C1064" s="673" t="s">
        <v>16</v>
      </c>
      <c r="D1064" s="672" t="s">
        <v>17</v>
      </c>
    </row>
    <row r="1065" spans="1:4" x14ac:dyDescent="0.2">
      <c r="A1065" s="672" t="str">
        <f t="shared" si="16"/>
        <v>170</v>
      </c>
      <c r="B1065" s="672">
        <v>17047</v>
      </c>
      <c r="C1065" s="673" t="s">
        <v>6</v>
      </c>
      <c r="D1065" s="672" t="s">
        <v>7</v>
      </c>
    </row>
    <row r="1066" spans="1:4" x14ac:dyDescent="0.2">
      <c r="A1066" s="672" t="str">
        <f t="shared" si="16"/>
        <v>170</v>
      </c>
      <c r="B1066" s="672">
        <v>17048</v>
      </c>
      <c r="C1066" s="673" t="s">
        <v>6</v>
      </c>
      <c r="D1066" s="672" t="s">
        <v>7</v>
      </c>
    </row>
    <row r="1067" spans="1:4" x14ac:dyDescent="0.2">
      <c r="A1067" s="672" t="str">
        <f t="shared" si="16"/>
        <v>170</v>
      </c>
      <c r="B1067" s="672">
        <v>17049</v>
      </c>
      <c r="C1067" s="673" t="s">
        <v>12</v>
      </c>
      <c r="D1067" s="672" t="s">
        <v>13</v>
      </c>
    </row>
    <row r="1068" spans="1:4" x14ac:dyDescent="0.2">
      <c r="A1068" s="672" t="str">
        <f t="shared" si="16"/>
        <v>170</v>
      </c>
      <c r="B1068" s="672">
        <v>17050</v>
      </c>
      <c r="C1068" s="673" t="s">
        <v>6</v>
      </c>
      <c r="D1068" s="672" t="s">
        <v>7</v>
      </c>
    </row>
    <row r="1069" spans="1:4" x14ac:dyDescent="0.2">
      <c r="A1069" s="672" t="str">
        <f t="shared" si="16"/>
        <v>170</v>
      </c>
      <c r="B1069" s="672">
        <v>17051</v>
      </c>
      <c r="C1069" s="673" t="s">
        <v>12</v>
      </c>
      <c r="D1069" s="672" t="s">
        <v>13</v>
      </c>
    </row>
    <row r="1070" spans="1:4" x14ac:dyDescent="0.2">
      <c r="A1070" s="672" t="str">
        <f t="shared" si="16"/>
        <v>170</v>
      </c>
      <c r="B1070" s="672">
        <v>17052</v>
      </c>
      <c r="C1070" s="673" t="s">
        <v>12</v>
      </c>
      <c r="D1070" s="672" t="s">
        <v>13</v>
      </c>
    </row>
    <row r="1071" spans="1:4" x14ac:dyDescent="0.2">
      <c r="A1071" s="672" t="str">
        <f t="shared" si="16"/>
        <v>170</v>
      </c>
      <c r="B1071" s="672">
        <v>17053</v>
      </c>
      <c r="C1071" s="673" t="s">
        <v>6</v>
      </c>
      <c r="D1071" s="672" t="s">
        <v>7</v>
      </c>
    </row>
    <row r="1072" spans="1:4" x14ac:dyDescent="0.2">
      <c r="A1072" s="672" t="str">
        <f t="shared" si="16"/>
        <v>170</v>
      </c>
      <c r="B1072" s="672">
        <v>17054</v>
      </c>
      <c r="C1072" s="673" t="s">
        <v>12</v>
      </c>
      <c r="D1072" s="672" t="s">
        <v>13</v>
      </c>
    </row>
    <row r="1073" spans="1:4" x14ac:dyDescent="0.2">
      <c r="A1073" s="672" t="str">
        <f t="shared" si="16"/>
        <v>170</v>
      </c>
      <c r="B1073" s="672">
        <v>17055</v>
      </c>
      <c r="C1073" s="673" t="s">
        <v>6</v>
      </c>
      <c r="D1073" s="672" t="s">
        <v>7</v>
      </c>
    </row>
    <row r="1074" spans="1:4" x14ac:dyDescent="0.2">
      <c r="A1074" s="672" t="str">
        <f t="shared" si="16"/>
        <v>170</v>
      </c>
      <c r="B1074" s="672">
        <v>17056</v>
      </c>
      <c r="C1074" s="673" t="s">
        <v>12</v>
      </c>
      <c r="D1074" s="672" t="s">
        <v>13</v>
      </c>
    </row>
    <row r="1075" spans="1:4" x14ac:dyDescent="0.2">
      <c r="A1075" s="672" t="str">
        <f t="shared" si="16"/>
        <v>170</v>
      </c>
      <c r="B1075" s="672">
        <v>17057</v>
      </c>
      <c r="C1075" s="673" t="s">
        <v>6</v>
      </c>
      <c r="D1075" s="672" t="s">
        <v>7</v>
      </c>
    </row>
    <row r="1076" spans="1:4" x14ac:dyDescent="0.2">
      <c r="A1076" s="672" t="str">
        <f t="shared" si="16"/>
        <v>170</v>
      </c>
      <c r="B1076" s="672">
        <v>17058</v>
      </c>
      <c r="C1076" s="673" t="s">
        <v>12</v>
      </c>
      <c r="D1076" s="672" t="s">
        <v>13</v>
      </c>
    </row>
    <row r="1077" spans="1:4" x14ac:dyDescent="0.2">
      <c r="A1077" s="672" t="str">
        <f t="shared" si="16"/>
        <v>170</v>
      </c>
      <c r="B1077" s="672">
        <v>17059</v>
      </c>
      <c r="C1077" s="673" t="s">
        <v>12</v>
      </c>
      <c r="D1077" s="672" t="s">
        <v>13</v>
      </c>
    </row>
    <row r="1078" spans="1:4" x14ac:dyDescent="0.2">
      <c r="A1078" s="672" t="str">
        <f t="shared" si="16"/>
        <v>170</v>
      </c>
      <c r="B1078" s="672">
        <v>17060</v>
      </c>
      <c r="C1078" s="673" t="s">
        <v>12</v>
      </c>
      <c r="D1078" s="672" t="s">
        <v>13</v>
      </c>
    </row>
    <row r="1079" spans="1:4" x14ac:dyDescent="0.2">
      <c r="A1079" s="672" t="str">
        <f t="shared" si="16"/>
        <v>170</v>
      </c>
      <c r="B1079" s="672">
        <v>17061</v>
      </c>
      <c r="C1079" s="673" t="s">
        <v>6</v>
      </c>
      <c r="D1079" s="672" t="s">
        <v>7</v>
      </c>
    </row>
    <row r="1080" spans="1:4" x14ac:dyDescent="0.2">
      <c r="A1080" s="672" t="str">
        <f t="shared" si="16"/>
        <v>170</v>
      </c>
      <c r="B1080" s="672">
        <v>17062</v>
      </c>
      <c r="C1080" s="673" t="s">
        <v>6</v>
      </c>
      <c r="D1080" s="672" t="s">
        <v>7</v>
      </c>
    </row>
    <row r="1081" spans="1:4" x14ac:dyDescent="0.2">
      <c r="A1081" s="672" t="str">
        <f t="shared" si="16"/>
        <v>170</v>
      </c>
      <c r="B1081" s="672">
        <v>17063</v>
      </c>
      <c r="C1081" s="673" t="s">
        <v>12</v>
      </c>
      <c r="D1081" s="672" t="s">
        <v>13</v>
      </c>
    </row>
    <row r="1082" spans="1:4" x14ac:dyDescent="0.2">
      <c r="A1082" s="672" t="str">
        <f t="shared" si="16"/>
        <v>170</v>
      </c>
      <c r="B1082" s="672">
        <v>17064</v>
      </c>
      <c r="C1082" s="673" t="s">
        <v>16</v>
      </c>
      <c r="D1082" s="672" t="s">
        <v>17</v>
      </c>
    </row>
    <row r="1083" spans="1:4" x14ac:dyDescent="0.2">
      <c r="A1083" s="672" t="str">
        <f t="shared" si="16"/>
        <v>170</v>
      </c>
      <c r="B1083" s="672">
        <v>17065</v>
      </c>
      <c r="C1083" s="673" t="s">
        <v>6</v>
      </c>
      <c r="D1083" s="672" t="s">
        <v>7</v>
      </c>
    </row>
    <row r="1084" spans="1:4" x14ac:dyDescent="0.2">
      <c r="A1084" s="672" t="str">
        <f t="shared" si="16"/>
        <v>170</v>
      </c>
      <c r="B1084" s="672">
        <v>17066</v>
      </c>
      <c r="C1084" s="673" t="s">
        <v>12</v>
      </c>
      <c r="D1084" s="672" t="s">
        <v>13</v>
      </c>
    </row>
    <row r="1085" spans="1:4" x14ac:dyDescent="0.2">
      <c r="A1085" s="672" t="str">
        <f t="shared" si="16"/>
        <v>170</v>
      </c>
      <c r="B1085" s="672">
        <v>17067</v>
      </c>
      <c r="C1085" s="673" t="s">
        <v>16</v>
      </c>
      <c r="D1085" s="672" t="s">
        <v>17</v>
      </c>
    </row>
    <row r="1086" spans="1:4" x14ac:dyDescent="0.2">
      <c r="A1086" s="672" t="str">
        <f t="shared" si="16"/>
        <v>170</v>
      </c>
      <c r="B1086" s="672">
        <v>17068</v>
      </c>
      <c r="C1086" s="673" t="s">
        <v>6</v>
      </c>
      <c r="D1086" s="672" t="s">
        <v>7</v>
      </c>
    </row>
    <row r="1087" spans="1:4" x14ac:dyDescent="0.2">
      <c r="A1087" s="672" t="str">
        <f t="shared" si="16"/>
        <v>170</v>
      </c>
      <c r="B1087" s="672">
        <v>17069</v>
      </c>
      <c r="C1087" s="673" t="s">
        <v>6</v>
      </c>
      <c r="D1087" s="672" t="s">
        <v>7</v>
      </c>
    </row>
    <row r="1088" spans="1:4" x14ac:dyDescent="0.2">
      <c r="A1088" s="672" t="str">
        <f t="shared" si="16"/>
        <v>170</v>
      </c>
      <c r="B1088" s="672">
        <v>17070</v>
      </c>
      <c r="C1088" s="673" t="s">
        <v>6</v>
      </c>
      <c r="D1088" s="672" t="s">
        <v>7</v>
      </c>
    </row>
    <row r="1089" spans="1:4" x14ac:dyDescent="0.2">
      <c r="A1089" s="672" t="str">
        <f t="shared" si="16"/>
        <v>170</v>
      </c>
      <c r="B1089" s="672">
        <v>17071</v>
      </c>
      <c r="C1089" s="673" t="s">
        <v>6</v>
      </c>
      <c r="D1089" s="672" t="s">
        <v>7</v>
      </c>
    </row>
    <row r="1090" spans="1:4" x14ac:dyDescent="0.2">
      <c r="A1090" s="672" t="str">
        <f t="shared" ref="A1090:A1153" si="17">LEFT(B1090,3)</f>
        <v>170</v>
      </c>
      <c r="B1090" s="672">
        <v>17072</v>
      </c>
      <c r="C1090" s="673" t="s">
        <v>6</v>
      </c>
      <c r="D1090" s="672" t="s">
        <v>7</v>
      </c>
    </row>
    <row r="1091" spans="1:4" x14ac:dyDescent="0.2">
      <c r="A1091" s="672" t="str">
        <f t="shared" si="17"/>
        <v>170</v>
      </c>
      <c r="B1091" s="672">
        <v>17073</v>
      </c>
      <c r="C1091" s="673" t="s">
        <v>16</v>
      </c>
      <c r="D1091" s="672" t="s">
        <v>17</v>
      </c>
    </row>
    <row r="1092" spans="1:4" x14ac:dyDescent="0.2">
      <c r="A1092" s="672" t="str">
        <f t="shared" si="17"/>
        <v>170</v>
      </c>
      <c r="B1092" s="672">
        <v>17074</v>
      </c>
      <c r="C1092" s="673" t="s">
        <v>6</v>
      </c>
      <c r="D1092" s="672" t="s">
        <v>7</v>
      </c>
    </row>
    <row r="1093" spans="1:4" x14ac:dyDescent="0.2">
      <c r="A1093" s="672" t="str">
        <f t="shared" si="17"/>
        <v>170</v>
      </c>
      <c r="B1093" s="672">
        <v>17075</v>
      </c>
      <c r="C1093" s="673" t="s">
        <v>12</v>
      </c>
      <c r="D1093" s="672" t="s">
        <v>13</v>
      </c>
    </row>
    <row r="1094" spans="1:4" x14ac:dyDescent="0.2">
      <c r="A1094" s="672" t="str">
        <f t="shared" si="17"/>
        <v>170</v>
      </c>
      <c r="B1094" s="672">
        <v>17076</v>
      </c>
      <c r="C1094" s="673" t="s">
        <v>12</v>
      </c>
      <c r="D1094" s="672" t="s">
        <v>13</v>
      </c>
    </row>
    <row r="1095" spans="1:4" x14ac:dyDescent="0.2">
      <c r="A1095" s="672" t="str">
        <f t="shared" si="17"/>
        <v>170</v>
      </c>
      <c r="B1095" s="672">
        <v>17077</v>
      </c>
      <c r="C1095" s="673" t="s">
        <v>16</v>
      </c>
      <c r="D1095" s="672" t="s">
        <v>17</v>
      </c>
    </row>
    <row r="1096" spans="1:4" x14ac:dyDescent="0.2">
      <c r="A1096" s="672" t="str">
        <f t="shared" si="17"/>
        <v>170</v>
      </c>
      <c r="B1096" s="672">
        <v>17078</v>
      </c>
      <c r="C1096" s="673" t="s">
        <v>16</v>
      </c>
      <c r="D1096" s="672" t="s">
        <v>17</v>
      </c>
    </row>
    <row r="1097" spans="1:4" x14ac:dyDescent="0.2">
      <c r="A1097" s="672" t="str">
        <f t="shared" si="17"/>
        <v>170</v>
      </c>
      <c r="B1097" s="672">
        <v>17080</v>
      </c>
      <c r="C1097" s="673" t="s">
        <v>6</v>
      </c>
      <c r="D1097" s="672" t="s">
        <v>7</v>
      </c>
    </row>
    <row r="1098" spans="1:4" x14ac:dyDescent="0.2">
      <c r="A1098" s="672" t="str">
        <f t="shared" si="17"/>
        <v>170</v>
      </c>
      <c r="B1098" s="672">
        <v>17081</v>
      </c>
      <c r="C1098" s="673" t="s">
        <v>6</v>
      </c>
      <c r="D1098" s="672" t="s">
        <v>7</v>
      </c>
    </row>
    <row r="1099" spans="1:4" x14ac:dyDescent="0.2">
      <c r="A1099" s="672" t="str">
        <f t="shared" si="17"/>
        <v>170</v>
      </c>
      <c r="B1099" s="672">
        <v>17082</v>
      </c>
      <c r="C1099" s="673" t="s">
        <v>12</v>
      </c>
      <c r="D1099" s="672" t="s">
        <v>13</v>
      </c>
    </row>
    <row r="1100" spans="1:4" x14ac:dyDescent="0.2">
      <c r="A1100" s="672" t="str">
        <f t="shared" si="17"/>
        <v>170</v>
      </c>
      <c r="B1100" s="672">
        <v>17083</v>
      </c>
      <c r="C1100" s="673" t="s">
        <v>16</v>
      </c>
      <c r="D1100" s="672" t="s">
        <v>17</v>
      </c>
    </row>
    <row r="1101" spans="1:4" x14ac:dyDescent="0.2">
      <c r="A1101" s="672" t="str">
        <f t="shared" si="17"/>
        <v>170</v>
      </c>
      <c r="B1101" s="672">
        <v>17084</v>
      </c>
      <c r="C1101" s="673" t="s">
        <v>12</v>
      </c>
      <c r="D1101" s="672" t="s">
        <v>13</v>
      </c>
    </row>
    <row r="1102" spans="1:4" x14ac:dyDescent="0.2">
      <c r="A1102" s="672" t="str">
        <f t="shared" si="17"/>
        <v>170</v>
      </c>
      <c r="B1102" s="672">
        <v>17085</v>
      </c>
      <c r="C1102" s="673" t="s">
        <v>16</v>
      </c>
      <c r="D1102" s="672" t="s">
        <v>17</v>
      </c>
    </row>
    <row r="1103" spans="1:4" x14ac:dyDescent="0.2">
      <c r="A1103" s="672" t="str">
        <f t="shared" si="17"/>
        <v>170</v>
      </c>
      <c r="B1103" s="672">
        <v>17086</v>
      </c>
      <c r="C1103" s="673" t="s">
        <v>12</v>
      </c>
      <c r="D1103" s="672" t="s">
        <v>13</v>
      </c>
    </row>
    <row r="1104" spans="1:4" x14ac:dyDescent="0.2">
      <c r="A1104" s="672" t="str">
        <f t="shared" si="17"/>
        <v>170</v>
      </c>
      <c r="B1104" s="672">
        <v>17087</v>
      </c>
      <c r="C1104" s="673" t="s">
        <v>16</v>
      </c>
      <c r="D1104" s="672" t="s">
        <v>17</v>
      </c>
    </row>
    <row r="1105" spans="1:4" x14ac:dyDescent="0.2">
      <c r="A1105" s="672" t="str">
        <f t="shared" si="17"/>
        <v>170</v>
      </c>
      <c r="B1105" s="672">
        <v>17088</v>
      </c>
      <c r="C1105" s="673" t="s">
        <v>16</v>
      </c>
      <c r="D1105" s="672" t="s">
        <v>17</v>
      </c>
    </row>
    <row r="1106" spans="1:4" x14ac:dyDescent="0.2">
      <c r="A1106" s="672" t="str">
        <f t="shared" si="17"/>
        <v>170</v>
      </c>
      <c r="B1106" s="672">
        <v>17089</v>
      </c>
      <c r="C1106" s="673" t="s">
        <v>6</v>
      </c>
      <c r="D1106" s="672" t="s">
        <v>7</v>
      </c>
    </row>
    <row r="1107" spans="1:4" x14ac:dyDescent="0.2">
      <c r="A1107" s="672" t="str">
        <f t="shared" si="17"/>
        <v>170</v>
      </c>
      <c r="B1107" s="672">
        <v>17090</v>
      </c>
      <c r="C1107" s="673" t="s">
        <v>6</v>
      </c>
      <c r="D1107" s="672" t="s">
        <v>7</v>
      </c>
    </row>
    <row r="1108" spans="1:4" x14ac:dyDescent="0.2">
      <c r="A1108" s="672" t="str">
        <f t="shared" si="17"/>
        <v>170</v>
      </c>
      <c r="B1108" s="672">
        <v>17091</v>
      </c>
      <c r="C1108" s="673" t="s">
        <v>16</v>
      </c>
      <c r="D1108" s="672" t="s">
        <v>17</v>
      </c>
    </row>
    <row r="1109" spans="1:4" x14ac:dyDescent="0.2">
      <c r="A1109" s="672" t="str">
        <f t="shared" si="17"/>
        <v>170</v>
      </c>
      <c r="B1109" s="672">
        <v>17093</v>
      </c>
      <c r="C1109" s="673" t="s">
        <v>6</v>
      </c>
      <c r="D1109" s="672" t="s">
        <v>7</v>
      </c>
    </row>
    <row r="1110" spans="1:4" x14ac:dyDescent="0.2">
      <c r="A1110" s="672" t="str">
        <f t="shared" si="17"/>
        <v>170</v>
      </c>
      <c r="B1110" s="672">
        <v>17094</v>
      </c>
      <c r="C1110" s="673" t="s">
        <v>12</v>
      </c>
      <c r="D1110" s="672" t="s">
        <v>13</v>
      </c>
    </row>
    <row r="1111" spans="1:4" x14ac:dyDescent="0.2">
      <c r="A1111" s="672" t="str">
        <f t="shared" si="17"/>
        <v>170</v>
      </c>
      <c r="B1111" s="672">
        <v>17097</v>
      </c>
      <c r="C1111" s="673" t="s">
        <v>6</v>
      </c>
      <c r="D1111" s="672" t="s">
        <v>7</v>
      </c>
    </row>
    <row r="1112" spans="1:4" x14ac:dyDescent="0.2">
      <c r="A1112" s="672" t="str">
        <f t="shared" si="17"/>
        <v>170</v>
      </c>
      <c r="B1112" s="672">
        <v>17098</v>
      </c>
      <c r="C1112" s="673" t="s">
        <v>6</v>
      </c>
      <c r="D1112" s="672" t="s">
        <v>7</v>
      </c>
    </row>
    <row r="1113" spans="1:4" x14ac:dyDescent="0.2">
      <c r="A1113" s="672" t="str">
        <f t="shared" si="17"/>
        <v>170</v>
      </c>
      <c r="B1113" s="672">
        <v>17099</v>
      </c>
      <c r="C1113" s="673" t="s">
        <v>12</v>
      </c>
      <c r="D1113" s="672" t="s">
        <v>13</v>
      </c>
    </row>
    <row r="1114" spans="1:4" x14ac:dyDescent="0.2">
      <c r="A1114" s="672" t="str">
        <f t="shared" si="17"/>
        <v>171</v>
      </c>
      <c r="B1114" s="672">
        <v>17101</v>
      </c>
      <c r="C1114" s="673" t="s">
        <v>6</v>
      </c>
      <c r="D1114" s="672" t="s">
        <v>7</v>
      </c>
    </row>
    <row r="1115" spans="1:4" x14ac:dyDescent="0.2">
      <c r="A1115" s="672" t="str">
        <f t="shared" si="17"/>
        <v>171</v>
      </c>
      <c r="B1115" s="672">
        <v>17102</v>
      </c>
      <c r="C1115" s="673" t="s">
        <v>6</v>
      </c>
      <c r="D1115" s="672" t="s">
        <v>7</v>
      </c>
    </row>
    <row r="1116" spans="1:4" x14ac:dyDescent="0.2">
      <c r="A1116" s="672" t="str">
        <f t="shared" si="17"/>
        <v>171</v>
      </c>
      <c r="B1116" s="672">
        <v>17103</v>
      </c>
      <c r="C1116" s="673" t="s">
        <v>6</v>
      </c>
      <c r="D1116" s="672" t="s">
        <v>7</v>
      </c>
    </row>
    <row r="1117" spans="1:4" x14ac:dyDescent="0.2">
      <c r="A1117" s="672" t="str">
        <f t="shared" si="17"/>
        <v>171</v>
      </c>
      <c r="B1117" s="672">
        <v>17104</v>
      </c>
      <c r="C1117" s="673" t="s">
        <v>6</v>
      </c>
      <c r="D1117" s="672" t="s">
        <v>7</v>
      </c>
    </row>
    <row r="1118" spans="1:4" x14ac:dyDescent="0.2">
      <c r="A1118" s="672" t="str">
        <f t="shared" si="17"/>
        <v>171</v>
      </c>
      <c r="B1118" s="672">
        <v>17105</v>
      </c>
      <c r="C1118" s="673" t="s">
        <v>6</v>
      </c>
      <c r="D1118" s="672" t="s">
        <v>7</v>
      </c>
    </row>
    <row r="1119" spans="1:4" x14ac:dyDescent="0.2">
      <c r="A1119" s="672" t="str">
        <f t="shared" si="17"/>
        <v>171</v>
      </c>
      <c r="B1119" s="672">
        <v>17106</v>
      </c>
      <c r="C1119" s="673" t="s">
        <v>6</v>
      </c>
      <c r="D1119" s="672" t="s">
        <v>7</v>
      </c>
    </row>
    <row r="1120" spans="1:4" x14ac:dyDescent="0.2">
      <c r="A1120" s="672" t="str">
        <f t="shared" si="17"/>
        <v>171</v>
      </c>
      <c r="B1120" s="672">
        <v>17107</v>
      </c>
      <c r="C1120" s="673" t="s">
        <v>6</v>
      </c>
      <c r="D1120" s="672" t="s">
        <v>7</v>
      </c>
    </row>
    <row r="1121" spans="1:4" x14ac:dyDescent="0.2">
      <c r="A1121" s="672" t="str">
        <f t="shared" si="17"/>
        <v>171</v>
      </c>
      <c r="B1121" s="672">
        <v>17108</v>
      </c>
      <c r="C1121" s="673" t="s">
        <v>6</v>
      </c>
      <c r="D1121" s="672" t="s">
        <v>7</v>
      </c>
    </row>
    <row r="1122" spans="1:4" x14ac:dyDescent="0.2">
      <c r="A1122" s="672" t="str">
        <f t="shared" si="17"/>
        <v>171</v>
      </c>
      <c r="B1122" s="672">
        <v>17109</v>
      </c>
      <c r="C1122" s="673" t="s">
        <v>6</v>
      </c>
      <c r="D1122" s="672" t="s">
        <v>7</v>
      </c>
    </row>
    <row r="1123" spans="1:4" x14ac:dyDescent="0.2">
      <c r="A1123" s="672" t="str">
        <f t="shared" si="17"/>
        <v>171</v>
      </c>
      <c r="B1123" s="672">
        <v>17110</v>
      </c>
      <c r="C1123" s="673" t="s">
        <v>6</v>
      </c>
      <c r="D1123" s="672" t="s">
        <v>7</v>
      </c>
    </row>
    <row r="1124" spans="1:4" x14ac:dyDescent="0.2">
      <c r="A1124" s="672" t="str">
        <f t="shared" si="17"/>
        <v>171</v>
      </c>
      <c r="B1124" s="672">
        <v>17111</v>
      </c>
      <c r="C1124" s="673" t="s">
        <v>6</v>
      </c>
      <c r="D1124" s="672" t="s">
        <v>7</v>
      </c>
    </row>
    <row r="1125" spans="1:4" x14ac:dyDescent="0.2">
      <c r="A1125" s="672" t="str">
        <f t="shared" si="17"/>
        <v>171</v>
      </c>
      <c r="B1125" s="672">
        <v>17112</v>
      </c>
      <c r="C1125" s="673" t="s">
        <v>6</v>
      </c>
      <c r="D1125" s="672" t="s">
        <v>7</v>
      </c>
    </row>
    <row r="1126" spans="1:4" x14ac:dyDescent="0.2">
      <c r="A1126" s="672" t="str">
        <f t="shared" si="17"/>
        <v>171</v>
      </c>
      <c r="B1126" s="672">
        <v>17113</v>
      </c>
      <c r="C1126" s="673" t="s">
        <v>6</v>
      </c>
      <c r="D1126" s="672" t="s">
        <v>7</v>
      </c>
    </row>
    <row r="1127" spans="1:4" x14ac:dyDescent="0.2">
      <c r="A1127" s="672" t="str">
        <f t="shared" si="17"/>
        <v>171</v>
      </c>
      <c r="B1127" s="672">
        <v>17120</v>
      </c>
      <c r="C1127" s="673" t="s">
        <v>6</v>
      </c>
      <c r="D1127" s="672" t="s">
        <v>7</v>
      </c>
    </row>
    <row r="1128" spans="1:4" x14ac:dyDescent="0.2">
      <c r="A1128" s="672" t="str">
        <f t="shared" si="17"/>
        <v>171</v>
      </c>
      <c r="B1128" s="672">
        <v>17121</v>
      </c>
      <c r="C1128" s="673" t="s">
        <v>6</v>
      </c>
      <c r="D1128" s="672" t="s">
        <v>7</v>
      </c>
    </row>
    <row r="1129" spans="1:4" x14ac:dyDescent="0.2">
      <c r="A1129" s="672" t="str">
        <f t="shared" si="17"/>
        <v>171</v>
      </c>
      <c r="B1129" s="672">
        <v>17122</v>
      </c>
      <c r="C1129" s="673" t="s">
        <v>6</v>
      </c>
      <c r="D1129" s="672" t="s">
        <v>7</v>
      </c>
    </row>
    <row r="1130" spans="1:4" x14ac:dyDescent="0.2">
      <c r="A1130" s="672" t="str">
        <f t="shared" si="17"/>
        <v>171</v>
      </c>
      <c r="B1130" s="672">
        <v>17123</v>
      </c>
      <c r="C1130" s="673" t="s">
        <v>6</v>
      </c>
      <c r="D1130" s="672" t="s">
        <v>7</v>
      </c>
    </row>
    <row r="1131" spans="1:4" x14ac:dyDescent="0.2">
      <c r="A1131" s="672" t="str">
        <f t="shared" si="17"/>
        <v>171</v>
      </c>
      <c r="B1131" s="672">
        <v>17124</v>
      </c>
      <c r="C1131" s="673" t="s">
        <v>6</v>
      </c>
      <c r="D1131" s="672" t="s">
        <v>7</v>
      </c>
    </row>
    <row r="1132" spans="1:4" x14ac:dyDescent="0.2">
      <c r="A1132" s="672" t="str">
        <f t="shared" si="17"/>
        <v>171</v>
      </c>
      <c r="B1132" s="672">
        <v>17125</v>
      </c>
      <c r="C1132" s="673" t="s">
        <v>6</v>
      </c>
      <c r="D1132" s="672" t="s">
        <v>7</v>
      </c>
    </row>
    <row r="1133" spans="1:4" x14ac:dyDescent="0.2">
      <c r="A1133" s="672" t="str">
        <f t="shared" si="17"/>
        <v>171</v>
      </c>
      <c r="B1133" s="672">
        <v>17126</v>
      </c>
      <c r="C1133" s="673" t="s">
        <v>6</v>
      </c>
      <c r="D1133" s="672" t="s">
        <v>7</v>
      </c>
    </row>
    <row r="1134" spans="1:4" x14ac:dyDescent="0.2">
      <c r="A1134" s="672" t="str">
        <f t="shared" si="17"/>
        <v>171</v>
      </c>
      <c r="B1134" s="672">
        <v>17127</v>
      </c>
      <c r="C1134" s="673" t="s">
        <v>6</v>
      </c>
      <c r="D1134" s="672" t="s">
        <v>7</v>
      </c>
    </row>
    <row r="1135" spans="1:4" x14ac:dyDescent="0.2">
      <c r="A1135" s="672" t="str">
        <f t="shared" si="17"/>
        <v>171</v>
      </c>
      <c r="B1135" s="672">
        <v>17128</v>
      </c>
      <c r="C1135" s="673" t="s">
        <v>6</v>
      </c>
      <c r="D1135" s="672" t="s">
        <v>7</v>
      </c>
    </row>
    <row r="1136" spans="1:4" x14ac:dyDescent="0.2">
      <c r="A1136" s="672" t="str">
        <f t="shared" si="17"/>
        <v>171</v>
      </c>
      <c r="B1136" s="672">
        <v>17129</v>
      </c>
      <c r="C1136" s="673" t="s">
        <v>6</v>
      </c>
      <c r="D1136" s="672" t="s">
        <v>7</v>
      </c>
    </row>
    <row r="1137" spans="1:4" x14ac:dyDescent="0.2">
      <c r="A1137" s="672" t="str">
        <f t="shared" si="17"/>
        <v>171</v>
      </c>
      <c r="B1137" s="672">
        <v>17130</v>
      </c>
      <c r="C1137" s="673" t="s">
        <v>6</v>
      </c>
      <c r="D1137" s="672" t="s">
        <v>7</v>
      </c>
    </row>
    <row r="1138" spans="1:4" x14ac:dyDescent="0.2">
      <c r="A1138" s="672" t="str">
        <f t="shared" si="17"/>
        <v>171</v>
      </c>
      <c r="B1138" s="672">
        <v>17140</v>
      </c>
      <c r="C1138" s="673" t="s">
        <v>6</v>
      </c>
      <c r="D1138" s="672" t="s">
        <v>7</v>
      </c>
    </row>
    <row r="1139" spans="1:4" x14ac:dyDescent="0.2">
      <c r="A1139" s="672" t="str">
        <f t="shared" si="17"/>
        <v>171</v>
      </c>
      <c r="B1139" s="672">
        <v>17177</v>
      </c>
      <c r="C1139" s="673" t="s">
        <v>6</v>
      </c>
      <c r="D1139" s="672" t="s">
        <v>7</v>
      </c>
    </row>
    <row r="1140" spans="1:4" x14ac:dyDescent="0.2">
      <c r="A1140" s="672" t="str">
        <f t="shared" si="17"/>
        <v>172</v>
      </c>
      <c r="B1140" s="672">
        <v>17201</v>
      </c>
      <c r="C1140" s="673" t="s">
        <v>6</v>
      </c>
      <c r="D1140" s="672" t="s">
        <v>7</v>
      </c>
    </row>
    <row r="1141" spans="1:4" x14ac:dyDescent="0.2">
      <c r="A1141" s="672" t="str">
        <f t="shared" si="17"/>
        <v>172</v>
      </c>
      <c r="B1141" s="672">
        <v>17202</v>
      </c>
      <c r="C1141" s="673" t="s">
        <v>6</v>
      </c>
      <c r="D1141" s="672" t="s">
        <v>7</v>
      </c>
    </row>
    <row r="1142" spans="1:4" x14ac:dyDescent="0.2">
      <c r="A1142" s="672" t="str">
        <f t="shared" si="17"/>
        <v>172</v>
      </c>
      <c r="B1142" s="672">
        <v>17210</v>
      </c>
      <c r="C1142" s="673" t="s">
        <v>6</v>
      </c>
      <c r="D1142" s="672" t="s">
        <v>7</v>
      </c>
    </row>
    <row r="1143" spans="1:4" x14ac:dyDescent="0.2">
      <c r="A1143" s="672" t="str">
        <f t="shared" si="17"/>
        <v>172</v>
      </c>
      <c r="B1143" s="672">
        <v>17211</v>
      </c>
      <c r="C1143" s="673" t="s">
        <v>4</v>
      </c>
      <c r="D1143" s="672" t="s">
        <v>5</v>
      </c>
    </row>
    <row r="1144" spans="1:4" x14ac:dyDescent="0.2">
      <c r="A1144" s="672" t="str">
        <f t="shared" si="17"/>
        <v>172</v>
      </c>
      <c r="B1144" s="672">
        <v>17212</v>
      </c>
      <c r="C1144" s="673" t="s">
        <v>6</v>
      </c>
      <c r="D1144" s="672" t="s">
        <v>7</v>
      </c>
    </row>
    <row r="1145" spans="1:4" x14ac:dyDescent="0.2">
      <c r="A1145" s="672" t="str">
        <f t="shared" si="17"/>
        <v>172</v>
      </c>
      <c r="B1145" s="672">
        <v>17213</v>
      </c>
      <c r="C1145" s="673" t="s">
        <v>12</v>
      </c>
      <c r="D1145" s="672" t="s">
        <v>13</v>
      </c>
    </row>
    <row r="1146" spans="1:4" x14ac:dyDescent="0.2">
      <c r="A1146" s="672" t="str">
        <f t="shared" si="17"/>
        <v>172</v>
      </c>
      <c r="B1146" s="672">
        <v>17214</v>
      </c>
      <c r="C1146" s="673" t="s">
        <v>6</v>
      </c>
      <c r="D1146" s="672" t="s">
        <v>7</v>
      </c>
    </row>
    <row r="1147" spans="1:4" x14ac:dyDescent="0.2">
      <c r="A1147" s="672" t="str">
        <f t="shared" si="17"/>
        <v>172</v>
      </c>
      <c r="B1147" s="672">
        <v>17215</v>
      </c>
      <c r="C1147" s="673" t="s">
        <v>6</v>
      </c>
      <c r="D1147" s="672" t="s">
        <v>7</v>
      </c>
    </row>
    <row r="1148" spans="1:4" x14ac:dyDescent="0.2">
      <c r="A1148" s="672" t="str">
        <f t="shared" si="17"/>
        <v>172</v>
      </c>
      <c r="B1148" s="672">
        <v>17217</v>
      </c>
      <c r="C1148" s="673" t="s">
        <v>6</v>
      </c>
      <c r="D1148" s="672" t="s">
        <v>7</v>
      </c>
    </row>
    <row r="1149" spans="1:4" x14ac:dyDescent="0.2">
      <c r="A1149" s="672" t="str">
        <f t="shared" si="17"/>
        <v>172</v>
      </c>
      <c r="B1149" s="672">
        <v>17219</v>
      </c>
      <c r="C1149" s="673" t="s">
        <v>6</v>
      </c>
      <c r="D1149" s="672" t="s">
        <v>7</v>
      </c>
    </row>
    <row r="1150" spans="1:4" x14ac:dyDescent="0.2">
      <c r="A1150" s="672" t="str">
        <f t="shared" si="17"/>
        <v>172</v>
      </c>
      <c r="B1150" s="672">
        <v>17220</v>
      </c>
      <c r="C1150" s="673" t="s">
        <v>6</v>
      </c>
      <c r="D1150" s="672" t="s">
        <v>7</v>
      </c>
    </row>
    <row r="1151" spans="1:4" x14ac:dyDescent="0.2">
      <c r="A1151" s="672" t="str">
        <f t="shared" si="17"/>
        <v>172</v>
      </c>
      <c r="B1151" s="672">
        <v>17221</v>
      </c>
      <c r="C1151" s="673" t="s">
        <v>6</v>
      </c>
      <c r="D1151" s="672" t="s">
        <v>7</v>
      </c>
    </row>
    <row r="1152" spans="1:4" x14ac:dyDescent="0.2">
      <c r="A1152" s="672" t="str">
        <f t="shared" si="17"/>
        <v>172</v>
      </c>
      <c r="B1152" s="672">
        <v>17222</v>
      </c>
      <c r="C1152" s="673" t="s">
        <v>6</v>
      </c>
      <c r="D1152" s="672" t="s">
        <v>7</v>
      </c>
    </row>
    <row r="1153" spans="1:4" x14ac:dyDescent="0.2">
      <c r="A1153" s="672" t="str">
        <f t="shared" si="17"/>
        <v>172</v>
      </c>
      <c r="B1153" s="672">
        <v>17223</v>
      </c>
      <c r="C1153" s="673" t="s">
        <v>6</v>
      </c>
      <c r="D1153" s="672" t="s">
        <v>7</v>
      </c>
    </row>
    <row r="1154" spans="1:4" x14ac:dyDescent="0.2">
      <c r="A1154" s="672" t="str">
        <f t="shared" ref="A1154:A1217" si="18">LEFT(B1154,3)</f>
        <v>172</v>
      </c>
      <c r="B1154" s="672">
        <v>17224</v>
      </c>
      <c r="C1154" s="673" t="s">
        <v>6</v>
      </c>
      <c r="D1154" s="672" t="s">
        <v>7</v>
      </c>
    </row>
    <row r="1155" spans="1:4" x14ac:dyDescent="0.2">
      <c r="A1155" s="672" t="str">
        <f t="shared" si="18"/>
        <v>172</v>
      </c>
      <c r="B1155" s="672">
        <v>17225</v>
      </c>
      <c r="C1155" s="673" t="s">
        <v>6</v>
      </c>
      <c r="D1155" s="672" t="s">
        <v>7</v>
      </c>
    </row>
    <row r="1156" spans="1:4" x14ac:dyDescent="0.2">
      <c r="A1156" s="672" t="str">
        <f t="shared" si="18"/>
        <v>172</v>
      </c>
      <c r="B1156" s="672">
        <v>17228</v>
      </c>
      <c r="C1156" s="673" t="s">
        <v>6</v>
      </c>
      <c r="D1156" s="672" t="s">
        <v>7</v>
      </c>
    </row>
    <row r="1157" spans="1:4" x14ac:dyDescent="0.2">
      <c r="A1157" s="672" t="str">
        <f t="shared" si="18"/>
        <v>172</v>
      </c>
      <c r="B1157" s="672">
        <v>17229</v>
      </c>
      <c r="C1157" s="673" t="s">
        <v>6</v>
      </c>
      <c r="D1157" s="672" t="s">
        <v>7</v>
      </c>
    </row>
    <row r="1158" spans="1:4" x14ac:dyDescent="0.2">
      <c r="A1158" s="672" t="str">
        <f t="shared" si="18"/>
        <v>172</v>
      </c>
      <c r="B1158" s="672">
        <v>17231</v>
      </c>
      <c r="C1158" s="673" t="s">
        <v>6</v>
      </c>
      <c r="D1158" s="672" t="s">
        <v>7</v>
      </c>
    </row>
    <row r="1159" spans="1:4" x14ac:dyDescent="0.2">
      <c r="A1159" s="672" t="str">
        <f t="shared" si="18"/>
        <v>172</v>
      </c>
      <c r="B1159" s="672">
        <v>17232</v>
      </c>
      <c r="C1159" s="673" t="s">
        <v>6</v>
      </c>
      <c r="D1159" s="672" t="s">
        <v>7</v>
      </c>
    </row>
    <row r="1160" spans="1:4" x14ac:dyDescent="0.2">
      <c r="A1160" s="672" t="str">
        <f t="shared" si="18"/>
        <v>172</v>
      </c>
      <c r="B1160" s="672">
        <v>17233</v>
      </c>
      <c r="C1160" s="673" t="s">
        <v>6</v>
      </c>
      <c r="D1160" s="672" t="s">
        <v>7</v>
      </c>
    </row>
    <row r="1161" spans="1:4" x14ac:dyDescent="0.2">
      <c r="A1161" s="672" t="str">
        <f t="shared" si="18"/>
        <v>172</v>
      </c>
      <c r="B1161" s="672">
        <v>17235</v>
      </c>
      <c r="C1161" s="673" t="s">
        <v>6</v>
      </c>
      <c r="D1161" s="672" t="s">
        <v>7</v>
      </c>
    </row>
    <row r="1162" spans="1:4" x14ac:dyDescent="0.2">
      <c r="A1162" s="672" t="str">
        <f t="shared" si="18"/>
        <v>172</v>
      </c>
      <c r="B1162" s="672">
        <v>17236</v>
      </c>
      <c r="C1162" s="673" t="s">
        <v>6</v>
      </c>
      <c r="D1162" s="672" t="s">
        <v>7</v>
      </c>
    </row>
    <row r="1163" spans="1:4" x14ac:dyDescent="0.2">
      <c r="A1163" s="672" t="str">
        <f t="shared" si="18"/>
        <v>172</v>
      </c>
      <c r="B1163" s="672">
        <v>17237</v>
      </c>
      <c r="C1163" s="673" t="s">
        <v>6</v>
      </c>
      <c r="D1163" s="672" t="s">
        <v>7</v>
      </c>
    </row>
    <row r="1164" spans="1:4" x14ac:dyDescent="0.2">
      <c r="A1164" s="672" t="str">
        <f t="shared" si="18"/>
        <v>172</v>
      </c>
      <c r="B1164" s="672">
        <v>17238</v>
      </c>
      <c r="C1164" s="673" t="s">
        <v>6</v>
      </c>
      <c r="D1164" s="672" t="s">
        <v>7</v>
      </c>
    </row>
    <row r="1165" spans="1:4" x14ac:dyDescent="0.2">
      <c r="A1165" s="672" t="str">
        <f t="shared" si="18"/>
        <v>172</v>
      </c>
      <c r="B1165" s="672">
        <v>17239</v>
      </c>
      <c r="C1165" s="673" t="s">
        <v>12</v>
      </c>
      <c r="D1165" s="672" t="s">
        <v>13</v>
      </c>
    </row>
    <row r="1166" spans="1:4" x14ac:dyDescent="0.2">
      <c r="A1166" s="672" t="str">
        <f t="shared" si="18"/>
        <v>172</v>
      </c>
      <c r="B1166" s="672">
        <v>17240</v>
      </c>
      <c r="C1166" s="673" t="s">
        <v>6</v>
      </c>
      <c r="D1166" s="672" t="s">
        <v>7</v>
      </c>
    </row>
    <row r="1167" spans="1:4" x14ac:dyDescent="0.2">
      <c r="A1167" s="672" t="str">
        <f t="shared" si="18"/>
        <v>172</v>
      </c>
      <c r="B1167" s="672">
        <v>17241</v>
      </c>
      <c r="C1167" s="673" t="s">
        <v>6</v>
      </c>
      <c r="D1167" s="672" t="s">
        <v>7</v>
      </c>
    </row>
    <row r="1168" spans="1:4" x14ac:dyDescent="0.2">
      <c r="A1168" s="672" t="str">
        <f t="shared" si="18"/>
        <v>172</v>
      </c>
      <c r="B1168" s="672">
        <v>17243</v>
      </c>
      <c r="C1168" s="673" t="s">
        <v>12</v>
      </c>
      <c r="D1168" s="672" t="s">
        <v>13</v>
      </c>
    </row>
    <row r="1169" spans="1:4" x14ac:dyDescent="0.2">
      <c r="A1169" s="672" t="str">
        <f t="shared" si="18"/>
        <v>172</v>
      </c>
      <c r="B1169" s="672">
        <v>17244</v>
      </c>
      <c r="C1169" s="673" t="s">
        <v>6</v>
      </c>
      <c r="D1169" s="672" t="s">
        <v>7</v>
      </c>
    </row>
    <row r="1170" spans="1:4" x14ac:dyDescent="0.2">
      <c r="A1170" s="672" t="str">
        <f t="shared" si="18"/>
        <v>172</v>
      </c>
      <c r="B1170" s="672">
        <v>17246</v>
      </c>
      <c r="C1170" s="673" t="s">
        <v>6</v>
      </c>
      <c r="D1170" s="672" t="s">
        <v>7</v>
      </c>
    </row>
    <row r="1171" spans="1:4" x14ac:dyDescent="0.2">
      <c r="A1171" s="672" t="str">
        <f t="shared" si="18"/>
        <v>172</v>
      </c>
      <c r="B1171" s="672">
        <v>17247</v>
      </c>
      <c r="C1171" s="673" t="s">
        <v>6</v>
      </c>
      <c r="D1171" s="672" t="s">
        <v>7</v>
      </c>
    </row>
    <row r="1172" spans="1:4" x14ac:dyDescent="0.2">
      <c r="A1172" s="672" t="str">
        <f t="shared" si="18"/>
        <v>172</v>
      </c>
      <c r="B1172" s="672">
        <v>17249</v>
      </c>
      <c r="C1172" s="673" t="s">
        <v>12</v>
      </c>
      <c r="D1172" s="672" t="s">
        <v>13</v>
      </c>
    </row>
    <row r="1173" spans="1:4" x14ac:dyDescent="0.2">
      <c r="A1173" s="672" t="str">
        <f t="shared" si="18"/>
        <v>172</v>
      </c>
      <c r="B1173" s="672">
        <v>17250</v>
      </c>
      <c r="C1173" s="673" t="s">
        <v>6</v>
      </c>
      <c r="D1173" s="672" t="s">
        <v>7</v>
      </c>
    </row>
    <row r="1174" spans="1:4" x14ac:dyDescent="0.2">
      <c r="A1174" s="672" t="str">
        <f t="shared" si="18"/>
        <v>172</v>
      </c>
      <c r="B1174" s="672">
        <v>17251</v>
      </c>
      <c r="C1174" s="673" t="s">
        <v>6</v>
      </c>
      <c r="D1174" s="672" t="s">
        <v>7</v>
      </c>
    </row>
    <row r="1175" spans="1:4" x14ac:dyDescent="0.2">
      <c r="A1175" s="672" t="str">
        <f t="shared" si="18"/>
        <v>172</v>
      </c>
      <c r="B1175" s="672">
        <v>17252</v>
      </c>
      <c r="C1175" s="673" t="s">
        <v>6</v>
      </c>
      <c r="D1175" s="672" t="s">
        <v>7</v>
      </c>
    </row>
    <row r="1176" spans="1:4" x14ac:dyDescent="0.2">
      <c r="A1176" s="672" t="str">
        <f t="shared" si="18"/>
        <v>172</v>
      </c>
      <c r="B1176" s="672">
        <v>17253</v>
      </c>
      <c r="C1176" s="673" t="s">
        <v>12</v>
      </c>
      <c r="D1176" s="672" t="s">
        <v>13</v>
      </c>
    </row>
    <row r="1177" spans="1:4" x14ac:dyDescent="0.2">
      <c r="A1177" s="672" t="str">
        <f t="shared" si="18"/>
        <v>172</v>
      </c>
      <c r="B1177" s="672">
        <v>17254</v>
      </c>
      <c r="C1177" s="673" t="s">
        <v>6</v>
      </c>
      <c r="D1177" s="672" t="s">
        <v>7</v>
      </c>
    </row>
    <row r="1178" spans="1:4" x14ac:dyDescent="0.2">
      <c r="A1178" s="672" t="str">
        <f t="shared" si="18"/>
        <v>172</v>
      </c>
      <c r="B1178" s="672">
        <v>17255</v>
      </c>
      <c r="C1178" s="673" t="s">
        <v>12</v>
      </c>
      <c r="D1178" s="672" t="s">
        <v>13</v>
      </c>
    </row>
    <row r="1179" spans="1:4" x14ac:dyDescent="0.2">
      <c r="A1179" s="672" t="str">
        <f t="shared" si="18"/>
        <v>172</v>
      </c>
      <c r="B1179" s="672">
        <v>17256</v>
      </c>
      <c r="C1179" s="673" t="s">
        <v>6</v>
      </c>
      <c r="D1179" s="672" t="s">
        <v>7</v>
      </c>
    </row>
    <row r="1180" spans="1:4" x14ac:dyDescent="0.2">
      <c r="A1180" s="672" t="str">
        <f t="shared" si="18"/>
        <v>172</v>
      </c>
      <c r="B1180" s="672">
        <v>17257</v>
      </c>
      <c r="C1180" s="673" t="s">
        <v>6</v>
      </c>
      <c r="D1180" s="672" t="s">
        <v>7</v>
      </c>
    </row>
    <row r="1181" spans="1:4" x14ac:dyDescent="0.2">
      <c r="A1181" s="672" t="str">
        <f t="shared" si="18"/>
        <v>172</v>
      </c>
      <c r="B1181" s="672">
        <v>17260</v>
      </c>
      <c r="C1181" s="673" t="s">
        <v>12</v>
      </c>
      <c r="D1181" s="672" t="s">
        <v>13</v>
      </c>
    </row>
    <row r="1182" spans="1:4" x14ac:dyDescent="0.2">
      <c r="A1182" s="672" t="str">
        <f t="shared" si="18"/>
        <v>172</v>
      </c>
      <c r="B1182" s="672">
        <v>17261</v>
      </c>
      <c r="C1182" s="673" t="s">
        <v>6</v>
      </c>
      <c r="D1182" s="672" t="s">
        <v>7</v>
      </c>
    </row>
    <row r="1183" spans="1:4" x14ac:dyDescent="0.2">
      <c r="A1183" s="672" t="str">
        <f t="shared" si="18"/>
        <v>172</v>
      </c>
      <c r="B1183" s="672">
        <v>17262</v>
      </c>
      <c r="C1183" s="673" t="s">
        <v>6</v>
      </c>
      <c r="D1183" s="672" t="s">
        <v>7</v>
      </c>
    </row>
    <row r="1184" spans="1:4" x14ac:dyDescent="0.2">
      <c r="A1184" s="672" t="str">
        <f t="shared" si="18"/>
        <v>172</v>
      </c>
      <c r="B1184" s="672">
        <v>17263</v>
      </c>
      <c r="C1184" s="673" t="s">
        <v>6</v>
      </c>
      <c r="D1184" s="672" t="s">
        <v>7</v>
      </c>
    </row>
    <row r="1185" spans="1:4" x14ac:dyDescent="0.2">
      <c r="A1185" s="672" t="str">
        <f t="shared" si="18"/>
        <v>172</v>
      </c>
      <c r="B1185" s="672">
        <v>17264</v>
      </c>
      <c r="C1185" s="673" t="s">
        <v>12</v>
      </c>
      <c r="D1185" s="672" t="s">
        <v>13</v>
      </c>
    </row>
    <row r="1186" spans="1:4" x14ac:dyDescent="0.2">
      <c r="A1186" s="672" t="str">
        <f t="shared" si="18"/>
        <v>172</v>
      </c>
      <c r="B1186" s="672">
        <v>17265</v>
      </c>
      <c r="C1186" s="673" t="s">
        <v>6</v>
      </c>
      <c r="D1186" s="672" t="s">
        <v>7</v>
      </c>
    </row>
    <row r="1187" spans="1:4" x14ac:dyDescent="0.2">
      <c r="A1187" s="672" t="str">
        <f t="shared" si="18"/>
        <v>172</v>
      </c>
      <c r="B1187" s="672">
        <v>17266</v>
      </c>
      <c r="C1187" s="673" t="s">
        <v>6</v>
      </c>
      <c r="D1187" s="672" t="s">
        <v>7</v>
      </c>
    </row>
    <row r="1188" spans="1:4" x14ac:dyDescent="0.2">
      <c r="A1188" s="672" t="str">
        <f t="shared" si="18"/>
        <v>172</v>
      </c>
      <c r="B1188" s="672">
        <v>17267</v>
      </c>
      <c r="C1188" s="673" t="s">
        <v>6</v>
      </c>
      <c r="D1188" s="672" t="s">
        <v>7</v>
      </c>
    </row>
    <row r="1189" spans="1:4" x14ac:dyDescent="0.2">
      <c r="A1189" s="672" t="str">
        <f t="shared" si="18"/>
        <v>172</v>
      </c>
      <c r="B1189" s="672">
        <v>17268</v>
      </c>
      <c r="C1189" s="673" t="s">
        <v>6</v>
      </c>
      <c r="D1189" s="672" t="s">
        <v>7</v>
      </c>
    </row>
    <row r="1190" spans="1:4" x14ac:dyDescent="0.2">
      <c r="A1190" s="672" t="str">
        <f t="shared" si="18"/>
        <v>172</v>
      </c>
      <c r="B1190" s="672">
        <v>17270</v>
      </c>
      <c r="C1190" s="673" t="s">
        <v>6</v>
      </c>
      <c r="D1190" s="672" t="s">
        <v>7</v>
      </c>
    </row>
    <row r="1191" spans="1:4" x14ac:dyDescent="0.2">
      <c r="A1191" s="672" t="str">
        <f t="shared" si="18"/>
        <v>172</v>
      </c>
      <c r="B1191" s="672">
        <v>17271</v>
      </c>
      <c r="C1191" s="673" t="s">
        <v>6</v>
      </c>
      <c r="D1191" s="672" t="s">
        <v>7</v>
      </c>
    </row>
    <row r="1192" spans="1:4" x14ac:dyDescent="0.2">
      <c r="A1192" s="672" t="str">
        <f t="shared" si="18"/>
        <v>172</v>
      </c>
      <c r="B1192" s="672">
        <v>17272</v>
      </c>
      <c r="C1192" s="673" t="s">
        <v>6</v>
      </c>
      <c r="D1192" s="672" t="s">
        <v>7</v>
      </c>
    </row>
    <row r="1193" spans="1:4" x14ac:dyDescent="0.2">
      <c r="A1193" s="672" t="str">
        <f t="shared" si="18"/>
        <v>173</v>
      </c>
      <c r="B1193" s="672">
        <v>17301</v>
      </c>
      <c r="C1193" s="673" t="s">
        <v>6</v>
      </c>
      <c r="D1193" s="672" t="s">
        <v>7</v>
      </c>
    </row>
    <row r="1194" spans="1:4" x14ac:dyDescent="0.2">
      <c r="A1194" s="672" t="str">
        <f t="shared" si="18"/>
        <v>173</v>
      </c>
      <c r="B1194" s="672">
        <v>17302</v>
      </c>
      <c r="C1194" s="673" t="s">
        <v>6</v>
      </c>
      <c r="D1194" s="672" t="s">
        <v>7</v>
      </c>
    </row>
    <row r="1195" spans="1:4" x14ac:dyDescent="0.2">
      <c r="A1195" s="672" t="str">
        <f t="shared" si="18"/>
        <v>173</v>
      </c>
      <c r="B1195" s="672">
        <v>17303</v>
      </c>
      <c r="C1195" s="673" t="s">
        <v>6</v>
      </c>
      <c r="D1195" s="672" t="s">
        <v>7</v>
      </c>
    </row>
    <row r="1196" spans="1:4" x14ac:dyDescent="0.2">
      <c r="A1196" s="672" t="str">
        <f t="shared" si="18"/>
        <v>173</v>
      </c>
      <c r="B1196" s="672">
        <v>17304</v>
      </c>
      <c r="C1196" s="673" t="s">
        <v>6</v>
      </c>
      <c r="D1196" s="672" t="s">
        <v>7</v>
      </c>
    </row>
    <row r="1197" spans="1:4" x14ac:dyDescent="0.2">
      <c r="A1197" s="672" t="str">
        <f t="shared" si="18"/>
        <v>173</v>
      </c>
      <c r="B1197" s="672">
        <v>17306</v>
      </c>
      <c r="C1197" s="673" t="s">
        <v>6</v>
      </c>
      <c r="D1197" s="672" t="s">
        <v>7</v>
      </c>
    </row>
    <row r="1198" spans="1:4" x14ac:dyDescent="0.2">
      <c r="A1198" s="672" t="str">
        <f t="shared" si="18"/>
        <v>173</v>
      </c>
      <c r="B1198" s="672">
        <v>17307</v>
      </c>
      <c r="C1198" s="673" t="s">
        <v>6</v>
      </c>
      <c r="D1198" s="672" t="s">
        <v>7</v>
      </c>
    </row>
    <row r="1199" spans="1:4" x14ac:dyDescent="0.2">
      <c r="A1199" s="672" t="str">
        <f t="shared" si="18"/>
        <v>173</v>
      </c>
      <c r="B1199" s="672">
        <v>17309</v>
      </c>
      <c r="C1199" s="673" t="s">
        <v>6</v>
      </c>
      <c r="D1199" s="672" t="s">
        <v>7</v>
      </c>
    </row>
    <row r="1200" spans="1:4" x14ac:dyDescent="0.2">
      <c r="A1200" s="672" t="str">
        <f t="shared" si="18"/>
        <v>173</v>
      </c>
      <c r="B1200" s="672">
        <v>17310</v>
      </c>
      <c r="C1200" s="673" t="s">
        <v>6</v>
      </c>
      <c r="D1200" s="672" t="s">
        <v>7</v>
      </c>
    </row>
    <row r="1201" spans="1:4" x14ac:dyDescent="0.2">
      <c r="A1201" s="672" t="str">
        <f t="shared" si="18"/>
        <v>173</v>
      </c>
      <c r="B1201" s="672">
        <v>17311</v>
      </c>
      <c r="C1201" s="673" t="s">
        <v>6</v>
      </c>
      <c r="D1201" s="672" t="s">
        <v>7</v>
      </c>
    </row>
    <row r="1202" spans="1:4" x14ac:dyDescent="0.2">
      <c r="A1202" s="672" t="str">
        <f t="shared" si="18"/>
        <v>173</v>
      </c>
      <c r="B1202" s="672">
        <v>17312</v>
      </c>
      <c r="C1202" s="673" t="s">
        <v>6</v>
      </c>
      <c r="D1202" s="672" t="s">
        <v>7</v>
      </c>
    </row>
    <row r="1203" spans="1:4" x14ac:dyDescent="0.2">
      <c r="A1203" s="672" t="str">
        <f t="shared" si="18"/>
        <v>173</v>
      </c>
      <c r="B1203" s="672">
        <v>17313</v>
      </c>
      <c r="C1203" s="673" t="s">
        <v>6</v>
      </c>
      <c r="D1203" s="672" t="s">
        <v>7</v>
      </c>
    </row>
    <row r="1204" spans="1:4" x14ac:dyDescent="0.2">
      <c r="A1204" s="672" t="str">
        <f t="shared" si="18"/>
        <v>173</v>
      </c>
      <c r="B1204" s="672">
        <v>17314</v>
      </c>
      <c r="C1204" s="673" t="s">
        <v>6</v>
      </c>
      <c r="D1204" s="672" t="s">
        <v>7</v>
      </c>
    </row>
    <row r="1205" spans="1:4" x14ac:dyDescent="0.2">
      <c r="A1205" s="672" t="str">
        <f t="shared" si="18"/>
        <v>173</v>
      </c>
      <c r="B1205" s="672">
        <v>17315</v>
      </c>
      <c r="C1205" s="673" t="s">
        <v>6</v>
      </c>
      <c r="D1205" s="672" t="s">
        <v>7</v>
      </c>
    </row>
    <row r="1206" spans="1:4" x14ac:dyDescent="0.2">
      <c r="A1206" s="672" t="str">
        <f t="shared" si="18"/>
        <v>173</v>
      </c>
      <c r="B1206" s="672">
        <v>17316</v>
      </c>
      <c r="C1206" s="673" t="s">
        <v>6</v>
      </c>
      <c r="D1206" s="672" t="s">
        <v>7</v>
      </c>
    </row>
    <row r="1207" spans="1:4" x14ac:dyDescent="0.2">
      <c r="A1207" s="672" t="str">
        <f t="shared" si="18"/>
        <v>173</v>
      </c>
      <c r="B1207" s="672">
        <v>17317</v>
      </c>
      <c r="C1207" s="673" t="s">
        <v>6</v>
      </c>
      <c r="D1207" s="672" t="s">
        <v>7</v>
      </c>
    </row>
    <row r="1208" spans="1:4" x14ac:dyDescent="0.2">
      <c r="A1208" s="672" t="str">
        <f t="shared" si="18"/>
        <v>173</v>
      </c>
      <c r="B1208" s="672">
        <v>17318</v>
      </c>
      <c r="C1208" s="673" t="s">
        <v>6</v>
      </c>
      <c r="D1208" s="672" t="s">
        <v>7</v>
      </c>
    </row>
    <row r="1209" spans="1:4" x14ac:dyDescent="0.2">
      <c r="A1209" s="672" t="str">
        <f t="shared" si="18"/>
        <v>173</v>
      </c>
      <c r="B1209" s="672">
        <v>17319</v>
      </c>
      <c r="C1209" s="673" t="s">
        <v>6</v>
      </c>
      <c r="D1209" s="672" t="s">
        <v>7</v>
      </c>
    </row>
    <row r="1210" spans="1:4" x14ac:dyDescent="0.2">
      <c r="A1210" s="672" t="str">
        <f t="shared" si="18"/>
        <v>173</v>
      </c>
      <c r="B1210" s="672">
        <v>17320</v>
      </c>
      <c r="C1210" s="673" t="s">
        <v>6</v>
      </c>
      <c r="D1210" s="672" t="s">
        <v>7</v>
      </c>
    </row>
    <row r="1211" spans="1:4" x14ac:dyDescent="0.2">
      <c r="A1211" s="672" t="str">
        <f t="shared" si="18"/>
        <v>173</v>
      </c>
      <c r="B1211" s="672">
        <v>17321</v>
      </c>
      <c r="C1211" s="673" t="s">
        <v>6</v>
      </c>
      <c r="D1211" s="672" t="s">
        <v>7</v>
      </c>
    </row>
    <row r="1212" spans="1:4" x14ac:dyDescent="0.2">
      <c r="A1212" s="672" t="str">
        <f t="shared" si="18"/>
        <v>173</v>
      </c>
      <c r="B1212" s="672">
        <v>17322</v>
      </c>
      <c r="C1212" s="673" t="s">
        <v>6</v>
      </c>
      <c r="D1212" s="672" t="s">
        <v>7</v>
      </c>
    </row>
    <row r="1213" spans="1:4" x14ac:dyDescent="0.2">
      <c r="A1213" s="672" t="str">
        <f t="shared" si="18"/>
        <v>173</v>
      </c>
      <c r="B1213" s="672">
        <v>17323</v>
      </c>
      <c r="C1213" s="673" t="s">
        <v>6</v>
      </c>
      <c r="D1213" s="672" t="s">
        <v>7</v>
      </c>
    </row>
    <row r="1214" spans="1:4" x14ac:dyDescent="0.2">
      <c r="A1214" s="672" t="str">
        <f t="shared" si="18"/>
        <v>173</v>
      </c>
      <c r="B1214" s="672">
        <v>17324</v>
      </c>
      <c r="C1214" s="673" t="s">
        <v>6</v>
      </c>
      <c r="D1214" s="672" t="s">
        <v>7</v>
      </c>
    </row>
    <row r="1215" spans="1:4" x14ac:dyDescent="0.2">
      <c r="A1215" s="672" t="str">
        <f t="shared" si="18"/>
        <v>173</v>
      </c>
      <c r="B1215" s="672">
        <v>17325</v>
      </c>
      <c r="C1215" s="673" t="s">
        <v>6</v>
      </c>
      <c r="D1215" s="672" t="s">
        <v>7</v>
      </c>
    </row>
    <row r="1216" spans="1:4" x14ac:dyDescent="0.2">
      <c r="A1216" s="672" t="str">
        <f t="shared" si="18"/>
        <v>173</v>
      </c>
      <c r="B1216" s="672">
        <v>17326</v>
      </c>
      <c r="C1216" s="673" t="s">
        <v>6</v>
      </c>
      <c r="D1216" s="672" t="s">
        <v>7</v>
      </c>
    </row>
    <row r="1217" spans="1:4" x14ac:dyDescent="0.2">
      <c r="A1217" s="672" t="str">
        <f t="shared" si="18"/>
        <v>173</v>
      </c>
      <c r="B1217" s="672">
        <v>17327</v>
      </c>
      <c r="C1217" s="673" t="s">
        <v>6</v>
      </c>
      <c r="D1217" s="672" t="s">
        <v>7</v>
      </c>
    </row>
    <row r="1218" spans="1:4" x14ac:dyDescent="0.2">
      <c r="A1218" s="672" t="str">
        <f t="shared" ref="A1218:A1281" si="19">LEFT(B1218,3)</f>
        <v>173</v>
      </c>
      <c r="B1218" s="672">
        <v>17329</v>
      </c>
      <c r="C1218" s="673" t="s">
        <v>6</v>
      </c>
      <c r="D1218" s="672" t="s">
        <v>7</v>
      </c>
    </row>
    <row r="1219" spans="1:4" x14ac:dyDescent="0.2">
      <c r="A1219" s="672" t="str">
        <f t="shared" si="19"/>
        <v>173</v>
      </c>
      <c r="B1219" s="672">
        <v>17331</v>
      </c>
      <c r="C1219" s="673" t="s">
        <v>6</v>
      </c>
      <c r="D1219" s="672" t="s">
        <v>7</v>
      </c>
    </row>
    <row r="1220" spans="1:4" x14ac:dyDescent="0.2">
      <c r="A1220" s="672" t="str">
        <f t="shared" si="19"/>
        <v>173</v>
      </c>
      <c r="B1220" s="672">
        <v>17332</v>
      </c>
      <c r="C1220" s="673" t="s">
        <v>6</v>
      </c>
      <c r="D1220" s="672" t="s">
        <v>7</v>
      </c>
    </row>
    <row r="1221" spans="1:4" x14ac:dyDescent="0.2">
      <c r="A1221" s="672" t="str">
        <f t="shared" si="19"/>
        <v>173</v>
      </c>
      <c r="B1221" s="672">
        <v>17333</v>
      </c>
      <c r="C1221" s="673" t="s">
        <v>6</v>
      </c>
      <c r="D1221" s="672" t="s">
        <v>7</v>
      </c>
    </row>
    <row r="1222" spans="1:4" x14ac:dyDescent="0.2">
      <c r="A1222" s="672" t="str">
        <f t="shared" si="19"/>
        <v>173</v>
      </c>
      <c r="B1222" s="672">
        <v>17334</v>
      </c>
      <c r="C1222" s="673" t="s">
        <v>6</v>
      </c>
      <c r="D1222" s="672" t="s">
        <v>7</v>
      </c>
    </row>
    <row r="1223" spans="1:4" x14ac:dyDescent="0.2">
      <c r="A1223" s="672" t="str">
        <f t="shared" si="19"/>
        <v>173</v>
      </c>
      <c r="B1223" s="672">
        <v>17337</v>
      </c>
      <c r="C1223" s="673" t="s">
        <v>6</v>
      </c>
      <c r="D1223" s="672" t="s">
        <v>7</v>
      </c>
    </row>
    <row r="1224" spans="1:4" x14ac:dyDescent="0.2">
      <c r="A1224" s="672" t="str">
        <f t="shared" si="19"/>
        <v>173</v>
      </c>
      <c r="B1224" s="672">
        <v>17339</v>
      </c>
      <c r="C1224" s="673" t="s">
        <v>6</v>
      </c>
      <c r="D1224" s="672" t="s">
        <v>7</v>
      </c>
    </row>
    <row r="1225" spans="1:4" x14ac:dyDescent="0.2">
      <c r="A1225" s="672" t="str">
        <f t="shared" si="19"/>
        <v>173</v>
      </c>
      <c r="B1225" s="672">
        <v>17340</v>
      </c>
      <c r="C1225" s="673" t="s">
        <v>6</v>
      </c>
      <c r="D1225" s="672" t="s">
        <v>7</v>
      </c>
    </row>
    <row r="1226" spans="1:4" x14ac:dyDescent="0.2">
      <c r="A1226" s="672" t="str">
        <f t="shared" si="19"/>
        <v>173</v>
      </c>
      <c r="B1226" s="672">
        <v>17342</v>
      </c>
      <c r="C1226" s="673" t="s">
        <v>6</v>
      </c>
      <c r="D1226" s="672" t="s">
        <v>7</v>
      </c>
    </row>
    <row r="1227" spans="1:4" x14ac:dyDescent="0.2">
      <c r="A1227" s="672" t="str">
        <f t="shared" si="19"/>
        <v>173</v>
      </c>
      <c r="B1227" s="672">
        <v>17343</v>
      </c>
      <c r="C1227" s="673" t="s">
        <v>6</v>
      </c>
      <c r="D1227" s="672" t="s">
        <v>7</v>
      </c>
    </row>
    <row r="1228" spans="1:4" x14ac:dyDescent="0.2">
      <c r="A1228" s="672" t="str">
        <f t="shared" si="19"/>
        <v>173</v>
      </c>
      <c r="B1228" s="672">
        <v>17344</v>
      </c>
      <c r="C1228" s="673" t="s">
        <v>6</v>
      </c>
      <c r="D1228" s="672" t="s">
        <v>7</v>
      </c>
    </row>
    <row r="1229" spans="1:4" x14ac:dyDescent="0.2">
      <c r="A1229" s="672" t="str">
        <f t="shared" si="19"/>
        <v>173</v>
      </c>
      <c r="B1229" s="672">
        <v>17345</v>
      </c>
      <c r="C1229" s="673" t="s">
        <v>6</v>
      </c>
      <c r="D1229" s="672" t="s">
        <v>7</v>
      </c>
    </row>
    <row r="1230" spans="1:4" x14ac:dyDescent="0.2">
      <c r="A1230" s="672" t="str">
        <f t="shared" si="19"/>
        <v>173</v>
      </c>
      <c r="B1230" s="672">
        <v>17347</v>
      </c>
      <c r="C1230" s="673" t="s">
        <v>6</v>
      </c>
      <c r="D1230" s="672" t="s">
        <v>7</v>
      </c>
    </row>
    <row r="1231" spans="1:4" x14ac:dyDescent="0.2">
      <c r="A1231" s="672" t="str">
        <f t="shared" si="19"/>
        <v>173</v>
      </c>
      <c r="B1231" s="672">
        <v>17349</v>
      </c>
      <c r="C1231" s="673" t="s">
        <v>6</v>
      </c>
      <c r="D1231" s="672" t="s">
        <v>7</v>
      </c>
    </row>
    <row r="1232" spans="1:4" x14ac:dyDescent="0.2">
      <c r="A1232" s="672" t="str">
        <f t="shared" si="19"/>
        <v>173</v>
      </c>
      <c r="B1232" s="672">
        <v>17350</v>
      </c>
      <c r="C1232" s="673" t="s">
        <v>6</v>
      </c>
      <c r="D1232" s="672" t="s">
        <v>7</v>
      </c>
    </row>
    <row r="1233" spans="1:4" x14ac:dyDescent="0.2">
      <c r="A1233" s="672" t="str">
        <f t="shared" si="19"/>
        <v>173</v>
      </c>
      <c r="B1233" s="672">
        <v>17352</v>
      </c>
      <c r="C1233" s="673" t="s">
        <v>6</v>
      </c>
      <c r="D1233" s="672" t="s">
        <v>7</v>
      </c>
    </row>
    <row r="1234" spans="1:4" x14ac:dyDescent="0.2">
      <c r="A1234" s="672" t="str">
        <f t="shared" si="19"/>
        <v>173</v>
      </c>
      <c r="B1234" s="672">
        <v>17353</v>
      </c>
      <c r="C1234" s="673" t="s">
        <v>6</v>
      </c>
      <c r="D1234" s="672" t="s">
        <v>7</v>
      </c>
    </row>
    <row r="1235" spans="1:4" x14ac:dyDescent="0.2">
      <c r="A1235" s="672" t="str">
        <f t="shared" si="19"/>
        <v>173</v>
      </c>
      <c r="B1235" s="672">
        <v>17354</v>
      </c>
      <c r="C1235" s="673" t="s">
        <v>6</v>
      </c>
      <c r="D1235" s="672" t="s">
        <v>7</v>
      </c>
    </row>
    <row r="1236" spans="1:4" x14ac:dyDescent="0.2">
      <c r="A1236" s="672" t="str">
        <f t="shared" si="19"/>
        <v>173</v>
      </c>
      <c r="B1236" s="672">
        <v>17355</v>
      </c>
      <c r="C1236" s="673" t="s">
        <v>6</v>
      </c>
      <c r="D1236" s="672" t="s">
        <v>7</v>
      </c>
    </row>
    <row r="1237" spans="1:4" x14ac:dyDescent="0.2">
      <c r="A1237" s="672" t="str">
        <f t="shared" si="19"/>
        <v>173</v>
      </c>
      <c r="B1237" s="672">
        <v>17356</v>
      </c>
      <c r="C1237" s="673" t="s">
        <v>6</v>
      </c>
      <c r="D1237" s="672" t="s">
        <v>7</v>
      </c>
    </row>
    <row r="1238" spans="1:4" x14ac:dyDescent="0.2">
      <c r="A1238" s="672" t="str">
        <f t="shared" si="19"/>
        <v>173</v>
      </c>
      <c r="B1238" s="672">
        <v>17358</v>
      </c>
      <c r="C1238" s="673" t="s">
        <v>6</v>
      </c>
      <c r="D1238" s="672" t="s">
        <v>7</v>
      </c>
    </row>
    <row r="1239" spans="1:4" x14ac:dyDescent="0.2">
      <c r="A1239" s="672" t="str">
        <f t="shared" si="19"/>
        <v>173</v>
      </c>
      <c r="B1239" s="672">
        <v>17360</v>
      </c>
      <c r="C1239" s="673" t="s">
        <v>6</v>
      </c>
      <c r="D1239" s="672" t="s">
        <v>7</v>
      </c>
    </row>
    <row r="1240" spans="1:4" x14ac:dyDescent="0.2">
      <c r="A1240" s="672" t="str">
        <f t="shared" si="19"/>
        <v>173</v>
      </c>
      <c r="B1240" s="672">
        <v>17361</v>
      </c>
      <c r="C1240" s="673" t="s">
        <v>6</v>
      </c>
      <c r="D1240" s="672" t="s">
        <v>7</v>
      </c>
    </row>
    <row r="1241" spans="1:4" x14ac:dyDescent="0.2">
      <c r="A1241" s="672" t="str">
        <f t="shared" si="19"/>
        <v>173</v>
      </c>
      <c r="B1241" s="672">
        <v>17362</v>
      </c>
      <c r="C1241" s="673" t="s">
        <v>6</v>
      </c>
      <c r="D1241" s="672" t="s">
        <v>7</v>
      </c>
    </row>
    <row r="1242" spans="1:4" x14ac:dyDescent="0.2">
      <c r="A1242" s="672" t="str">
        <f t="shared" si="19"/>
        <v>173</v>
      </c>
      <c r="B1242" s="672">
        <v>17363</v>
      </c>
      <c r="C1242" s="673" t="s">
        <v>6</v>
      </c>
      <c r="D1242" s="672" t="s">
        <v>7</v>
      </c>
    </row>
    <row r="1243" spans="1:4" x14ac:dyDescent="0.2">
      <c r="A1243" s="672" t="str">
        <f t="shared" si="19"/>
        <v>173</v>
      </c>
      <c r="B1243" s="672">
        <v>17364</v>
      </c>
      <c r="C1243" s="673" t="s">
        <v>6</v>
      </c>
      <c r="D1243" s="672" t="s">
        <v>7</v>
      </c>
    </row>
    <row r="1244" spans="1:4" x14ac:dyDescent="0.2">
      <c r="A1244" s="672" t="str">
        <f t="shared" si="19"/>
        <v>173</v>
      </c>
      <c r="B1244" s="672">
        <v>17365</v>
      </c>
      <c r="C1244" s="673" t="s">
        <v>6</v>
      </c>
      <c r="D1244" s="672" t="s">
        <v>7</v>
      </c>
    </row>
    <row r="1245" spans="1:4" x14ac:dyDescent="0.2">
      <c r="A1245" s="672" t="str">
        <f t="shared" si="19"/>
        <v>173</v>
      </c>
      <c r="B1245" s="672">
        <v>17366</v>
      </c>
      <c r="C1245" s="673" t="s">
        <v>6</v>
      </c>
      <c r="D1245" s="672" t="s">
        <v>7</v>
      </c>
    </row>
    <row r="1246" spans="1:4" x14ac:dyDescent="0.2">
      <c r="A1246" s="672" t="str">
        <f t="shared" si="19"/>
        <v>173</v>
      </c>
      <c r="B1246" s="672">
        <v>17368</v>
      </c>
      <c r="C1246" s="673" t="s">
        <v>6</v>
      </c>
      <c r="D1246" s="672" t="s">
        <v>7</v>
      </c>
    </row>
    <row r="1247" spans="1:4" x14ac:dyDescent="0.2">
      <c r="A1247" s="672" t="str">
        <f t="shared" si="19"/>
        <v>173</v>
      </c>
      <c r="B1247" s="672">
        <v>17370</v>
      </c>
      <c r="C1247" s="673" t="s">
        <v>6</v>
      </c>
      <c r="D1247" s="672" t="s">
        <v>7</v>
      </c>
    </row>
    <row r="1248" spans="1:4" x14ac:dyDescent="0.2">
      <c r="A1248" s="672" t="str">
        <f t="shared" si="19"/>
        <v>173</v>
      </c>
      <c r="B1248" s="672">
        <v>17371</v>
      </c>
      <c r="C1248" s="673" t="s">
        <v>6</v>
      </c>
      <c r="D1248" s="672" t="s">
        <v>7</v>
      </c>
    </row>
    <row r="1249" spans="1:4" x14ac:dyDescent="0.2">
      <c r="A1249" s="672" t="str">
        <f t="shared" si="19"/>
        <v>173</v>
      </c>
      <c r="B1249" s="672">
        <v>17372</v>
      </c>
      <c r="C1249" s="673" t="s">
        <v>6</v>
      </c>
      <c r="D1249" s="672" t="s">
        <v>7</v>
      </c>
    </row>
    <row r="1250" spans="1:4" x14ac:dyDescent="0.2">
      <c r="A1250" s="672" t="str">
        <f t="shared" si="19"/>
        <v>173</v>
      </c>
      <c r="B1250" s="672">
        <v>17375</v>
      </c>
      <c r="C1250" s="673" t="s">
        <v>6</v>
      </c>
      <c r="D1250" s="672" t="s">
        <v>7</v>
      </c>
    </row>
    <row r="1251" spans="1:4" x14ac:dyDescent="0.2">
      <c r="A1251" s="672" t="str">
        <f t="shared" si="19"/>
        <v>174</v>
      </c>
      <c r="B1251" s="672">
        <v>17401</v>
      </c>
      <c r="C1251" s="673" t="s">
        <v>6</v>
      </c>
      <c r="D1251" s="672" t="s">
        <v>7</v>
      </c>
    </row>
    <row r="1252" spans="1:4" x14ac:dyDescent="0.2">
      <c r="A1252" s="672" t="str">
        <f t="shared" si="19"/>
        <v>174</v>
      </c>
      <c r="B1252" s="672">
        <v>17402</v>
      </c>
      <c r="C1252" s="673" t="s">
        <v>6</v>
      </c>
      <c r="D1252" s="672" t="s">
        <v>7</v>
      </c>
    </row>
    <row r="1253" spans="1:4" x14ac:dyDescent="0.2">
      <c r="A1253" s="672" t="str">
        <f t="shared" si="19"/>
        <v>174</v>
      </c>
      <c r="B1253" s="672">
        <v>17403</v>
      </c>
      <c r="C1253" s="673" t="s">
        <v>6</v>
      </c>
      <c r="D1253" s="672" t="s">
        <v>7</v>
      </c>
    </row>
    <row r="1254" spans="1:4" x14ac:dyDescent="0.2">
      <c r="A1254" s="672" t="str">
        <f t="shared" si="19"/>
        <v>174</v>
      </c>
      <c r="B1254" s="672">
        <v>17404</v>
      </c>
      <c r="C1254" s="673" t="s">
        <v>6</v>
      </c>
      <c r="D1254" s="672" t="s">
        <v>7</v>
      </c>
    </row>
    <row r="1255" spans="1:4" x14ac:dyDescent="0.2">
      <c r="A1255" s="672" t="str">
        <f t="shared" si="19"/>
        <v>174</v>
      </c>
      <c r="B1255" s="672">
        <v>17405</v>
      </c>
      <c r="C1255" s="673" t="s">
        <v>6</v>
      </c>
      <c r="D1255" s="672" t="s">
        <v>7</v>
      </c>
    </row>
    <row r="1256" spans="1:4" x14ac:dyDescent="0.2">
      <c r="A1256" s="672" t="str">
        <f t="shared" si="19"/>
        <v>174</v>
      </c>
      <c r="B1256" s="672">
        <v>17406</v>
      </c>
      <c r="C1256" s="673" t="s">
        <v>6</v>
      </c>
      <c r="D1256" s="672" t="s">
        <v>7</v>
      </c>
    </row>
    <row r="1257" spans="1:4" x14ac:dyDescent="0.2">
      <c r="A1257" s="672" t="str">
        <f t="shared" si="19"/>
        <v>174</v>
      </c>
      <c r="B1257" s="672">
        <v>17407</v>
      </c>
      <c r="C1257" s="673" t="s">
        <v>6</v>
      </c>
      <c r="D1257" s="672" t="s">
        <v>7</v>
      </c>
    </row>
    <row r="1258" spans="1:4" x14ac:dyDescent="0.2">
      <c r="A1258" s="672" t="str">
        <f t="shared" si="19"/>
        <v>174</v>
      </c>
      <c r="B1258" s="672">
        <v>17408</v>
      </c>
      <c r="C1258" s="673" t="s">
        <v>6</v>
      </c>
      <c r="D1258" s="672" t="s">
        <v>7</v>
      </c>
    </row>
    <row r="1259" spans="1:4" x14ac:dyDescent="0.2">
      <c r="A1259" s="672" t="str">
        <f t="shared" si="19"/>
        <v>174</v>
      </c>
      <c r="B1259" s="672">
        <v>17415</v>
      </c>
      <c r="C1259" s="673" t="s">
        <v>6</v>
      </c>
      <c r="D1259" s="672" t="s">
        <v>7</v>
      </c>
    </row>
    <row r="1260" spans="1:4" x14ac:dyDescent="0.2">
      <c r="A1260" s="672" t="str">
        <f t="shared" si="19"/>
        <v>175</v>
      </c>
      <c r="B1260" s="672">
        <v>17501</v>
      </c>
      <c r="C1260" s="673" t="s">
        <v>16</v>
      </c>
      <c r="D1260" s="672" t="s">
        <v>17</v>
      </c>
    </row>
    <row r="1261" spans="1:4" x14ac:dyDescent="0.2">
      <c r="A1261" s="672" t="str">
        <f t="shared" si="19"/>
        <v>175</v>
      </c>
      <c r="B1261" s="672">
        <v>17502</v>
      </c>
      <c r="C1261" s="673" t="s">
        <v>16</v>
      </c>
      <c r="D1261" s="672" t="s">
        <v>17</v>
      </c>
    </row>
    <row r="1262" spans="1:4" x14ac:dyDescent="0.2">
      <c r="A1262" s="672" t="str">
        <f t="shared" si="19"/>
        <v>175</v>
      </c>
      <c r="B1262" s="672">
        <v>17503</v>
      </c>
      <c r="C1262" s="673" t="s">
        <v>16</v>
      </c>
      <c r="D1262" s="672" t="s">
        <v>17</v>
      </c>
    </row>
    <row r="1263" spans="1:4" x14ac:dyDescent="0.2">
      <c r="A1263" s="672" t="str">
        <f t="shared" si="19"/>
        <v>175</v>
      </c>
      <c r="B1263" s="672">
        <v>17504</v>
      </c>
      <c r="C1263" s="673" t="s">
        <v>16</v>
      </c>
      <c r="D1263" s="672" t="s">
        <v>17</v>
      </c>
    </row>
    <row r="1264" spans="1:4" x14ac:dyDescent="0.2">
      <c r="A1264" s="672" t="str">
        <f t="shared" si="19"/>
        <v>175</v>
      </c>
      <c r="B1264" s="672">
        <v>17505</v>
      </c>
      <c r="C1264" s="673" t="s">
        <v>16</v>
      </c>
      <c r="D1264" s="672" t="s">
        <v>17</v>
      </c>
    </row>
    <row r="1265" spans="1:4" x14ac:dyDescent="0.2">
      <c r="A1265" s="672" t="str">
        <f t="shared" si="19"/>
        <v>175</v>
      </c>
      <c r="B1265" s="672">
        <v>17506</v>
      </c>
      <c r="C1265" s="673" t="s">
        <v>16</v>
      </c>
      <c r="D1265" s="672" t="s">
        <v>17</v>
      </c>
    </row>
    <row r="1266" spans="1:4" x14ac:dyDescent="0.2">
      <c r="A1266" s="672" t="str">
        <f t="shared" si="19"/>
        <v>175</v>
      </c>
      <c r="B1266" s="672">
        <v>17507</v>
      </c>
      <c r="C1266" s="673" t="s">
        <v>16</v>
      </c>
      <c r="D1266" s="672" t="s">
        <v>17</v>
      </c>
    </row>
    <row r="1267" spans="1:4" x14ac:dyDescent="0.2">
      <c r="A1267" s="672" t="str">
        <f t="shared" si="19"/>
        <v>175</v>
      </c>
      <c r="B1267" s="672">
        <v>17508</v>
      </c>
      <c r="C1267" s="673" t="s">
        <v>16</v>
      </c>
      <c r="D1267" s="672" t="s">
        <v>17</v>
      </c>
    </row>
    <row r="1268" spans="1:4" x14ac:dyDescent="0.2">
      <c r="A1268" s="672" t="str">
        <f t="shared" si="19"/>
        <v>175</v>
      </c>
      <c r="B1268" s="672">
        <v>17509</v>
      </c>
      <c r="C1268" s="673" t="s">
        <v>16</v>
      </c>
      <c r="D1268" s="672" t="s">
        <v>17</v>
      </c>
    </row>
    <row r="1269" spans="1:4" x14ac:dyDescent="0.2">
      <c r="A1269" s="672" t="str">
        <f t="shared" si="19"/>
        <v>175</v>
      </c>
      <c r="B1269" s="672">
        <v>17512</v>
      </c>
      <c r="C1269" s="673" t="s">
        <v>16</v>
      </c>
      <c r="D1269" s="672" t="s">
        <v>17</v>
      </c>
    </row>
    <row r="1270" spans="1:4" x14ac:dyDescent="0.2">
      <c r="A1270" s="672" t="str">
        <f t="shared" si="19"/>
        <v>175</v>
      </c>
      <c r="B1270" s="672">
        <v>17516</v>
      </c>
      <c r="C1270" s="673" t="s">
        <v>16</v>
      </c>
      <c r="D1270" s="672" t="s">
        <v>17</v>
      </c>
    </row>
    <row r="1271" spans="1:4" x14ac:dyDescent="0.2">
      <c r="A1271" s="672" t="str">
        <f t="shared" si="19"/>
        <v>175</v>
      </c>
      <c r="B1271" s="672">
        <v>17517</v>
      </c>
      <c r="C1271" s="673" t="s">
        <v>16</v>
      </c>
      <c r="D1271" s="672" t="s">
        <v>17</v>
      </c>
    </row>
    <row r="1272" spans="1:4" x14ac:dyDescent="0.2">
      <c r="A1272" s="672" t="str">
        <f t="shared" si="19"/>
        <v>175</v>
      </c>
      <c r="B1272" s="672">
        <v>17518</v>
      </c>
      <c r="C1272" s="673" t="s">
        <v>16</v>
      </c>
      <c r="D1272" s="672" t="s">
        <v>17</v>
      </c>
    </row>
    <row r="1273" spans="1:4" x14ac:dyDescent="0.2">
      <c r="A1273" s="672" t="str">
        <f t="shared" si="19"/>
        <v>175</v>
      </c>
      <c r="B1273" s="672">
        <v>17519</v>
      </c>
      <c r="C1273" s="673" t="s">
        <v>16</v>
      </c>
      <c r="D1273" s="672" t="s">
        <v>17</v>
      </c>
    </row>
    <row r="1274" spans="1:4" x14ac:dyDescent="0.2">
      <c r="A1274" s="672" t="str">
        <f t="shared" si="19"/>
        <v>175</v>
      </c>
      <c r="B1274" s="672">
        <v>17520</v>
      </c>
      <c r="C1274" s="673" t="s">
        <v>16</v>
      </c>
      <c r="D1274" s="672" t="s">
        <v>17</v>
      </c>
    </row>
    <row r="1275" spans="1:4" x14ac:dyDescent="0.2">
      <c r="A1275" s="672" t="str">
        <f t="shared" si="19"/>
        <v>175</v>
      </c>
      <c r="B1275" s="672">
        <v>17521</v>
      </c>
      <c r="C1275" s="673" t="s">
        <v>16</v>
      </c>
      <c r="D1275" s="672" t="s">
        <v>17</v>
      </c>
    </row>
    <row r="1276" spans="1:4" x14ac:dyDescent="0.2">
      <c r="A1276" s="672" t="str">
        <f t="shared" si="19"/>
        <v>175</v>
      </c>
      <c r="B1276" s="672">
        <v>17522</v>
      </c>
      <c r="C1276" s="673" t="s">
        <v>16</v>
      </c>
      <c r="D1276" s="672" t="s">
        <v>17</v>
      </c>
    </row>
    <row r="1277" spans="1:4" x14ac:dyDescent="0.2">
      <c r="A1277" s="672" t="str">
        <f t="shared" si="19"/>
        <v>175</v>
      </c>
      <c r="B1277" s="672">
        <v>17527</v>
      </c>
      <c r="C1277" s="673" t="s">
        <v>16</v>
      </c>
      <c r="D1277" s="672" t="s">
        <v>17</v>
      </c>
    </row>
    <row r="1278" spans="1:4" x14ac:dyDescent="0.2">
      <c r="A1278" s="672" t="str">
        <f t="shared" si="19"/>
        <v>175</v>
      </c>
      <c r="B1278" s="672">
        <v>17528</v>
      </c>
      <c r="C1278" s="673" t="s">
        <v>16</v>
      </c>
      <c r="D1278" s="672" t="s">
        <v>17</v>
      </c>
    </row>
    <row r="1279" spans="1:4" x14ac:dyDescent="0.2">
      <c r="A1279" s="672" t="str">
        <f t="shared" si="19"/>
        <v>175</v>
      </c>
      <c r="B1279" s="672">
        <v>17529</v>
      </c>
      <c r="C1279" s="673" t="s">
        <v>16</v>
      </c>
      <c r="D1279" s="672" t="s">
        <v>17</v>
      </c>
    </row>
    <row r="1280" spans="1:4" x14ac:dyDescent="0.2">
      <c r="A1280" s="672" t="str">
        <f t="shared" si="19"/>
        <v>175</v>
      </c>
      <c r="B1280" s="672">
        <v>17532</v>
      </c>
      <c r="C1280" s="673" t="s">
        <v>16</v>
      </c>
      <c r="D1280" s="672" t="s">
        <v>17</v>
      </c>
    </row>
    <row r="1281" spans="1:4" x14ac:dyDescent="0.2">
      <c r="A1281" s="672" t="str">
        <f t="shared" si="19"/>
        <v>175</v>
      </c>
      <c r="B1281" s="672">
        <v>17533</v>
      </c>
      <c r="C1281" s="673" t="s">
        <v>16</v>
      </c>
      <c r="D1281" s="672" t="s">
        <v>17</v>
      </c>
    </row>
    <row r="1282" spans="1:4" x14ac:dyDescent="0.2">
      <c r="A1282" s="672" t="str">
        <f t="shared" ref="A1282:A1345" si="20">LEFT(B1282,3)</f>
        <v>175</v>
      </c>
      <c r="B1282" s="672">
        <v>17534</v>
      </c>
      <c r="C1282" s="673" t="s">
        <v>16</v>
      </c>
      <c r="D1282" s="672" t="s">
        <v>17</v>
      </c>
    </row>
    <row r="1283" spans="1:4" x14ac:dyDescent="0.2">
      <c r="A1283" s="672" t="str">
        <f t="shared" si="20"/>
        <v>175</v>
      </c>
      <c r="B1283" s="672">
        <v>17535</v>
      </c>
      <c r="C1283" s="673" t="s">
        <v>16</v>
      </c>
      <c r="D1283" s="672" t="s">
        <v>17</v>
      </c>
    </row>
    <row r="1284" spans="1:4" x14ac:dyDescent="0.2">
      <c r="A1284" s="672" t="str">
        <f t="shared" si="20"/>
        <v>175</v>
      </c>
      <c r="B1284" s="672">
        <v>17536</v>
      </c>
      <c r="C1284" s="673" t="s">
        <v>16</v>
      </c>
      <c r="D1284" s="672" t="s">
        <v>17</v>
      </c>
    </row>
    <row r="1285" spans="1:4" x14ac:dyDescent="0.2">
      <c r="A1285" s="672" t="str">
        <f t="shared" si="20"/>
        <v>175</v>
      </c>
      <c r="B1285" s="672">
        <v>17537</v>
      </c>
      <c r="C1285" s="673" t="s">
        <v>16</v>
      </c>
      <c r="D1285" s="672" t="s">
        <v>17</v>
      </c>
    </row>
    <row r="1286" spans="1:4" x14ac:dyDescent="0.2">
      <c r="A1286" s="672" t="str">
        <f t="shared" si="20"/>
        <v>175</v>
      </c>
      <c r="B1286" s="672">
        <v>17538</v>
      </c>
      <c r="C1286" s="673" t="s">
        <v>16</v>
      </c>
      <c r="D1286" s="672" t="s">
        <v>17</v>
      </c>
    </row>
    <row r="1287" spans="1:4" x14ac:dyDescent="0.2">
      <c r="A1287" s="672" t="str">
        <f t="shared" si="20"/>
        <v>175</v>
      </c>
      <c r="B1287" s="672">
        <v>17540</v>
      </c>
      <c r="C1287" s="673" t="s">
        <v>16</v>
      </c>
      <c r="D1287" s="672" t="s">
        <v>17</v>
      </c>
    </row>
    <row r="1288" spans="1:4" x14ac:dyDescent="0.2">
      <c r="A1288" s="672" t="str">
        <f t="shared" si="20"/>
        <v>175</v>
      </c>
      <c r="B1288" s="672">
        <v>17543</v>
      </c>
      <c r="C1288" s="673" t="s">
        <v>16</v>
      </c>
      <c r="D1288" s="672" t="s">
        <v>17</v>
      </c>
    </row>
    <row r="1289" spans="1:4" x14ac:dyDescent="0.2">
      <c r="A1289" s="672" t="str">
        <f t="shared" si="20"/>
        <v>175</v>
      </c>
      <c r="B1289" s="672">
        <v>17545</v>
      </c>
      <c r="C1289" s="673" t="s">
        <v>16</v>
      </c>
      <c r="D1289" s="672" t="s">
        <v>17</v>
      </c>
    </row>
    <row r="1290" spans="1:4" x14ac:dyDescent="0.2">
      <c r="A1290" s="672" t="str">
        <f t="shared" si="20"/>
        <v>175</v>
      </c>
      <c r="B1290" s="672">
        <v>17547</v>
      </c>
      <c r="C1290" s="673" t="s">
        <v>16</v>
      </c>
      <c r="D1290" s="672" t="s">
        <v>17</v>
      </c>
    </row>
    <row r="1291" spans="1:4" x14ac:dyDescent="0.2">
      <c r="A1291" s="672" t="str">
        <f t="shared" si="20"/>
        <v>175</v>
      </c>
      <c r="B1291" s="672">
        <v>17549</v>
      </c>
      <c r="C1291" s="673" t="s">
        <v>16</v>
      </c>
      <c r="D1291" s="672" t="s">
        <v>17</v>
      </c>
    </row>
    <row r="1292" spans="1:4" x14ac:dyDescent="0.2">
      <c r="A1292" s="672" t="str">
        <f t="shared" si="20"/>
        <v>175</v>
      </c>
      <c r="B1292" s="672">
        <v>17550</v>
      </c>
      <c r="C1292" s="673" t="s">
        <v>16</v>
      </c>
      <c r="D1292" s="672" t="s">
        <v>17</v>
      </c>
    </row>
    <row r="1293" spans="1:4" x14ac:dyDescent="0.2">
      <c r="A1293" s="672" t="str">
        <f t="shared" si="20"/>
        <v>175</v>
      </c>
      <c r="B1293" s="672">
        <v>17551</v>
      </c>
      <c r="C1293" s="673" t="s">
        <v>16</v>
      </c>
      <c r="D1293" s="672" t="s">
        <v>17</v>
      </c>
    </row>
    <row r="1294" spans="1:4" x14ac:dyDescent="0.2">
      <c r="A1294" s="672" t="str">
        <f t="shared" si="20"/>
        <v>175</v>
      </c>
      <c r="B1294" s="672">
        <v>17552</v>
      </c>
      <c r="C1294" s="673" t="s">
        <v>16</v>
      </c>
      <c r="D1294" s="672" t="s">
        <v>17</v>
      </c>
    </row>
    <row r="1295" spans="1:4" x14ac:dyDescent="0.2">
      <c r="A1295" s="672" t="str">
        <f t="shared" si="20"/>
        <v>175</v>
      </c>
      <c r="B1295" s="672">
        <v>17554</v>
      </c>
      <c r="C1295" s="673" t="s">
        <v>16</v>
      </c>
      <c r="D1295" s="672" t="s">
        <v>17</v>
      </c>
    </row>
    <row r="1296" spans="1:4" x14ac:dyDescent="0.2">
      <c r="A1296" s="672" t="str">
        <f t="shared" si="20"/>
        <v>175</v>
      </c>
      <c r="B1296" s="672">
        <v>17555</v>
      </c>
      <c r="C1296" s="673" t="s">
        <v>16</v>
      </c>
      <c r="D1296" s="672" t="s">
        <v>17</v>
      </c>
    </row>
    <row r="1297" spans="1:4" x14ac:dyDescent="0.2">
      <c r="A1297" s="672" t="str">
        <f t="shared" si="20"/>
        <v>175</v>
      </c>
      <c r="B1297" s="672">
        <v>17557</v>
      </c>
      <c r="C1297" s="673" t="s">
        <v>16</v>
      </c>
      <c r="D1297" s="672" t="s">
        <v>17</v>
      </c>
    </row>
    <row r="1298" spans="1:4" x14ac:dyDescent="0.2">
      <c r="A1298" s="672" t="str">
        <f t="shared" si="20"/>
        <v>175</v>
      </c>
      <c r="B1298" s="672">
        <v>17560</v>
      </c>
      <c r="C1298" s="673" t="s">
        <v>16</v>
      </c>
      <c r="D1298" s="672" t="s">
        <v>17</v>
      </c>
    </row>
    <row r="1299" spans="1:4" x14ac:dyDescent="0.2">
      <c r="A1299" s="672" t="str">
        <f t="shared" si="20"/>
        <v>175</v>
      </c>
      <c r="B1299" s="672">
        <v>17562</v>
      </c>
      <c r="C1299" s="673" t="s">
        <v>16</v>
      </c>
      <c r="D1299" s="672" t="s">
        <v>17</v>
      </c>
    </row>
    <row r="1300" spans="1:4" x14ac:dyDescent="0.2">
      <c r="A1300" s="672" t="str">
        <f t="shared" si="20"/>
        <v>175</v>
      </c>
      <c r="B1300" s="672">
        <v>17563</v>
      </c>
      <c r="C1300" s="673" t="s">
        <v>16</v>
      </c>
      <c r="D1300" s="672" t="s">
        <v>17</v>
      </c>
    </row>
    <row r="1301" spans="1:4" x14ac:dyDescent="0.2">
      <c r="A1301" s="672" t="str">
        <f t="shared" si="20"/>
        <v>175</v>
      </c>
      <c r="B1301" s="672">
        <v>17564</v>
      </c>
      <c r="C1301" s="673" t="s">
        <v>16</v>
      </c>
      <c r="D1301" s="672" t="s">
        <v>17</v>
      </c>
    </row>
    <row r="1302" spans="1:4" x14ac:dyDescent="0.2">
      <c r="A1302" s="672" t="str">
        <f t="shared" si="20"/>
        <v>175</v>
      </c>
      <c r="B1302" s="672">
        <v>17565</v>
      </c>
      <c r="C1302" s="673" t="s">
        <v>16</v>
      </c>
      <c r="D1302" s="672" t="s">
        <v>17</v>
      </c>
    </row>
    <row r="1303" spans="1:4" x14ac:dyDescent="0.2">
      <c r="A1303" s="672" t="str">
        <f t="shared" si="20"/>
        <v>175</v>
      </c>
      <c r="B1303" s="672">
        <v>17566</v>
      </c>
      <c r="C1303" s="673" t="s">
        <v>16</v>
      </c>
      <c r="D1303" s="672" t="s">
        <v>17</v>
      </c>
    </row>
    <row r="1304" spans="1:4" x14ac:dyDescent="0.2">
      <c r="A1304" s="672" t="str">
        <f t="shared" si="20"/>
        <v>175</v>
      </c>
      <c r="B1304" s="672">
        <v>17567</v>
      </c>
      <c r="C1304" s="673" t="s">
        <v>16</v>
      </c>
      <c r="D1304" s="672" t="s">
        <v>17</v>
      </c>
    </row>
    <row r="1305" spans="1:4" x14ac:dyDescent="0.2">
      <c r="A1305" s="672" t="str">
        <f t="shared" si="20"/>
        <v>175</v>
      </c>
      <c r="B1305" s="672">
        <v>17568</v>
      </c>
      <c r="C1305" s="673" t="s">
        <v>16</v>
      </c>
      <c r="D1305" s="672" t="s">
        <v>17</v>
      </c>
    </row>
    <row r="1306" spans="1:4" x14ac:dyDescent="0.2">
      <c r="A1306" s="672" t="str">
        <f t="shared" si="20"/>
        <v>175</v>
      </c>
      <c r="B1306" s="672">
        <v>17569</v>
      </c>
      <c r="C1306" s="673" t="s">
        <v>16</v>
      </c>
      <c r="D1306" s="672" t="s">
        <v>17</v>
      </c>
    </row>
    <row r="1307" spans="1:4" x14ac:dyDescent="0.2">
      <c r="A1307" s="672" t="str">
        <f t="shared" si="20"/>
        <v>175</v>
      </c>
      <c r="B1307" s="672">
        <v>17570</v>
      </c>
      <c r="C1307" s="673" t="s">
        <v>16</v>
      </c>
      <c r="D1307" s="672" t="s">
        <v>17</v>
      </c>
    </row>
    <row r="1308" spans="1:4" x14ac:dyDescent="0.2">
      <c r="A1308" s="672" t="str">
        <f t="shared" si="20"/>
        <v>175</v>
      </c>
      <c r="B1308" s="672">
        <v>17572</v>
      </c>
      <c r="C1308" s="673" t="s">
        <v>16</v>
      </c>
      <c r="D1308" s="672" t="s">
        <v>17</v>
      </c>
    </row>
    <row r="1309" spans="1:4" x14ac:dyDescent="0.2">
      <c r="A1309" s="672" t="str">
        <f t="shared" si="20"/>
        <v>175</v>
      </c>
      <c r="B1309" s="672">
        <v>17573</v>
      </c>
      <c r="C1309" s="673" t="s">
        <v>16</v>
      </c>
      <c r="D1309" s="672" t="s">
        <v>17</v>
      </c>
    </row>
    <row r="1310" spans="1:4" x14ac:dyDescent="0.2">
      <c r="A1310" s="672" t="str">
        <f t="shared" si="20"/>
        <v>175</v>
      </c>
      <c r="B1310" s="672">
        <v>17575</v>
      </c>
      <c r="C1310" s="673" t="s">
        <v>16</v>
      </c>
      <c r="D1310" s="672" t="s">
        <v>17</v>
      </c>
    </row>
    <row r="1311" spans="1:4" x14ac:dyDescent="0.2">
      <c r="A1311" s="672" t="str">
        <f t="shared" si="20"/>
        <v>175</v>
      </c>
      <c r="B1311" s="672">
        <v>17576</v>
      </c>
      <c r="C1311" s="673" t="s">
        <v>16</v>
      </c>
      <c r="D1311" s="672" t="s">
        <v>17</v>
      </c>
    </row>
    <row r="1312" spans="1:4" x14ac:dyDescent="0.2">
      <c r="A1312" s="672" t="str">
        <f t="shared" si="20"/>
        <v>175</v>
      </c>
      <c r="B1312" s="672">
        <v>17577</v>
      </c>
      <c r="C1312" s="673" t="s">
        <v>16</v>
      </c>
      <c r="D1312" s="672" t="s">
        <v>17</v>
      </c>
    </row>
    <row r="1313" spans="1:4" x14ac:dyDescent="0.2">
      <c r="A1313" s="672" t="str">
        <f t="shared" si="20"/>
        <v>175</v>
      </c>
      <c r="B1313" s="672">
        <v>17578</v>
      </c>
      <c r="C1313" s="673" t="s">
        <v>16</v>
      </c>
      <c r="D1313" s="672" t="s">
        <v>17</v>
      </c>
    </row>
    <row r="1314" spans="1:4" x14ac:dyDescent="0.2">
      <c r="A1314" s="672" t="str">
        <f t="shared" si="20"/>
        <v>175</v>
      </c>
      <c r="B1314" s="672">
        <v>17579</v>
      </c>
      <c r="C1314" s="673" t="s">
        <v>16</v>
      </c>
      <c r="D1314" s="672" t="s">
        <v>17</v>
      </c>
    </row>
    <row r="1315" spans="1:4" x14ac:dyDescent="0.2">
      <c r="A1315" s="672" t="str">
        <f t="shared" si="20"/>
        <v>175</v>
      </c>
      <c r="B1315" s="672">
        <v>17580</v>
      </c>
      <c r="C1315" s="673" t="s">
        <v>16</v>
      </c>
      <c r="D1315" s="672" t="s">
        <v>17</v>
      </c>
    </row>
    <row r="1316" spans="1:4" x14ac:dyDescent="0.2">
      <c r="A1316" s="672" t="str">
        <f t="shared" si="20"/>
        <v>175</v>
      </c>
      <c r="B1316" s="672">
        <v>17581</v>
      </c>
      <c r="C1316" s="673" t="s">
        <v>16</v>
      </c>
      <c r="D1316" s="672" t="s">
        <v>17</v>
      </c>
    </row>
    <row r="1317" spans="1:4" x14ac:dyDescent="0.2">
      <c r="A1317" s="672" t="str">
        <f t="shared" si="20"/>
        <v>175</v>
      </c>
      <c r="B1317" s="672">
        <v>17582</v>
      </c>
      <c r="C1317" s="673" t="s">
        <v>16</v>
      </c>
      <c r="D1317" s="672" t="s">
        <v>17</v>
      </c>
    </row>
    <row r="1318" spans="1:4" x14ac:dyDescent="0.2">
      <c r="A1318" s="672" t="str">
        <f t="shared" si="20"/>
        <v>175</v>
      </c>
      <c r="B1318" s="672">
        <v>17583</v>
      </c>
      <c r="C1318" s="673" t="s">
        <v>16</v>
      </c>
      <c r="D1318" s="672" t="s">
        <v>17</v>
      </c>
    </row>
    <row r="1319" spans="1:4" x14ac:dyDescent="0.2">
      <c r="A1319" s="672" t="str">
        <f t="shared" si="20"/>
        <v>175</v>
      </c>
      <c r="B1319" s="672">
        <v>17584</v>
      </c>
      <c r="C1319" s="673" t="s">
        <v>16</v>
      </c>
      <c r="D1319" s="672" t="s">
        <v>17</v>
      </c>
    </row>
    <row r="1320" spans="1:4" x14ac:dyDescent="0.2">
      <c r="A1320" s="672" t="str">
        <f t="shared" si="20"/>
        <v>175</v>
      </c>
      <c r="B1320" s="672">
        <v>17585</v>
      </c>
      <c r="C1320" s="673" t="s">
        <v>16</v>
      </c>
      <c r="D1320" s="672" t="s">
        <v>17</v>
      </c>
    </row>
    <row r="1321" spans="1:4" x14ac:dyDescent="0.2">
      <c r="A1321" s="672" t="str">
        <f t="shared" si="20"/>
        <v>176</v>
      </c>
      <c r="B1321" s="672">
        <v>17601</v>
      </c>
      <c r="C1321" s="673" t="s">
        <v>16</v>
      </c>
      <c r="D1321" s="672" t="s">
        <v>17</v>
      </c>
    </row>
    <row r="1322" spans="1:4" x14ac:dyDescent="0.2">
      <c r="A1322" s="672" t="str">
        <f t="shared" si="20"/>
        <v>176</v>
      </c>
      <c r="B1322" s="672">
        <v>17602</v>
      </c>
      <c r="C1322" s="673" t="s">
        <v>16</v>
      </c>
      <c r="D1322" s="672" t="s">
        <v>17</v>
      </c>
    </row>
    <row r="1323" spans="1:4" x14ac:dyDescent="0.2">
      <c r="A1323" s="672" t="str">
        <f t="shared" si="20"/>
        <v>176</v>
      </c>
      <c r="B1323" s="672">
        <v>17603</v>
      </c>
      <c r="C1323" s="673" t="s">
        <v>16</v>
      </c>
      <c r="D1323" s="672" t="s">
        <v>17</v>
      </c>
    </row>
    <row r="1324" spans="1:4" x14ac:dyDescent="0.2">
      <c r="A1324" s="672" t="str">
        <f t="shared" si="20"/>
        <v>176</v>
      </c>
      <c r="B1324" s="672">
        <v>17604</v>
      </c>
      <c r="C1324" s="673" t="s">
        <v>16</v>
      </c>
      <c r="D1324" s="672" t="s">
        <v>17</v>
      </c>
    </row>
    <row r="1325" spans="1:4" x14ac:dyDescent="0.2">
      <c r="A1325" s="672" t="str">
        <f t="shared" si="20"/>
        <v>176</v>
      </c>
      <c r="B1325" s="672">
        <v>17605</v>
      </c>
      <c r="C1325" s="673" t="s">
        <v>16</v>
      </c>
      <c r="D1325" s="672" t="s">
        <v>17</v>
      </c>
    </row>
    <row r="1326" spans="1:4" x14ac:dyDescent="0.2">
      <c r="A1326" s="672" t="str">
        <f t="shared" si="20"/>
        <v>176</v>
      </c>
      <c r="B1326" s="672">
        <v>17606</v>
      </c>
      <c r="C1326" s="673" t="s">
        <v>16</v>
      </c>
      <c r="D1326" s="672" t="s">
        <v>17</v>
      </c>
    </row>
    <row r="1327" spans="1:4" x14ac:dyDescent="0.2">
      <c r="A1327" s="672" t="str">
        <f t="shared" si="20"/>
        <v>176</v>
      </c>
      <c r="B1327" s="672">
        <v>17607</v>
      </c>
      <c r="C1327" s="673" t="s">
        <v>16</v>
      </c>
      <c r="D1327" s="672" t="s">
        <v>17</v>
      </c>
    </row>
    <row r="1328" spans="1:4" x14ac:dyDescent="0.2">
      <c r="A1328" s="672" t="str">
        <f t="shared" si="20"/>
        <v>176</v>
      </c>
      <c r="B1328" s="672">
        <v>17608</v>
      </c>
      <c r="C1328" s="673" t="s">
        <v>16</v>
      </c>
      <c r="D1328" s="672" t="s">
        <v>17</v>
      </c>
    </row>
    <row r="1329" spans="1:4" x14ac:dyDescent="0.2">
      <c r="A1329" s="672" t="str">
        <f t="shared" si="20"/>
        <v>176</v>
      </c>
      <c r="B1329" s="672">
        <v>17611</v>
      </c>
      <c r="C1329" s="673" t="s">
        <v>16</v>
      </c>
      <c r="D1329" s="672" t="s">
        <v>17</v>
      </c>
    </row>
    <row r="1330" spans="1:4" x14ac:dyDescent="0.2">
      <c r="A1330" s="672" t="str">
        <f t="shared" si="20"/>
        <v>176</v>
      </c>
      <c r="B1330" s="672">
        <v>17622</v>
      </c>
      <c r="C1330" s="673" t="s">
        <v>16</v>
      </c>
      <c r="D1330" s="672" t="s">
        <v>17</v>
      </c>
    </row>
    <row r="1331" spans="1:4" x14ac:dyDescent="0.2">
      <c r="A1331" s="672" t="str">
        <f t="shared" si="20"/>
        <v>176</v>
      </c>
      <c r="B1331" s="672">
        <v>17699</v>
      </c>
      <c r="C1331" s="673" t="s">
        <v>16</v>
      </c>
      <c r="D1331" s="672" t="s">
        <v>17</v>
      </c>
    </row>
    <row r="1332" spans="1:4" x14ac:dyDescent="0.2">
      <c r="A1332" s="672" t="str">
        <f t="shared" si="20"/>
        <v>177</v>
      </c>
      <c r="B1332" s="672">
        <v>17701</v>
      </c>
      <c r="C1332" s="673" t="s">
        <v>12</v>
      </c>
      <c r="D1332" s="672" t="s">
        <v>13</v>
      </c>
    </row>
    <row r="1333" spans="1:4" x14ac:dyDescent="0.2">
      <c r="A1333" s="672" t="str">
        <f t="shared" si="20"/>
        <v>177</v>
      </c>
      <c r="B1333" s="672">
        <v>17702</v>
      </c>
      <c r="C1333" s="673" t="s">
        <v>12</v>
      </c>
      <c r="D1333" s="672" t="s">
        <v>13</v>
      </c>
    </row>
    <row r="1334" spans="1:4" x14ac:dyDescent="0.2">
      <c r="A1334" s="672" t="str">
        <f t="shared" si="20"/>
        <v>177</v>
      </c>
      <c r="B1334" s="672">
        <v>17703</v>
      </c>
      <c r="C1334" s="673" t="s">
        <v>12</v>
      </c>
      <c r="D1334" s="672" t="s">
        <v>13</v>
      </c>
    </row>
    <row r="1335" spans="1:4" x14ac:dyDescent="0.2">
      <c r="A1335" s="672" t="str">
        <f t="shared" si="20"/>
        <v>177</v>
      </c>
      <c r="B1335" s="672">
        <v>17705</v>
      </c>
      <c r="C1335" s="673" t="s">
        <v>12</v>
      </c>
      <c r="D1335" s="672" t="s">
        <v>13</v>
      </c>
    </row>
    <row r="1336" spans="1:4" x14ac:dyDescent="0.2">
      <c r="A1336" s="672" t="str">
        <f t="shared" si="20"/>
        <v>177</v>
      </c>
      <c r="B1336" s="672">
        <v>17720</v>
      </c>
      <c r="C1336" s="673" t="s">
        <v>12</v>
      </c>
      <c r="D1336" s="672" t="s">
        <v>13</v>
      </c>
    </row>
    <row r="1337" spans="1:4" x14ac:dyDescent="0.2">
      <c r="A1337" s="672" t="str">
        <f t="shared" si="20"/>
        <v>177</v>
      </c>
      <c r="B1337" s="672">
        <v>17721</v>
      </c>
      <c r="C1337" s="673" t="s">
        <v>12</v>
      </c>
      <c r="D1337" s="672" t="s">
        <v>13</v>
      </c>
    </row>
    <row r="1338" spans="1:4" x14ac:dyDescent="0.2">
      <c r="A1338" s="672" t="str">
        <f t="shared" si="20"/>
        <v>177</v>
      </c>
      <c r="B1338" s="672">
        <v>17722</v>
      </c>
      <c r="C1338" s="673" t="s">
        <v>12</v>
      </c>
      <c r="D1338" s="672" t="s">
        <v>13</v>
      </c>
    </row>
    <row r="1339" spans="1:4" x14ac:dyDescent="0.2">
      <c r="A1339" s="672" t="str">
        <f t="shared" si="20"/>
        <v>177</v>
      </c>
      <c r="B1339" s="672">
        <v>17723</v>
      </c>
      <c r="C1339" s="673" t="s">
        <v>12</v>
      </c>
      <c r="D1339" s="672" t="s">
        <v>13</v>
      </c>
    </row>
    <row r="1340" spans="1:4" x14ac:dyDescent="0.2">
      <c r="A1340" s="672" t="str">
        <f t="shared" si="20"/>
        <v>177</v>
      </c>
      <c r="B1340" s="672">
        <v>17724</v>
      </c>
      <c r="C1340" s="673" t="s">
        <v>14</v>
      </c>
      <c r="D1340" s="672" t="s">
        <v>15</v>
      </c>
    </row>
    <row r="1341" spans="1:4" x14ac:dyDescent="0.2">
      <c r="A1341" s="672" t="str">
        <f t="shared" si="20"/>
        <v>177</v>
      </c>
      <c r="B1341" s="672">
        <v>17726</v>
      </c>
      <c r="C1341" s="673" t="s">
        <v>12</v>
      </c>
      <c r="D1341" s="672" t="s">
        <v>13</v>
      </c>
    </row>
    <row r="1342" spans="1:4" x14ac:dyDescent="0.2">
      <c r="A1342" s="672" t="str">
        <f t="shared" si="20"/>
        <v>177</v>
      </c>
      <c r="B1342" s="672">
        <v>17727</v>
      </c>
      <c r="C1342" s="673" t="s">
        <v>12</v>
      </c>
      <c r="D1342" s="672" t="s">
        <v>13</v>
      </c>
    </row>
    <row r="1343" spans="1:4" x14ac:dyDescent="0.2">
      <c r="A1343" s="672" t="str">
        <f t="shared" si="20"/>
        <v>177</v>
      </c>
      <c r="B1343" s="672">
        <v>17728</v>
      </c>
      <c r="C1343" s="673" t="s">
        <v>12</v>
      </c>
      <c r="D1343" s="672" t="s">
        <v>13</v>
      </c>
    </row>
    <row r="1344" spans="1:4" x14ac:dyDescent="0.2">
      <c r="A1344" s="672" t="str">
        <f t="shared" si="20"/>
        <v>177</v>
      </c>
      <c r="B1344" s="672">
        <v>17729</v>
      </c>
      <c r="C1344" s="673" t="s">
        <v>12</v>
      </c>
      <c r="D1344" s="672" t="s">
        <v>13</v>
      </c>
    </row>
    <row r="1345" spans="1:4" x14ac:dyDescent="0.2">
      <c r="A1345" s="672" t="str">
        <f t="shared" si="20"/>
        <v>177</v>
      </c>
      <c r="B1345" s="672">
        <v>17730</v>
      </c>
      <c r="C1345" s="673" t="s">
        <v>12</v>
      </c>
      <c r="D1345" s="672" t="s">
        <v>13</v>
      </c>
    </row>
    <row r="1346" spans="1:4" x14ac:dyDescent="0.2">
      <c r="A1346" s="672" t="str">
        <f t="shared" ref="A1346:A1409" si="21">LEFT(B1346,3)</f>
        <v>177</v>
      </c>
      <c r="B1346" s="672">
        <v>17731</v>
      </c>
      <c r="C1346" s="673" t="s">
        <v>14</v>
      </c>
      <c r="D1346" s="672" t="s">
        <v>15</v>
      </c>
    </row>
    <row r="1347" spans="1:4" x14ac:dyDescent="0.2">
      <c r="A1347" s="672" t="str">
        <f t="shared" si="21"/>
        <v>177</v>
      </c>
      <c r="B1347" s="672">
        <v>17735</v>
      </c>
      <c r="C1347" s="673" t="s">
        <v>14</v>
      </c>
      <c r="D1347" s="672" t="s">
        <v>15</v>
      </c>
    </row>
    <row r="1348" spans="1:4" x14ac:dyDescent="0.2">
      <c r="A1348" s="672" t="str">
        <f t="shared" si="21"/>
        <v>177</v>
      </c>
      <c r="B1348" s="672">
        <v>17737</v>
      </c>
      <c r="C1348" s="673" t="s">
        <v>12</v>
      </c>
      <c r="D1348" s="672" t="s">
        <v>13</v>
      </c>
    </row>
    <row r="1349" spans="1:4" x14ac:dyDescent="0.2">
      <c r="A1349" s="672" t="str">
        <f t="shared" si="21"/>
        <v>177</v>
      </c>
      <c r="B1349" s="672">
        <v>17738</v>
      </c>
      <c r="C1349" s="673" t="s">
        <v>12</v>
      </c>
      <c r="D1349" s="672" t="s">
        <v>13</v>
      </c>
    </row>
    <row r="1350" spans="1:4" x14ac:dyDescent="0.2">
      <c r="A1350" s="672" t="str">
        <f t="shared" si="21"/>
        <v>177</v>
      </c>
      <c r="B1350" s="672">
        <v>17739</v>
      </c>
      <c r="C1350" s="673" t="s">
        <v>12</v>
      </c>
      <c r="D1350" s="672" t="s">
        <v>13</v>
      </c>
    </row>
    <row r="1351" spans="1:4" x14ac:dyDescent="0.2">
      <c r="A1351" s="672" t="str">
        <f t="shared" si="21"/>
        <v>177</v>
      </c>
      <c r="B1351" s="672">
        <v>17740</v>
      </c>
      <c r="C1351" s="673" t="s">
        <v>12</v>
      </c>
      <c r="D1351" s="672" t="s">
        <v>13</v>
      </c>
    </row>
    <row r="1352" spans="1:4" x14ac:dyDescent="0.2">
      <c r="A1352" s="672" t="str">
        <f t="shared" si="21"/>
        <v>177</v>
      </c>
      <c r="B1352" s="672">
        <v>17742</v>
      </c>
      <c r="C1352" s="673" t="s">
        <v>12</v>
      </c>
      <c r="D1352" s="672" t="s">
        <v>13</v>
      </c>
    </row>
    <row r="1353" spans="1:4" x14ac:dyDescent="0.2">
      <c r="A1353" s="672" t="str">
        <f t="shared" si="21"/>
        <v>177</v>
      </c>
      <c r="B1353" s="672">
        <v>17743</v>
      </c>
      <c r="C1353" s="673" t="s">
        <v>14</v>
      </c>
      <c r="D1353" s="672" t="s">
        <v>15</v>
      </c>
    </row>
    <row r="1354" spans="1:4" x14ac:dyDescent="0.2">
      <c r="A1354" s="672" t="str">
        <f t="shared" si="21"/>
        <v>177</v>
      </c>
      <c r="B1354" s="672">
        <v>17744</v>
      </c>
      <c r="C1354" s="673" t="s">
        <v>12</v>
      </c>
      <c r="D1354" s="672" t="s">
        <v>13</v>
      </c>
    </row>
    <row r="1355" spans="1:4" x14ac:dyDescent="0.2">
      <c r="A1355" s="672" t="str">
        <f t="shared" si="21"/>
        <v>177</v>
      </c>
      <c r="B1355" s="672">
        <v>17745</v>
      </c>
      <c r="C1355" s="673" t="s">
        <v>12</v>
      </c>
      <c r="D1355" s="672" t="s">
        <v>13</v>
      </c>
    </row>
    <row r="1356" spans="1:4" x14ac:dyDescent="0.2">
      <c r="A1356" s="672" t="str">
        <f t="shared" si="21"/>
        <v>177</v>
      </c>
      <c r="B1356" s="672">
        <v>17747</v>
      </c>
      <c r="C1356" s="673" t="s">
        <v>12</v>
      </c>
      <c r="D1356" s="672" t="s">
        <v>13</v>
      </c>
    </row>
    <row r="1357" spans="1:4" x14ac:dyDescent="0.2">
      <c r="A1357" s="672" t="str">
        <f t="shared" si="21"/>
        <v>177</v>
      </c>
      <c r="B1357" s="672">
        <v>17748</v>
      </c>
      <c r="C1357" s="673" t="s">
        <v>12</v>
      </c>
      <c r="D1357" s="672" t="s">
        <v>13</v>
      </c>
    </row>
    <row r="1358" spans="1:4" x14ac:dyDescent="0.2">
      <c r="A1358" s="672" t="str">
        <f t="shared" si="21"/>
        <v>177</v>
      </c>
      <c r="B1358" s="672">
        <v>17749</v>
      </c>
      <c r="C1358" s="673" t="s">
        <v>12</v>
      </c>
      <c r="D1358" s="672" t="s">
        <v>13</v>
      </c>
    </row>
    <row r="1359" spans="1:4" x14ac:dyDescent="0.2">
      <c r="A1359" s="672" t="str">
        <f t="shared" si="21"/>
        <v>177</v>
      </c>
      <c r="B1359" s="672">
        <v>17750</v>
      </c>
      <c r="C1359" s="673" t="s">
        <v>12</v>
      </c>
      <c r="D1359" s="672" t="s">
        <v>13</v>
      </c>
    </row>
    <row r="1360" spans="1:4" x14ac:dyDescent="0.2">
      <c r="A1360" s="672" t="str">
        <f t="shared" si="21"/>
        <v>177</v>
      </c>
      <c r="B1360" s="672">
        <v>17751</v>
      </c>
      <c r="C1360" s="673" t="s">
        <v>12</v>
      </c>
      <c r="D1360" s="672" t="s">
        <v>13</v>
      </c>
    </row>
    <row r="1361" spans="1:4" x14ac:dyDescent="0.2">
      <c r="A1361" s="672" t="str">
        <f t="shared" si="21"/>
        <v>177</v>
      </c>
      <c r="B1361" s="672">
        <v>17752</v>
      </c>
      <c r="C1361" s="673" t="s">
        <v>12</v>
      </c>
      <c r="D1361" s="672" t="s">
        <v>13</v>
      </c>
    </row>
    <row r="1362" spans="1:4" x14ac:dyDescent="0.2">
      <c r="A1362" s="672" t="str">
        <f t="shared" si="21"/>
        <v>177</v>
      </c>
      <c r="B1362" s="672">
        <v>17754</v>
      </c>
      <c r="C1362" s="673" t="s">
        <v>12</v>
      </c>
      <c r="D1362" s="672" t="s">
        <v>13</v>
      </c>
    </row>
    <row r="1363" spans="1:4" x14ac:dyDescent="0.2">
      <c r="A1363" s="672" t="str">
        <f t="shared" si="21"/>
        <v>177</v>
      </c>
      <c r="B1363" s="672">
        <v>17756</v>
      </c>
      <c r="C1363" s="673" t="s">
        <v>12</v>
      </c>
      <c r="D1363" s="672" t="s">
        <v>13</v>
      </c>
    </row>
    <row r="1364" spans="1:4" x14ac:dyDescent="0.2">
      <c r="A1364" s="672" t="str">
        <f t="shared" si="21"/>
        <v>177</v>
      </c>
      <c r="B1364" s="672">
        <v>17758</v>
      </c>
      <c r="C1364" s="673" t="s">
        <v>14</v>
      </c>
      <c r="D1364" s="672" t="s">
        <v>15</v>
      </c>
    </row>
    <row r="1365" spans="1:4" x14ac:dyDescent="0.2">
      <c r="A1365" s="672" t="str">
        <f t="shared" si="21"/>
        <v>177</v>
      </c>
      <c r="B1365" s="672">
        <v>17759</v>
      </c>
      <c r="C1365" s="673" t="s">
        <v>12</v>
      </c>
      <c r="D1365" s="672" t="s">
        <v>13</v>
      </c>
    </row>
    <row r="1366" spans="1:4" x14ac:dyDescent="0.2">
      <c r="A1366" s="672" t="str">
        <f t="shared" si="21"/>
        <v>177</v>
      </c>
      <c r="B1366" s="672">
        <v>17760</v>
      </c>
      <c r="C1366" s="673" t="s">
        <v>12</v>
      </c>
      <c r="D1366" s="672" t="s">
        <v>13</v>
      </c>
    </row>
    <row r="1367" spans="1:4" x14ac:dyDescent="0.2">
      <c r="A1367" s="672" t="str">
        <f t="shared" si="21"/>
        <v>177</v>
      </c>
      <c r="B1367" s="672">
        <v>17762</v>
      </c>
      <c r="C1367" s="673" t="s">
        <v>12</v>
      </c>
      <c r="D1367" s="672" t="s">
        <v>13</v>
      </c>
    </row>
    <row r="1368" spans="1:4" x14ac:dyDescent="0.2">
      <c r="A1368" s="672" t="str">
        <f t="shared" si="21"/>
        <v>177</v>
      </c>
      <c r="B1368" s="672">
        <v>17763</v>
      </c>
      <c r="C1368" s="673" t="s">
        <v>12</v>
      </c>
      <c r="D1368" s="672" t="s">
        <v>13</v>
      </c>
    </row>
    <row r="1369" spans="1:4" x14ac:dyDescent="0.2">
      <c r="A1369" s="672" t="str">
        <f t="shared" si="21"/>
        <v>177</v>
      </c>
      <c r="B1369" s="672">
        <v>17764</v>
      </c>
      <c r="C1369" s="673" t="s">
        <v>12</v>
      </c>
      <c r="D1369" s="672" t="s">
        <v>13</v>
      </c>
    </row>
    <row r="1370" spans="1:4" x14ac:dyDescent="0.2">
      <c r="A1370" s="672" t="str">
        <f t="shared" si="21"/>
        <v>177</v>
      </c>
      <c r="B1370" s="672">
        <v>17765</v>
      </c>
      <c r="C1370" s="673" t="s">
        <v>10</v>
      </c>
      <c r="D1370" s="672" t="s">
        <v>11</v>
      </c>
    </row>
    <row r="1371" spans="1:4" x14ac:dyDescent="0.2">
      <c r="A1371" s="672" t="str">
        <f t="shared" si="21"/>
        <v>177</v>
      </c>
      <c r="B1371" s="672">
        <v>17767</v>
      </c>
      <c r="C1371" s="673" t="s">
        <v>12</v>
      </c>
      <c r="D1371" s="672" t="s">
        <v>13</v>
      </c>
    </row>
    <row r="1372" spans="1:4" x14ac:dyDescent="0.2">
      <c r="A1372" s="672" t="str">
        <f t="shared" si="21"/>
        <v>177</v>
      </c>
      <c r="B1372" s="672">
        <v>17768</v>
      </c>
      <c r="C1372" s="673" t="s">
        <v>14</v>
      </c>
      <c r="D1372" s="672" t="s">
        <v>15</v>
      </c>
    </row>
    <row r="1373" spans="1:4" x14ac:dyDescent="0.2">
      <c r="A1373" s="672" t="str">
        <f t="shared" si="21"/>
        <v>177</v>
      </c>
      <c r="B1373" s="672">
        <v>17769</v>
      </c>
      <c r="C1373" s="673" t="s">
        <v>12</v>
      </c>
      <c r="D1373" s="672" t="s">
        <v>13</v>
      </c>
    </row>
    <row r="1374" spans="1:4" x14ac:dyDescent="0.2">
      <c r="A1374" s="672" t="str">
        <f t="shared" si="21"/>
        <v>177</v>
      </c>
      <c r="B1374" s="672">
        <v>17771</v>
      </c>
      <c r="C1374" s="673" t="s">
        <v>12</v>
      </c>
      <c r="D1374" s="672" t="s">
        <v>13</v>
      </c>
    </row>
    <row r="1375" spans="1:4" x14ac:dyDescent="0.2">
      <c r="A1375" s="672" t="str">
        <f t="shared" si="21"/>
        <v>177</v>
      </c>
      <c r="B1375" s="672">
        <v>17772</v>
      </c>
      <c r="C1375" s="673" t="s">
        <v>12</v>
      </c>
      <c r="D1375" s="672" t="s">
        <v>13</v>
      </c>
    </row>
    <row r="1376" spans="1:4" x14ac:dyDescent="0.2">
      <c r="A1376" s="672" t="str">
        <f t="shared" si="21"/>
        <v>177</v>
      </c>
      <c r="B1376" s="672">
        <v>17773</v>
      </c>
      <c r="C1376" s="673" t="s">
        <v>12</v>
      </c>
      <c r="D1376" s="672" t="s">
        <v>13</v>
      </c>
    </row>
    <row r="1377" spans="1:4" x14ac:dyDescent="0.2">
      <c r="A1377" s="672" t="str">
        <f t="shared" si="21"/>
        <v>177</v>
      </c>
      <c r="B1377" s="672">
        <v>17774</v>
      </c>
      <c r="C1377" s="673" t="s">
        <v>12</v>
      </c>
      <c r="D1377" s="672" t="s">
        <v>13</v>
      </c>
    </row>
    <row r="1378" spans="1:4" x14ac:dyDescent="0.2">
      <c r="A1378" s="672" t="str">
        <f t="shared" si="21"/>
        <v>177</v>
      </c>
      <c r="B1378" s="672">
        <v>17776</v>
      </c>
      <c r="C1378" s="673" t="s">
        <v>12</v>
      </c>
      <c r="D1378" s="672" t="s">
        <v>13</v>
      </c>
    </row>
    <row r="1379" spans="1:4" x14ac:dyDescent="0.2">
      <c r="A1379" s="672" t="str">
        <f t="shared" si="21"/>
        <v>177</v>
      </c>
      <c r="B1379" s="672">
        <v>17777</v>
      </c>
      <c r="C1379" s="673" t="s">
        <v>12</v>
      </c>
      <c r="D1379" s="672" t="s">
        <v>13</v>
      </c>
    </row>
    <row r="1380" spans="1:4" x14ac:dyDescent="0.2">
      <c r="A1380" s="672" t="str">
        <f t="shared" si="21"/>
        <v>177</v>
      </c>
      <c r="B1380" s="672">
        <v>17778</v>
      </c>
      <c r="C1380" s="673" t="s">
        <v>12</v>
      </c>
      <c r="D1380" s="672" t="s">
        <v>13</v>
      </c>
    </row>
    <row r="1381" spans="1:4" x14ac:dyDescent="0.2">
      <c r="A1381" s="672" t="str">
        <f t="shared" si="21"/>
        <v>177</v>
      </c>
      <c r="B1381" s="672">
        <v>17779</v>
      </c>
      <c r="C1381" s="673" t="s">
        <v>12</v>
      </c>
      <c r="D1381" s="672" t="s">
        <v>13</v>
      </c>
    </row>
    <row r="1382" spans="1:4" x14ac:dyDescent="0.2">
      <c r="A1382" s="672" t="str">
        <f t="shared" si="21"/>
        <v>178</v>
      </c>
      <c r="B1382" s="672">
        <v>17801</v>
      </c>
      <c r="C1382" s="673" t="s">
        <v>12</v>
      </c>
      <c r="D1382" s="672" t="s">
        <v>13</v>
      </c>
    </row>
    <row r="1383" spans="1:4" x14ac:dyDescent="0.2">
      <c r="A1383" s="672" t="str">
        <f t="shared" si="21"/>
        <v>178</v>
      </c>
      <c r="B1383" s="672">
        <v>17810</v>
      </c>
      <c r="C1383" s="673" t="s">
        <v>12</v>
      </c>
      <c r="D1383" s="672" t="s">
        <v>13</v>
      </c>
    </row>
    <row r="1384" spans="1:4" x14ac:dyDescent="0.2">
      <c r="A1384" s="672" t="str">
        <f t="shared" si="21"/>
        <v>178</v>
      </c>
      <c r="B1384" s="672">
        <v>17812</v>
      </c>
      <c r="C1384" s="673" t="s">
        <v>12</v>
      </c>
      <c r="D1384" s="672" t="s">
        <v>13</v>
      </c>
    </row>
    <row r="1385" spans="1:4" x14ac:dyDescent="0.2">
      <c r="A1385" s="672" t="str">
        <f t="shared" si="21"/>
        <v>178</v>
      </c>
      <c r="B1385" s="672">
        <v>17813</v>
      </c>
      <c r="C1385" s="673" t="s">
        <v>12</v>
      </c>
      <c r="D1385" s="672" t="s">
        <v>13</v>
      </c>
    </row>
    <row r="1386" spans="1:4" x14ac:dyDescent="0.2">
      <c r="A1386" s="672" t="str">
        <f t="shared" si="21"/>
        <v>178</v>
      </c>
      <c r="B1386" s="672">
        <v>17814</v>
      </c>
      <c r="C1386" s="673" t="s">
        <v>12</v>
      </c>
      <c r="D1386" s="672" t="s">
        <v>13</v>
      </c>
    </row>
    <row r="1387" spans="1:4" x14ac:dyDescent="0.2">
      <c r="A1387" s="672" t="str">
        <f t="shared" si="21"/>
        <v>178</v>
      </c>
      <c r="B1387" s="672">
        <v>17815</v>
      </c>
      <c r="C1387" s="673" t="s">
        <v>12</v>
      </c>
      <c r="D1387" s="672" t="s">
        <v>13</v>
      </c>
    </row>
    <row r="1388" spans="1:4" x14ac:dyDescent="0.2">
      <c r="A1388" s="672" t="str">
        <f t="shared" si="21"/>
        <v>178</v>
      </c>
      <c r="B1388" s="672">
        <v>17820</v>
      </c>
      <c r="C1388" s="673" t="s">
        <v>12</v>
      </c>
      <c r="D1388" s="672" t="s">
        <v>13</v>
      </c>
    </row>
    <row r="1389" spans="1:4" x14ac:dyDescent="0.2">
      <c r="A1389" s="672" t="str">
        <f t="shared" si="21"/>
        <v>178</v>
      </c>
      <c r="B1389" s="672">
        <v>17821</v>
      </c>
      <c r="C1389" s="673" t="s">
        <v>12</v>
      </c>
      <c r="D1389" s="672" t="s">
        <v>13</v>
      </c>
    </row>
    <row r="1390" spans="1:4" x14ac:dyDescent="0.2">
      <c r="A1390" s="672" t="str">
        <f t="shared" si="21"/>
        <v>178</v>
      </c>
      <c r="B1390" s="672">
        <v>17822</v>
      </c>
      <c r="C1390" s="673" t="s">
        <v>12</v>
      </c>
      <c r="D1390" s="672" t="s">
        <v>13</v>
      </c>
    </row>
    <row r="1391" spans="1:4" x14ac:dyDescent="0.2">
      <c r="A1391" s="672" t="str">
        <f t="shared" si="21"/>
        <v>178</v>
      </c>
      <c r="B1391" s="672">
        <v>17823</v>
      </c>
      <c r="C1391" s="673" t="s">
        <v>12</v>
      </c>
      <c r="D1391" s="672" t="s">
        <v>13</v>
      </c>
    </row>
    <row r="1392" spans="1:4" x14ac:dyDescent="0.2">
      <c r="A1392" s="672" t="str">
        <f t="shared" si="21"/>
        <v>178</v>
      </c>
      <c r="B1392" s="672">
        <v>17824</v>
      </c>
      <c r="C1392" s="673" t="s">
        <v>12</v>
      </c>
      <c r="D1392" s="672" t="s">
        <v>13</v>
      </c>
    </row>
    <row r="1393" spans="1:4" x14ac:dyDescent="0.2">
      <c r="A1393" s="672" t="str">
        <f t="shared" si="21"/>
        <v>178</v>
      </c>
      <c r="B1393" s="672">
        <v>17825</v>
      </c>
      <c r="C1393" s="673" t="s">
        <v>12</v>
      </c>
      <c r="D1393" s="672" t="s">
        <v>13</v>
      </c>
    </row>
    <row r="1394" spans="1:4" x14ac:dyDescent="0.2">
      <c r="A1394" s="672" t="str">
        <f t="shared" si="21"/>
        <v>178</v>
      </c>
      <c r="B1394" s="672">
        <v>17827</v>
      </c>
      <c r="C1394" s="673" t="s">
        <v>12</v>
      </c>
      <c r="D1394" s="672" t="s">
        <v>13</v>
      </c>
    </row>
    <row r="1395" spans="1:4" x14ac:dyDescent="0.2">
      <c r="A1395" s="672" t="str">
        <f t="shared" si="21"/>
        <v>178</v>
      </c>
      <c r="B1395" s="672">
        <v>17828</v>
      </c>
      <c r="C1395" s="673" t="s">
        <v>12</v>
      </c>
      <c r="D1395" s="672" t="s">
        <v>13</v>
      </c>
    </row>
    <row r="1396" spans="1:4" x14ac:dyDescent="0.2">
      <c r="A1396" s="672" t="str">
        <f t="shared" si="21"/>
        <v>178</v>
      </c>
      <c r="B1396" s="672">
        <v>17829</v>
      </c>
      <c r="C1396" s="673" t="s">
        <v>12</v>
      </c>
      <c r="D1396" s="672" t="s">
        <v>13</v>
      </c>
    </row>
    <row r="1397" spans="1:4" x14ac:dyDescent="0.2">
      <c r="A1397" s="672" t="str">
        <f t="shared" si="21"/>
        <v>178</v>
      </c>
      <c r="B1397" s="672">
        <v>17830</v>
      </c>
      <c r="C1397" s="673" t="s">
        <v>12</v>
      </c>
      <c r="D1397" s="672" t="s">
        <v>13</v>
      </c>
    </row>
    <row r="1398" spans="1:4" x14ac:dyDescent="0.2">
      <c r="A1398" s="672" t="str">
        <f t="shared" si="21"/>
        <v>178</v>
      </c>
      <c r="B1398" s="672">
        <v>17831</v>
      </c>
      <c r="C1398" s="673" t="s">
        <v>12</v>
      </c>
      <c r="D1398" s="672" t="s">
        <v>13</v>
      </c>
    </row>
    <row r="1399" spans="1:4" x14ac:dyDescent="0.2">
      <c r="A1399" s="672" t="str">
        <f t="shared" si="21"/>
        <v>178</v>
      </c>
      <c r="B1399" s="672">
        <v>17832</v>
      </c>
      <c r="C1399" s="673" t="s">
        <v>12</v>
      </c>
      <c r="D1399" s="672" t="s">
        <v>13</v>
      </c>
    </row>
    <row r="1400" spans="1:4" x14ac:dyDescent="0.2">
      <c r="A1400" s="672" t="str">
        <f t="shared" si="21"/>
        <v>178</v>
      </c>
      <c r="B1400" s="672">
        <v>17833</v>
      </c>
      <c r="C1400" s="673" t="s">
        <v>12</v>
      </c>
      <c r="D1400" s="672" t="s">
        <v>13</v>
      </c>
    </row>
    <row r="1401" spans="1:4" x14ac:dyDescent="0.2">
      <c r="A1401" s="672" t="str">
        <f t="shared" si="21"/>
        <v>178</v>
      </c>
      <c r="B1401" s="672">
        <v>17834</v>
      </c>
      <c r="C1401" s="673" t="s">
        <v>12</v>
      </c>
      <c r="D1401" s="672" t="s">
        <v>13</v>
      </c>
    </row>
    <row r="1402" spans="1:4" x14ac:dyDescent="0.2">
      <c r="A1402" s="672" t="str">
        <f t="shared" si="21"/>
        <v>178</v>
      </c>
      <c r="B1402" s="672">
        <v>17835</v>
      </c>
      <c r="C1402" s="673" t="s">
        <v>12</v>
      </c>
      <c r="D1402" s="672" t="s">
        <v>13</v>
      </c>
    </row>
    <row r="1403" spans="1:4" x14ac:dyDescent="0.2">
      <c r="A1403" s="672" t="str">
        <f t="shared" si="21"/>
        <v>178</v>
      </c>
      <c r="B1403" s="672">
        <v>17836</v>
      </c>
      <c r="C1403" s="673" t="s">
        <v>12</v>
      </c>
      <c r="D1403" s="672" t="s">
        <v>13</v>
      </c>
    </row>
    <row r="1404" spans="1:4" x14ac:dyDescent="0.2">
      <c r="A1404" s="672" t="str">
        <f t="shared" si="21"/>
        <v>178</v>
      </c>
      <c r="B1404" s="672">
        <v>17837</v>
      </c>
      <c r="C1404" s="673" t="s">
        <v>12</v>
      </c>
      <c r="D1404" s="672" t="s">
        <v>13</v>
      </c>
    </row>
    <row r="1405" spans="1:4" x14ac:dyDescent="0.2">
      <c r="A1405" s="672" t="str">
        <f t="shared" si="21"/>
        <v>178</v>
      </c>
      <c r="B1405" s="672">
        <v>17839</v>
      </c>
      <c r="C1405" s="673" t="s">
        <v>12</v>
      </c>
      <c r="D1405" s="672" t="s">
        <v>13</v>
      </c>
    </row>
    <row r="1406" spans="1:4" x14ac:dyDescent="0.2">
      <c r="A1406" s="672" t="str">
        <f t="shared" si="21"/>
        <v>178</v>
      </c>
      <c r="B1406" s="672">
        <v>17840</v>
      </c>
      <c r="C1406" s="673" t="s">
        <v>12</v>
      </c>
      <c r="D1406" s="672" t="s">
        <v>13</v>
      </c>
    </row>
    <row r="1407" spans="1:4" x14ac:dyDescent="0.2">
      <c r="A1407" s="672" t="str">
        <f t="shared" si="21"/>
        <v>178</v>
      </c>
      <c r="B1407" s="672">
        <v>17841</v>
      </c>
      <c r="C1407" s="673" t="s">
        <v>12</v>
      </c>
      <c r="D1407" s="672" t="s">
        <v>13</v>
      </c>
    </row>
    <row r="1408" spans="1:4" x14ac:dyDescent="0.2">
      <c r="A1408" s="672" t="str">
        <f t="shared" si="21"/>
        <v>178</v>
      </c>
      <c r="B1408" s="672">
        <v>17842</v>
      </c>
      <c r="C1408" s="673" t="s">
        <v>12</v>
      </c>
      <c r="D1408" s="672" t="s">
        <v>13</v>
      </c>
    </row>
    <row r="1409" spans="1:4" x14ac:dyDescent="0.2">
      <c r="A1409" s="672" t="str">
        <f t="shared" si="21"/>
        <v>178</v>
      </c>
      <c r="B1409" s="672">
        <v>17843</v>
      </c>
      <c r="C1409" s="673" t="s">
        <v>12</v>
      </c>
      <c r="D1409" s="672" t="s">
        <v>13</v>
      </c>
    </row>
    <row r="1410" spans="1:4" x14ac:dyDescent="0.2">
      <c r="A1410" s="672" t="str">
        <f t="shared" ref="A1410:A1473" si="22">LEFT(B1410,3)</f>
        <v>178</v>
      </c>
      <c r="B1410" s="672">
        <v>17844</v>
      </c>
      <c r="C1410" s="673" t="s">
        <v>12</v>
      </c>
      <c r="D1410" s="672" t="s">
        <v>13</v>
      </c>
    </row>
    <row r="1411" spans="1:4" x14ac:dyDescent="0.2">
      <c r="A1411" s="672" t="str">
        <f t="shared" si="22"/>
        <v>178</v>
      </c>
      <c r="B1411" s="672">
        <v>17845</v>
      </c>
      <c r="C1411" s="673" t="s">
        <v>12</v>
      </c>
      <c r="D1411" s="672" t="s">
        <v>13</v>
      </c>
    </row>
    <row r="1412" spans="1:4" x14ac:dyDescent="0.2">
      <c r="A1412" s="672" t="str">
        <f t="shared" si="22"/>
        <v>178</v>
      </c>
      <c r="B1412" s="672">
        <v>17846</v>
      </c>
      <c r="C1412" s="673" t="s">
        <v>12</v>
      </c>
      <c r="D1412" s="672" t="s">
        <v>13</v>
      </c>
    </row>
    <row r="1413" spans="1:4" x14ac:dyDescent="0.2">
      <c r="A1413" s="672" t="str">
        <f t="shared" si="22"/>
        <v>178</v>
      </c>
      <c r="B1413" s="672">
        <v>17847</v>
      </c>
      <c r="C1413" s="673" t="s">
        <v>12</v>
      </c>
      <c r="D1413" s="672" t="s">
        <v>13</v>
      </c>
    </row>
    <row r="1414" spans="1:4" x14ac:dyDescent="0.2">
      <c r="A1414" s="672" t="str">
        <f t="shared" si="22"/>
        <v>178</v>
      </c>
      <c r="B1414" s="672">
        <v>17850</v>
      </c>
      <c r="C1414" s="673" t="s">
        <v>12</v>
      </c>
      <c r="D1414" s="672" t="s">
        <v>13</v>
      </c>
    </row>
    <row r="1415" spans="1:4" x14ac:dyDescent="0.2">
      <c r="A1415" s="672" t="str">
        <f t="shared" si="22"/>
        <v>178</v>
      </c>
      <c r="B1415" s="672">
        <v>17851</v>
      </c>
      <c r="C1415" s="673" t="s">
        <v>12</v>
      </c>
      <c r="D1415" s="672" t="s">
        <v>13</v>
      </c>
    </row>
    <row r="1416" spans="1:4" x14ac:dyDescent="0.2">
      <c r="A1416" s="672" t="str">
        <f t="shared" si="22"/>
        <v>178</v>
      </c>
      <c r="B1416" s="672">
        <v>17853</v>
      </c>
      <c r="C1416" s="673" t="s">
        <v>12</v>
      </c>
      <c r="D1416" s="672" t="s">
        <v>13</v>
      </c>
    </row>
    <row r="1417" spans="1:4" x14ac:dyDescent="0.2">
      <c r="A1417" s="672" t="str">
        <f t="shared" si="22"/>
        <v>178</v>
      </c>
      <c r="B1417" s="672">
        <v>17855</v>
      </c>
      <c r="C1417" s="673" t="s">
        <v>12</v>
      </c>
      <c r="D1417" s="672" t="s">
        <v>13</v>
      </c>
    </row>
    <row r="1418" spans="1:4" x14ac:dyDescent="0.2">
      <c r="A1418" s="672" t="str">
        <f t="shared" si="22"/>
        <v>178</v>
      </c>
      <c r="B1418" s="672">
        <v>17856</v>
      </c>
      <c r="C1418" s="673" t="s">
        <v>12</v>
      </c>
      <c r="D1418" s="672" t="s">
        <v>13</v>
      </c>
    </row>
    <row r="1419" spans="1:4" x14ac:dyDescent="0.2">
      <c r="A1419" s="672" t="str">
        <f t="shared" si="22"/>
        <v>178</v>
      </c>
      <c r="B1419" s="672">
        <v>17857</v>
      </c>
      <c r="C1419" s="673" t="s">
        <v>12</v>
      </c>
      <c r="D1419" s="672" t="s">
        <v>13</v>
      </c>
    </row>
    <row r="1420" spans="1:4" x14ac:dyDescent="0.2">
      <c r="A1420" s="672" t="str">
        <f t="shared" si="22"/>
        <v>178</v>
      </c>
      <c r="B1420" s="672">
        <v>17858</v>
      </c>
      <c r="C1420" s="673" t="s">
        <v>12</v>
      </c>
      <c r="D1420" s="672" t="s">
        <v>13</v>
      </c>
    </row>
    <row r="1421" spans="1:4" x14ac:dyDescent="0.2">
      <c r="A1421" s="672" t="str">
        <f t="shared" si="22"/>
        <v>178</v>
      </c>
      <c r="B1421" s="672">
        <v>17859</v>
      </c>
      <c r="C1421" s="673" t="s">
        <v>12</v>
      </c>
      <c r="D1421" s="672" t="s">
        <v>13</v>
      </c>
    </row>
    <row r="1422" spans="1:4" x14ac:dyDescent="0.2">
      <c r="A1422" s="672" t="str">
        <f t="shared" si="22"/>
        <v>178</v>
      </c>
      <c r="B1422" s="672">
        <v>17860</v>
      </c>
      <c r="C1422" s="673" t="s">
        <v>12</v>
      </c>
      <c r="D1422" s="672" t="s">
        <v>13</v>
      </c>
    </row>
    <row r="1423" spans="1:4" x14ac:dyDescent="0.2">
      <c r="A1423" s="672" t="str">
        <f t="shared" si="22"/>
        <v>178</v>
      </c>
      <c r="B1423" s="672">
        <v>17861</v>
      </c>
      <c r="C1423" s="673" t="s">
        <v>12</v>
      </c>
      <c r="D1423" s="672" t="s">
        <v>13</v>
      </c>
    </row>
    <row r="1424" spans="1:4" x14ac:dyDescent="0.2">
      <c r="A1424" s="672" t="str">
        <f t="shared" si="22"/>
        <v>178</v>
      </c>
      <c r="B1424" s="672">
        <v>17862</v>
      </c>
      <c r="C1424" s="673" t="s">
        <v>12</v>
      </c>
      <c r="D1424" s="672" t="s">
        <v>13</v>
      </c>
    </row>
    <row r="1425" spans="1:4" x14ac:dyDescent="0.2">
      <c r="A1425" s="672" t="str">
        <f t="shared" si="22"/>
        <v>178</v>
      </c>
      <c r="B1425" s="672">
        <v>17864</v>
      </c>
      <c r="C1425" s="673" t="s">
        <v>12</v>
      </c>
      <c r="D1425" s="672" t="s">
        <v>13</v>
      </c>
    </row>
    <row r="1426" spans="1:4" x14ac:dyDescent="0.2">
      <c r="A1426" s="672" t="str">
        <f t="shared" si="22"/>
        <v>178</v>
      </c>
      <c r="B1426" s="672">
        <v>17865</v>
      </c>
      <c r="C1426" s="673" t="s">
        <v>12</v>
      </c>
      <c r="D1426" s="672" t="s">
        <v>13</v>
      </c>
    </row>
    <row r="1427" spans="1:4" x14ac:dyDescent="0.2">
      <c r="A1427" s="672" t="str">
        <f t="shared" si="22"/>
        <v>178</v>
      </c>
      <c r="B1427" s="672">
        <v>17866</v>
      </c>
      <c r="C1427" s="673" t="s">
        <v>12</v>
      </c>
      <c r="D1427" s="672" t="s">
        <v>13</v>
      </c>
    </row>
    <row r="1428" spans="1:4" x14ac:dyDescent="0.2">
      <c r="A1428" s="672" t="str">
        <f t="shared" si="22"/>
        <v>178</v>
      </c>
      <c r="B1428" s="672">
        <v>17867</v>
      </c>
      <c r="C1428" s="673" t="s">
        <v>12</v>
      </c>
      <c r="D1428" s="672" t="s">
        <v>13</v>
      </c>
    </row>
    <row r="1429" spans="1:4" x14ac:dyDescent="0.2">
      <c r="A1429" s="672" t="str">
        <f t="shared" si="22"/>
        <v>178</v>
      </c>
      <c r="B1429" s="672">
        <v>17868</v>
      </c>
      <c r="C1429" s="673" t="s">
        <v>12</v>
      </c>
      <c r="D1429" s="672" t="s">
        <v>13</v>
      </c>
    </row>
    <row r="1430" spans="1:4" x14ac:dyDescent="0.2">
      <c r="A1430" s="672" t="str">
        <f t="shared" si="22"/>
        <v>178</v>
      </c>
      <c r="B1430" s="672">
        <v>17870</v>
      </c>
      <c r="C1430" s="673" t="s">
        <v>12</v>
      </c>
      <c r="D1430" s="672" t="s">
        <v>13</v>
      </c>
    </row>
    <row r="1431" spans="1:4" x14ac:dyDescent="0.2">
      <c r="A1431" s="672" t="str">
        <f t="shared" si="22"/>
        <v>178</v>
      </c>
      <c r="B1431" s="672">
        <v>17872</v>
      </c>
      <c r="C1431" s="673" t="s">
        <v>12</v>
      </c>
      <c r="D1431" s="672" t="s">
        <v>13</v>
      </c>
    </row>
    <row r="1432" spans="1:4" x14ac:dyDescent="0.2">
      <c r="A1432" s="672" t="str">
        <f t="shared" si="22"/>
        <v>178</v>
      </c>
      <c r="B1432" s="672">
        <v>17876</v>
      </c>
      <c r="C1432" s="673" t="s">
        <v>12</v>
      </c>
      <c r="D1432" s="672" t="s">
        <v>13</v>
      </c>
    </row>
    <row r="1433" spans="1:4" x14ac:dyDescent="0.2">
      <c r="A1433" s="672" t="str">
        <f t="shared" si="22"/>
        <v>178</v>
      </c>
      <c r="B1433" s="672">
        <v>17877</v>
      </c>
      <c r="C1433" s="673" t="s">
        <v>12</v>
      </c>
      <c r="D1433" s="672" t="s">
        <v>13</v>
      </c>
    </row>
    <row r="1434" spans="1:4" x14ac:dyDescent="0.2">
      <c r="A1434" s="672" t="str">
        <f t="shared" si="22"/>
        <v>178</v>
      </c>
      <c r="B1434" s="672">
        <v>17878</v>
      </c>
      <c r="C1434" s="673" t="s">
        <v>12</v>
      </c>
      <c r="D1434" s="672" t="s">
        <v>13</v>
      </c>
    </row>
    <row r="1435" spans="1:4" x14ac:dyDescent="0.2">
      <c r="A1435" s="672" t="str">
        <f t="shared" si="22"/>
        <v>178</v>
      </c>
      <c r="B1435" s="672">
        <v>17880</v>
      </c>
      <c r="C1435" s="673" t="s">
        <v>12</v>
      </c>
      <c r="D1435" s="672" t="s">
        <v>13</v>
      </c>
    </row>
    <row r="1436" spans="1:4" x14ac:dyDescent="0.2">
      <c r="A1436" s="672" t="str">
        <f t="shared" si="22"/>
        <v>178</v>
      </c>
      <c r="B1436" s="672">
        <v>17881</v>
      </c>
      <c r="C1436" s="673" t="s">
        <v>12</v>
      </c>
      <c r="D1436" s="672" t="s">
        <v>13</v>
      </c>
    </row>
    <row r="1437" spans="1:4" x14ac:dyDescent="0.2">
      <c r="A1437" s="672" t="str">
        <f t="shared" si="22"/>
        <v>178</v>
      </c>
      <c r="B1437" s="672">
        <v>17882</v>
      </c>
      <c r="C1437" s="673" t="s">
        <v>12</v>
      </c>
      <c r="D1437" s="672" t="s">
        <v>13</v>
      </c>
    </row>
    <row r="1438" spans="1:4" x14ac:dyDescent="0.2">
      <c r="A1438" s="672" t="str">
        <f t="shared" si="22"/>
        <v>178</v>
      </c>
      <c r="B1438" s="672">
        <v>17883</v>
      </c>
      <c r="C1438" s="673" t="s">
        <v>12</v>
      </c>
      <c r="D1438" s="672" t="s">
        <v>13</v>
      </c>
    </row>
    <row r="1439" spans="1:4" x14ac:dyDescent="0.2">
      <c r="A1439" s="672" t="str">
        <f t="shared" si="22"/>
        <v>178</v>
      </c>
      <c r="B1439" s="672">
        <v>17884</v>
      </c>
      <c r="C1439" s="673" t="s">
        <v>12</v>
      </c>
      <c r="D1439" s="672" t="s">
        <v>13</v>
      </c>
    </row>
    <row r="1440" spans="1:4" x14ac:dyDescent="0.2">
      <c r="A1440" s="672" t="str">
        <f t="shared" si="22"/>
        <v>178</v>
      </c>
      <c r="B1440" s="672">
        <v>17885</v>
      </c>
      <c r="C1440" s="673" t="s">
        <v>12</v>
      </c>
      <c r="D1440" s="672" t="s">
        <v>13</v>
      </c>
    </row>
    <row r="1441" spans="1:4" x14ac:dyDescent="0.2">
      <c r="A1441" s="672" t="str">
        <f t="shared" si="22"/>
        <v>178</v>
      </c>
      <c r="B1441" s="672">
        <v>17886</v>
      </c>
      <c r="C1441" s="673" t="s">
        <v>12</v>
      </c>
      <c r="D1441" s="672" t="s">
        <v>13</v>
      </c>
    </row>
    <row r="1442" spans="1:4" x14ac:dyDescent="0.2">
      <c r="A1442" s="672" t="str">
        <f t="shared" si="22"/>
        <v>178</v>
      </c>
      <c r="B1442" s="672">
        <v>17887</v>
      </c>
      <c r="C1442" s="673" t="s">
        <v>12</v>
      </c>
      <c r="D1442" s="672" t="s">
        <v>13</v>
      </c>
    </row>
    <row r="1443" spans="1:4" x14ac:dyDescent="0.2">
      <c r="A1443" s="672" t="str">
        <f t="shared" si="22"/>
        <v>178</v>
      </c>
      <c r="B1443" s="672">
        <v>17888</v>
      </c>
      <c r="C1443" s="673" t="s">
        <v>12</v>
      </c>
      <c r="D1443" s="672" t="s">
        <v>13</v>
      </c>
    </row>
    <row r="1444" spans="1:4" x14ac:dyDescent="0.2">
      <c r="A1444" s="672" t="str">
        <f t="shared" si="22"/>
        <v>178</v>
      </c>
      <c r="B1444" s="672">
        <v>17889</v>
      </c>
      <c r="C1444" s="673" t="s">
        <v>12</v>
      </c>
      <c r="D1444" s="672" t="s">
        <v>13</v>
      </c>
    </row>
    <row r="1445" spans="1:4" x14ac:dyDescent="0.2">
      <c r="A1445" s="672" t="str">
        <f t="shared" si="22"/>
        <v>179</v>
      </c>
      <c r="B1445" s="672">
        <v>17901</v>
      </c>
      <c r="C1445" s="673" t="s">
        <v>18</v>
      </c>
      <c r="D1445" s="672" t="s">
        <v>19</v>
      </c>
    </row>
    <row r="1446" spans="1:4" x14ac:dyDescent="0.2">
      <c r="A1446" s="672" t="str">
        <f t="shared" si="22"/>
        <v>179</v>
      </c>
      <c r="B1446" s="672">
        <v>17920</v>
      </c>
      <c r="C1446" s="673" t="s">
        <v>12</v>
      </c>
      <c r="D1446" s="672" t="s">
        <v>13</v>
      </c>
    </row>
    <row r="1447" spans="1:4" x14ac:dyDescent="0.2">
      <c r="A1447" s="672" t="str">
        <f t="shared" si="22"/>
        <v>179</v>
      </c>
      <c r="B1447" s="672">
        <v>17921</v>
      </c>
      <c r="C1447" s="673" t="s">
        <v>18</v>
      </c>
      <c r="D1447" s="672" t="s">
        <v>19</v>
      </c>
    </row>
    <row r="1448" spans="1:4" x14ac:dyDescent="0.2">
      <c r="A1448" s="672" t="str">
        <f t="shared" si="22"/>
        <v>179</v>
      </c>
      <c r="B1448" s="672">
        <v>17922</v>
      </c>
      <c r="C1448" s="673" t="s">
        <v>18</v>
      </c>
      <c r="D1448" s="672" t="s">
        <v>19</v>
      </c>
    </row>
    <row r="1449" spans="1:4" x14ac:dyDescent="0.2">
      <c r="A1449" s="672" t="str">
        <f t="shared" si="22"/>
        <v>179</v>
      </c>
      <c r="B1449" s="672">
        <v>17923</v>
      </c>
      <c r="C1449" s="673" t="s">
        <v>18</v>
      </c>
      <c r="D1449" s="672" t="s">
        <v>19</v>
      </c>
    </row>
    <row r="1450" spans="1:4" x14ac:dyDescent="0.2">
      <c r="A1450" s="672" t="str">
        <f t="shared" si="22"/>
        <v>179</v>
      </c>
      <c r="B1450" s="672">
        <v>17925</v>
      </c>
      <c r="C1450" s="673" t="s">
        <v>18</v>
      </c>
      <c r="D1450" s="672" t="s">
        <v>19</v>
      </c>
    </row>
    <row r="1451" spans="1:4" x14ac:dyDescent="0.2">
      <c r="A1451" s="672" t="str">
        <f t="shared" si="22"/>
        <v>179</v>
      </c>
      <c r="B1451" s="672">
        <v>17927</v>
      </c>
      <c r="C1451" s="673" t="s">
        <v>12</v>
      </c>
      <c r="D1451" s="672" t="s">
        <v>13</v>
      </c>
    </row>
    <row r="1452" spans="1:4" x14ac:dyDescent="0.2">
      <c r="A1452" s="672" t="str">
        <f t="shared" si="22"/>
        <v>179</v>
      </c>
      <c r="B1452" s="672">
        <v>17929</v>
      </c>
      <c r="C1452" s="673" t="s">
        <v>18</v>
      </c>
      <c r="D1452" s="672" t="s">
        <v>19</v>
      </c>
    </row>
    <row r="1453" spans="1:4" x14ac:dyDescent="0.2">
      <c r="A1453" s="672" t="str">
        <f t="shared" si="22"/>
        <v>179</v>
      </c>
      <c r="B1453" s="672">
        <v>17930</v>
      </c>
      <c r="C1453" s="673" t="s">
        <v>18</v>
      </c>
      <c r="D1453" s="672" t="s">
        <v>19</v>
      </c>
    </row>
    <row r="1454" spans="1:4" x14ac:dyDescent="0.2">
      <c r="A1454" s="672" t="str">
        <f t="shared" si="22"/>
        <v>179</v>
      </c>
      <c r="B1454" s="672">
        <v>17931</v>
      </c>
      <c r="C1454" s="673" t="s">
        <v>18</v>
      </c>
      <c r="D1454" s="672" t="s">
        <v>19</v>
      </c>
    </row>
    <row r="1455" spans="1:4" x14ac:dyDescent="0.2">
      <c r="A1455" s="672" t="str">
        <f t="shared" si="22"/>
        <v>179</v>
      </c>
      <c r="B1455" s="672">
        <v>17932</v>
      </c>
      <c r="C1455" s="673" t="s">
        <v>18</v>
      </c>
      <c r="D1455" s="672" t="s">
        <v>19</v>
      </c>
    </row>
    <row r="1456" spans="1:4" x14ac:dyDescent="0.2">
      <c r="A1456" s="672" t="str">
        <f t="shared" si="22"/>
        <v>179</v>
      </c>
      <c r="B1456" s="672">
        <v>17933</v>
      </c>
      <c r="C1456" s="673" t="s">
        <v>18</v>
      </c>
      <c r="D1456" s="672" t="s">
        <v>19</v>
      </c>
    </row>
    <row r="1457" spans="1:4" x14ac:dyDescent="0.2">
      <c r="A1457" s="672" t="str">
        <f t="shared" si="22"/>
        <v>179</v>
      </c>
      <c r="B1457" s="672">
        <v>17934</v>
      </c>
      <c r="C1457" s="673" t="s">
        <v>18</v>
      </c>
      <c r="D1457" s="672" t="s">
        <v>19</v>
      </c>
    </row>
    <row r="1458" spans="1:4" x14ac:dyDescent="0.2">
      <c r="A1458" s="672" t="str">
        <f t="shared" si="22"/>
        <v>179</v>
      </c>
      <c r="B1458" s="672">
        <v>17935</v>
      </c>
      <c r="C1458" s="673" t="s">
        <v>18</v>
      </c>
      <c r="D1458" s="672" t="s">
        <v>19</v>
      </c>
    </row>
    <row r="1459" spans="1:4" x14ac:dyDescent="0.2">
      <c r="A1459" s="672" t="str">
        <f t="shared" si="22"/>
        <v>179</v>
      </c>
      <c r="B1459" s="672">
        <v>17936</v>
      </c>
      <c r="C1459" s="673" t="s">
        <v>18</v>
      </c>
      <c r="D1459" s="672" t="s">
        <v>19</v>
      </c>
    </row>
    <row r="1460" spans="1:4" x14ac:dyDescent="0.2">
      <c r="A1460" s="672" t="str">
        <f t="shared" si="22"/>
        <v>179</v>
      </c>
      <c r="B1460" s="672">
        <v>17938</v>
      </c>
      <c r="C1460" s="673" t="s">
        <v>18</v>
      </c>
      <c r="D1460" s="672" t="s">
        <v>19</v>
      </c>
    </row>
    <row r="1461" spans="1:4" x14ac:dyDescent="0.2">
      <c r="A1461" s="672" t="str">
        <f t="shared" si="22"/>
        <v>179</v>
      </c>
      <c r="B1461" s="672">
        <v>17941</v>
      </c>
      <c r="C1461" s="673" t="s">
        <v>18</v>
      </c>
      <c r="D1461" s="672" t="s">
        <v>19</v>
      </c>
    </row>
    <row r="1462" spans="1:4" x14ac:dyDescent="0.2">
      <c r="A1462" s="672" t="str">
        <f t="shared" si="22"/>
        <v>179</v>
      </c>
      <c r="B1462" s="672">
        <v>17942</v>
      </c>
      <c r="C1462" s="673" t="s">
        <v>18</v>
      </c>
      <c r="D1462" s="672" t="s">
        <v>19</v>
      </c>
    </row>
    <row r="1463" spans="1:4" x14ac:dyDescent="0.2">
      <c r="A1463" s="672" t="str">
        <f t="shared" si="22"/>
        <v>179</v>
      </c>
      <c r="B1463" s="672">
        <v>17943</v>
      </c>
      <c r="C1463" s="673" t="s">
        <v>18</v>
      </c>
      <c r="D1463" s="672" t="s">
        <v>19</v>
      </c>
    </row>
    <row r="1464" spans="1:4" x14ac:dyDescent="0.2">
      <c r="A1464" s="672" t="str">
        <f t="shared" si="22"/>
        <v>179</v>
      </c>
      <c r="B1464" s="672">
        <v>17944</v>
      </c>
      <c r="C1464" s="673" t="s">
        <v>18</v>
      </c>
      <c r="D1464" s="672" t="s">
        <v>19</v>
      </c>
    </row>
    <row r="1465" spans="1:4" x14ac:dyDescent="0.2">
      <c r="A1465" s="672" t="str">
        <f t="shared" si="22"/>
        <v>179</v>
      </c>
      <c r="B1465" s="672">
        <v>17945</v>
      </c>
      <c r="C1465" s="673" t="s">
        <v>12</v>
      </c>
      <c r="D1465" s="672" t="s">
        <v>13</v>
      </c>
    </row>
    <row r="1466" spans="1:4" x14ac:dyDescent="0.2">
      <c r="A1466" s="672" t="str">
        <f t="shared" si="22"/>
        <v>179</v>
      </c>
      <c r="B1466" s="672">
        <v>17946</v>
      </c>
      <c r="C1466" s="673" t="s">
        <v>18</v>
      </c>
      <c r="D1466" s="672" t="s">
        <v>19</v>
      </c>
    </row>
    <row r="1467" spans="1:4" x14ac:dyDescent="0.2">
      <c r="A1467" s="672" t="str">
        <f t="shared" si="22"/>
        <v>179</v>
      </c>
      <c r="B1467" s="672">
        <v>17948</v>
      </c>
      <c r="C1467" s="673" t="s">
        <v>18</v>
      </c>
      <c r="D1467" s="672" t="s">
        <v>19</v>
      </c>
    </row>
    <row r="1468" spans="1:4" x14ac:dyDescent="0.2">
      <c r="A1468" s="672" t="str">
        <f t="shared" si="22"/>
        <v>179</v>
      </c>
      <c r="B1468" s="672">
        <v>17949</v>
      </c>
      <c r="C1468" s="673" t="s">
        <v>18</v>
      </c>
      <c r="D1468" s="672" t="s">
        <v>19</v>
      </c>
    </row>
    <row r="1469" spans="1:4" x14ac:dyDescent="0.2">
      <c r="A1469" s="672" t="str">
        <f t="shared" si="22"/>
        <v>179</v>
      </c>
      <c r="B1469" s="672">
        <v>17951</v>
      </c>
      <c r="C1469" s="673" t="s">
        <v>18</v>
      </c>
      <c r="D1469" s="672" t="s">
        <v>19</v>
      </c>
    </row>
    <row r="1470" spans="1:4" x14ac:dyDescent="0.2">
      <c r="A1470" s="672" t="str">
        <f t="shared" si="22"/>
        <v>179</v>
      </c>
      <c r="B1470" s="672">
        <v>17952</v>
      </c>
      <c r="C1470" s="673" t="s">
        <v>18</v>
      </c>
      <c r="D1470" s="672" t="s">
        <v>19</v>
      </c>
    </row>
    <row r="1471" spans="1:4" x14ac:dyDescent="0.2">
      <c r="A1471" s="672" t="str">
        <f t="shared" si="22"/>
        <v>179</v>
      </c>
      <c r="B1471" s="672">
        <v>17953</v>
      </c>
      <c r="C1471" s="673" t="s">
        <v>18</v>
      </c>
      <c r="D1471" s="672" t="s">
        <v>19</v>
      </c>
    </row>
    <row r="1472" spans="1:4" x14ac:dyDescent="0.2">
      <c r="A1472" s="672" t="str">
        <f t="shared" si="22"/>
        <v>179</v>
      </c>
      <c r="B1472" s="672">
        <v>17954</v>
      </c>
      <c r="C1472" s="673" t="s">
        <v>18</v>
      </c>
      <c r="D1472" s="672" t="s">
        <v>19</v>
      </c>
    </row>
    <row r="1473" spans="1:4" x14ac:dyDescent="0.2">
      <c r="A1473" s="672" t="str">
        <f t="shared" si="22"/>
        <v>179</v>
      </c>
      <c r="B1473" s="672">
        <v>17957</v>
      </c>
      <c r="C1473" s="673" t="s">
        <v>18</v>
      </c>
      <c r="D1473" s="672" t="s">
        <v>19</v>
      </c>
    </row>
    <row r="1474" spans="1:4" x14ac:dyDescent="0.2">
      <c r="A1474" s="672" t="str">
        <f t="shared" ref="A1474:A1537" si="23">LEFT(B1474,3)</f>
        <v>179</v>
      </c>
      <c r="B1474" s="672">
        <v>17959</v>
      </c>
      <c r="C1474" s="673" t="s">
        <v>18</v>
      </c>
      <c r="D1474" s="672" t="s">
        <v>19</v>
      </c>
    </row>
    <row r="1475" spans="1:4" x14ac:dyDescent="0.2">
      <c r="A1475" s="672" t="str">
        <f t="shared" si="23"/>
        <v>179</v>
      </c>
      <c r="B1475" s="672">
        <v>17960</v>
      </c>
      <c r="C1475" s="673" t="s">
        <v>18</v>
      </c>
      <c r="D1475" s="672" t="s">
        <v>19</v>
      </c>
    </row>
    <row r="1476" spans="1:4" x14ac:dyDescent="0.2">
      <c r="A1476" s="672" t="str">
        <f t="shared" si="23"/>
        <v>179</v>
      </c>
      <c r="B1476" s="672">
        <v>17961</v>
      </c>
      <c r="C1476" s="673" t="s">
        <v>18</v>
      </c>
      <c r="D1476" s="672" t="s">
        <v>19</v>
      </c>
    </row>
    <row r="1477" spans="1:4" x14ac:dyDescent="0.2">
      <c r="A1477" s="672" t="str">
        <f t="shared" si="23"/>
        <v>179</v>
      </c>
      <c r="B1477" s="672">
        <v>17963</v>
      </c>
      <c r="C1477" s="673" t="s">
        <v>18</v>
      </c>
      <c r="D1477" s="672" t="s">
        <v>19</v>
      </c>
    </row>
    <row r="1478" spans="1:4" x14ac:dyDescent="0.2">
      <c r="A1478" s="672" t="str">
        <f t="shared" si="23"/>
        <v>179</v>
      </c>
      <c r="B1478" s="672">
        <v>17964</v>
      </c>
      <c r="C1478" s="673" t="s">
        <v>18</v>
      </c>
      <c r="D1478" s="672" t="s">
        <v>19</v>
      </c>
    </row>
    <row r="1479" spans="1:4" x14ac:dyDescent="0.2">
      <c r="A1479" s="672" t="str">
        <f t="shared" si="23"/>
        <v>179</v>
      </c>
      <c r="B1479" s="672">
        <v>17965</v>
      </c>
      <c r="C1479" s="673" t="s">
        <v>18</v>
      </c>
      <c r="D1479" s="672" t="s">
        <v>19</v>
      </c>
    </row>
    <row r="1480" spans="1:4" x14ac:dyDescent="0.2">
      <c r="A1480" s="672" t="str">
        <f t="shared" si="23"/>
        <v>179</v>
      </c>
      <c r="B1480" s="672">
        <v>17966</v>
      </c>
      <c r="C1480" s="673" t="s">
        <v>18</v>
      </c>
      <c r="D1480" s="672" t="s">
        <v>19</v>
      </c>
    </row>
    <row r="1481" spans="1:4" x14ac:dyDescent="0.2">
      <c r="A1481" s="672" t="str">
        <f t="shared" si="23"/>
        <v>179</v>
      </c>
      <c r="B1481" s="672">
        <v>17967</v>
      </c>
      <c r="C1481" s="673" t="s">
        <v>18</v>
      </c>
      <c r="D1481" s="672" t="s">
        <v>19</v>
      </c>
    </row>
    <row r="1482" spans="1:4" x14ac:dyDescent="0.2">
      <c r="A1482" s="672" t="str">
        <f t="shared" si="23"/>
        <v>179</v>
      </c>
      <c r="B1482" s="672">
        <v>17968</v>
      </c>
      <c r="C1482" s="673" t="s">
        <v>18</v>
      </c>
      <c r="D1482" s="672" t="s">
        <v>19</v>
      </c>
    </row>
    <row r="1483" spans="1:4" x14ac:dyDescent="0.2">
      <c r="A1483" s="672" t="str">
        <f t="shared" si="23"/>
        <v>179</v>
      </c>
      <c r="B1483" s="672">
        <v>17970</v>
      </c>
      <c r="C1483" s="673" t="s">
        <v>18</v>
      </c>
      <c r="D1483" s="672" t="s">
        <v>19</v>
      </c>
    </row>
    <row r="1484" spans="1:4" x14ac:dyDescent="0.2">
      <c r="A1484" s="672" t="str">
        <f t="shared" si="23"/>
        <v>179</v>
      </c>
      <c r="B1484" s="672">
        <v>17972</v>
      </c>
      <c r="C1484" s="673" t="s">
        <v>18</v>
      </c>
      <c r="D1484" s="672" t="s">
        <v>19</v>
      </c>
    </row>
    <row r="1485" spans="1:4" x14ac:dyDescent="0.2">
      <c r="A1485" s="672" t="str">
        <f t="shared" si="23"/>
        <v>179</v>
      </c>
      <c r="B1485" s="672">
        <v>17974</v>
      </c>
      <c r="C1485" s="673" t="s">
        <v>18</v>
      </c>
      <c r="D1485" s="672" t="s">
        <v>19</v>
      </c>
    </row>
    <row r="1486" spans="1:4" x14ac:dyDescent="0.2">
      <c r="A1486" s="672" t="str">
        <f t="shared" si="23"/>
        <v>179</v>
      </c>
      <c r="B1486" s="672">
        <v>17976</v>
      </c>
      <c r="C1486" s="673" t="s">
        <v>18</v>
      </c>
      <c r="D1486" s="672" t="s">
        <v>19</v>
      </c>
    </row>
    <row r="1487" spans="1:4" x14ac:dyDescent="0.2">
      <c r="A1487" s="672" t="str">
        <f t="shared" si="23"/>
        <v>179</v>
      </c>
      <c r="B1487" s="672">
        <v>17978</v>
      </c>
      <c r="C1487" s="673" t="s">
        <v>6</v>
      </c>
      <c r="D1487" s="672" t="s">
        <v>7</v>
      </c>
    </row>
    <row r="1488" spans="1:4" x14ac:dyDescent="0.2">
      <c r="A1488" s="672" t="str">
        <f t="shared" si="23"/>
        <v>179</v>
      </c>
      <c r="B1488" s="672">
        <v>17979</v>
      </c>
      <c r="C1488" s="673" t="s">
        <v>18</v>
      </c>
      <c r="D1488" s="672" t="s">
        <v>19</v>
      </c>
    </row>
    <row r="1489" spans="1:4" x14ac:dyDescent="0.2">
      <c r="A1489" s="672" t="str">
        <f t="shared" si="23"/>
        <v>179</v>
      </c>
      <c r="B1489" s="672">
        <v>17980</v>
      </c>
      <c r="C1489" s="673" t="s">
        <v>18</v>
      </c>
      <c r="D1489" s="672" t="s">
        <v>19</v>
      </c>
    </row>
    <row r="1490" spans="1:4" x14ac:dyDescent="0.2">
      <c r="A1490" s="672" t="str">
        <f t="shared" si="23"/>
        <v>179</v>
      </c>
      <c r="B1490" s="672">
        <v>17981</v>
      </c>
      <c r="C1490" s="673" t="s">
        <v>18</v>
      </c>
      <c r="D1490" s="672" t="s">
        <v>19</v>
      </c>
    </row>
    <row r="1491" spans="1:4" x14ac:dyDescent="0.2">
      <c r="A1491" s="672" t="str">
        <f t="shared" si="23"/>
        <v>179</v>
      </c>
      <c r="B1491" s="672">
        <v>17982</v>
      </c>
      <c r="C1491" s="673" t="s">
        <v>18</v>
      </c>
      <c r="D1491" s="672" t="s">
        <v>19</v>
      </c>
    </row>
    <row r="1492" spans="1:4" x14ac:dyDescent="0.2">
      <c r="A1492" s="672" t="str">
        <f t="shared" si="23"/>
        <v>179</v>
      </c>
      <c r="B1492" s="672">
        <v>17983</v>
      </c>
      <c r="C1492" s="673" t="s">
        <v>18</v>
      </c>
      <c r="D1492" s="672" t="s">
        <v>19</v>
      </c>
    </row>
    <row r="1493" spans="1:4" x14ac:dyDescent="0.2">
      <c r="A1493" s="672" t="str">
        <f t="shared" si="23"/>
        <v>179</v>
      </c>
      <c r="B1493" s="672">
        <v>17985</v>
      </c>
      <c r="C1493" s="673" t="s">
        <v>18</v>
      </c>
      <c r="D1493" s="672" t="s">
        <v>19</v>
      </c>
    </row>
    <row r="1494" spans="1:4" x14ac:dyDescent="0.2">
      <c r="A1494" s="672" t="str">
        <f t="shared" si="23"/>
        <v>180</v>
      </c>
      <c r="B1494" s="672">
        <v>18001</v>
      </c>
      <c r="C1494" s="673" t="s">
        <v>18</v>
      </c>
      <c r="D1494" s="672" t="s">
        <v>19</v>
      </c>
    </row>
    <row r="1495" spans="1:4" x14ac:dyDescent="0.2">
      <c r="A1495" s="672" t="str">
        <f t="shared" si="23"/>
        <v>180</v>
      </c>
      <c r="B1495" s="672">
        <v>18002</v>
      </c>
      <c r="C1495" s="673" t="s">
        <v>18</v>
      </c>
      <c r="D1495" s="672" t="s">
        <v>19</v>
      </c>
    </row>
    <row r="1496" spans="1:4" x14ac:dyDescent="0.2">
      <c r="A1496" s="672" t="str">
        <f t="shared" si="23"/>
        <v>180</v>
      </c>
      <c r="B1496" s="672">
        <v>18003</v>
      </c>
      <c r="C1496" s="673" t="s">
        <v>18</v>
      </c>
      <c r="D1496" s="672" t="s">
        <v>19</v>
      </c>
    </row>
    <row r="1497" spans="1:4" x14ac:dyDescent="0.2">
      <c r="A1497" s="672" t="str">
        <f t="shared" si="23"/>
        <v>180</v>
      </c>
      <c r="B1497" s="672">
        <v>18010</v>
      </c>
      <c r="C1497" s="673" t="s">
        <v>18</v>
      </c>
      <c r="D1497" s="672" t="s">
        <v>19</v>
      </c>
    </row>
    <row r="1498" spans="1:4" x14ac:dyDescent="0.2">
      <c r="A1498" s="672" t="str">
        <f t="shared" si="23"/>
        <v>180</v>
      </c>
      <c r="B1498" s="672">
        <v>18011</v>
      </c>
      <c r="C1498" s="673" t="s">
        <v>18</v>
      </c>
      <c r="D1498" s="672" t="s">
        <v>19</v>
      </c>
    </row>
    <row r="1499" spans="1:4" x14ac:dyDescent="0.2">
      <c r="A1499" s="672" t="str">
        <f t="shared" si="23"/>
        <v>180</v>
      </c>
      <c r="B1499" s="672">
        <v>18012</v>
      </c>
      <c r="C1499" s="673" t="s">
        <v>18</v>
      </c>
      <c r="D1499" s="672" t="s">
        <v>19</v>
      </c>
    </row>
    <row r="1500" spans="1:4" x14ac:dyDescent="0.2">
      <c r="A1500" s="672" t="str">
        <f t="shared" si="23"/>
        <v>180</v>
      </c>
      <c r="B1500" s="672">
        <v>18013</v>
      </c>
      <c r="C1500" s="673" t="s">
        <v>18</v>
      </c>
      <c r="D1500" s="672" t="s">
        <v>19</v>
      </c>
    </row>
    <row r="1501" spans="1:4" x14ac:dyDescent="0.2">
      <c r="A1501" s="672" t="str">
        <f t="shared" si="23"/>
        <v>180</v>
      </c>
      <c r="B1501" s="672">
        <v>18014</v>
      </c>
      <c r="C1501" s="673" t="s">
        <v>18</v>
      </c>
      <c r="D1501" s="672" t="s">
        <v>19</v>
      </c>
    </row>
    <row r="1502" spans="1:4" x14ac:dyDescent="0.2">
      <c r="A1502" s="672" t="str">
        <f t="shared" si="23"/>
        <v>180</v>
      </c>
      <c r="B1502" s="672">
        <v>18015</v>
      </c>
      <c r="C1502" s="673" t="s">
        <v>18</v>
      </c>
      <c r="D1502" s="672" t="s">
        <v>19</v>
      </c>
    </row>
    <row r="1503" spans="1:4" x14ac:dyDescent="0.2">
      <c r="A1503" s="672" t="str">
        <f t="shared" si="23"/>
        <v>180</v>
      </c>
      <c r="B1503" s="672">
        <v>18016</v>
      </c>
      <c r="C1503" s="673" t="s">
        <v>18</v>
      </c>
      <c r="D1503" s="672" t="s">
        <v>19</v>
      </c>
    </row>
    <row r="1504" spans="1:4" x14ac:dyDescent="0.2">
      <c r="A1504" s="672" t="str">
        <f t="shared" si="23"/>
        <v>180</v>
      </c>
      <c r="B1504" s="672">
        <v>18017</v>
      </c>
      <c r="C1504" s="673" t="s">
        <v>18</v>
      </c>
      <c r="D1504" s="672" t="s">
        <v>19</v>
      </c>
    </row>
    <row r="1505" spans="1:4" x14ac:dyDescent="0.2">
      <c r="A1505" s="672" t="str">
        <f t="shared" si="23"/>
        <v>180</v>
      </c>
      <c r="B1505" s="672">
        <v>18018</v>
      </c>
      <c r="C1505" s="673" t="s">
        <v>18</v>
      </c>
      <c r="D1505" s="672" t="s">
        <v>19</v>
      </c>
    </row>
    <row r="1506" spans="1:4" x14ac:dyDescent="0.2">
      <c r="A1506" s="672" t="str">
        <f t="shared" si="23"/>
        <v>180</v>
      </c>
      <c r="B1506" s="672">
        <v>18020</v>
      </c>
      <c r="C1506" s="673" t="s">
        <v>18</v>
      </c>
      <c r="D1506" s="672" t="s">
        <v>19</v>
      </c>
    </row>
    <row r="1507" spans="1:4" x14ac:dyDescent="0.2">
      <c r="A1507" s="672" t="str">
        <f t="shared" si="23"/>
        <v>180</v>
      </c>
      <c r="B1507" s="672">
        <v>18025</v>
      </c>
      <c r="C1507" s="673" t="s">
        <v>18</v>
      </c>
      <c r="D1507" s="672" t="s">
        <v>19</v>
      </c>
    </row>
    <row r="1508" spans="1:4" x14ac:dyDescent="0.2">
      <c r="A1508" s="672" t="str">
        <f t="shared" si="23"/>
        <v>180</v>
      </c>
      <c r="B1508" s="672">
        <v>18030</v>
      </c>
      <c r="C1508" s="673" t="s">
        <v>18</v>
      </c>
      <c r="D1508" s="672" t="s">
        <v>19</v>
      </c>
    </row>
    <row r="1509" spans="1:4" x14ac:dyDescent="0.2">
      <c r="A1509" s="672" t="str">
        <f t="shared" si="23"/>
        <v>180</v>
      </c>
      <c r="B1509" s="672">
        <v>18031</v>
      </c>
      <c r="C1509" s="673" t="s">
        <v>18</v>
      </c>
      <c r="D1509" s="672" t="s">
        <v>19</v>
      </c>
    </row>
    <row r="1510" spans="1:4" x14ac:dyDescent="0.2">
      <c r="A1510" s="672" t="str">
        <f t="shared" si="23"/>
        <v>180</v>
      </c>
      <c r="B1510" s="672">
        <v>18032</v>
      </c>
      <c r="C1510" s="673" t="s">
        <v>18</v>
      </c>
      <c r="D1510" s="672" t="s">
        <v>19</v>
      </c>
    </row>
    <row r="1511" spans="1:4" x14ac:dyDescent="0.2">
      <c r="A1511" s="672" t="str">
        <f t="shared" si="23"/>
        <v>180</v>
      </c>
      <c r="B1511" s="672">
        <v>18034</v>
      </c>
      <c r="C1511" s="673" t="s">
        <v>18</v>
      </c>
      <c r="D1511" s="672" t="s">
        <v>19</v>
      </c>
    </row>
    <row r="1512" spans="1:4" x14ac:dyDescent="0.2">
      <c r="A1512" s="672" t="str">
        <f t="shared" si="23"/>
        <v>180</v>
      </c>
      <c r="B1512" s="672">
        <v>18035</v>
      </c>
      <c r="C1512" s="673" t="s">
        <v>18</v>
      </c>
      <c r="D1512" s="672" t="s">
        <v>19</v>
      </c>
    </row>
    <row r="1513" spans="1:4" x14ac:dyDescent="0.2">
      <c r="A1513" s="672" t="str">
        <f t="shared" si="23"/>
        <v>180</v>
      </c>
      <c r="B1513" s="672">
        <v>18036</v>
      </c>
      <c r="C1513" s="673" t="s">
        <v>18</v>
      </c>
      <c r="D1513" s="672" t="s">
        <v>19</v>
      </c>
    </row>
    <row r="1514" spans="1:4" x14ac:dyDescent="0.2">
      <c r="A1514" s="672" t="str">
        <f t="shared" si="23"/>
        <v>180</v>
      </c>
      <c r="B1514" s="672">
        <v>18037</v>
      </c>
      <c r="C1514" s="673" t="s">
        <v>18</v>
      </c>
      <c r="D1514" s="672" t="s">
        <v>19</v>
      </c>
    </row>
    <row r="1515" spans="1:4" x14ac:dyDescent="0.2">
      <c r="A1515" s="672" t="str">
        <f t="shared" si="23"/>
        <v>180</v>
      </c>
      <c r="B1515" s="672">
        <v>18038</v>
      </c>
      <c r="C1515" s="673" t="s">
        <v>18</v>
      </c>
      <c r="D1515" s="672" t="s">
        <v>19</v>
      </c>
    </row>
    <row r="1516" spans="1:4" x14ac:dyDescent="0.2">
      <c r="A1516" s="672" t="str">
        <f t="shared" si="23"/>
        <v>180</v>
      </c>
      <c r="B1516" s="672">
        <v>18039</v>
      </c>
      <c r="C1516" s="673" t="s">
        <v>16</v>
      </c>
      <c r="D1516" s="672" t="s">
        <v>17</v>
      </c>
    </row>
    <row r="1517" spans="1:4" x14ac:dyDescent="0.2">
      <c r="A1517" s="672" t="str">
        <f t="shared" si="23"/>
        <v>180</v>
      </c>
      <c r="B1517" s="672">
        <v>18040</v>
      </c>
      <c r="C1517" s="673" t="s">
        <v>18</v>
      </c>
      <c r="D1517" s="672" t="s">
        <v>19</v>
      </c>
    </row>
    <row r="1518" spans="1:4" x14ac:dyDescent="0.2">
      <c r="A1518" s="672" t="str">
        <f t="shared" si="23"/>
        <v>180</v>
      </c>
      <c r="B1518" s="672">
        <v>18041</v>
      </c>
      <c r="C1518" s="673" t="s">
        <v>16</v>
      </c>
      <c r="D1518" s="672" t="s">
        <v>17</v>
      </c>
    </row>
    <row r="1519" spans="1:4" x14ac:dyDescent="0.2">
      <c r="A1519" s="672" t="str">
        <f t="shared" si="23"/>
        <v>180</v>
      </c>
      <c r="B1519" s="672">
        <v>18042</v>
      </c>
      <c r="C1519" s="673" t="s">
        <v>18</v>
      </c>
      <c r="D1519" s="672" t="s">
        <v>19</v>
      </c>
    </row>
    <row r="1520" spans="1:4" x14ac:dyDescent="0.2">
      <c r="A1520" s="672" t="str">
        <f t="shared" si="23"/>
        <v>180</v>
      </c>
      <c r="B1520" s="672">
        <v>18043</v>
      </c>
      <c r="C1520" s="673" t="s">
        <v>18</v>
      </c>
      <c r="D1520" s="672" t="s">
        <v>19</v>
      </c>
    </row>
    <row r="1521" spans="1:4" x14ac:dyDescent="0.2">
      <c r="A1521" s="672" t="str">
        <f t="shared" si="23"/>
        <v>180</v>
      </c>
      <c r="B1521" s="672">
        <v>18044</v>
      </c>
      <c r="C1521" s="673" t="s">
        <v>18</v>
      </c>
      <c r="D1521" s="672" t="s">
        <v>19</v>
      </c>
    </row>
    <row r="1522" spans="1:4" x14ac:dyDescent="0.2">
      <c r="A1522" s="672" t="str">
        <f t="shared" si="23"/>
        <v>180</v>
      </c>
      <c r="B1522" s="672">
        <v>18045</v>
      </c>
      <c r="C1522" s="673" t="s">
        <v>18</v>
      </c>
      <c r="D1522" s="672" t="s">
        <v>19</v>
      </c>
    </row>
    <row r="1523" spans="1:4" x14ac:dyDescent="0.2">
      <c r="A1523" s="672" t="str">
        <f t="shared" si="23"/>
        <v>180</v>
      </c>
      <c r="B1523" s="672">
        <v>18046</v>
      </c>
      <c r="C1523" s="673" t="s">
        <v>18</v>
      </c>
      <c r="D1523" s="672" t="s">
        <v>19</v>
      </c>
    </row>
    <row r="1524" spans="1:4" x14ac:dyDescent="0.2">
      <c r="A1524" s="672" t="str">
        <f t="shared" si="23"/>
        <v>180</v>
      </c>
      <c r="B1524" s="672">
        <v>18049</v>
      </c>
      <c r="C1524" s="673" t="s">
        <v>18</v>
      </c>
      <c r="D1524" s="672" t="s">
        <v>19</v>
      </c>
    </row>
    <row r="1525" spans="1:4" x14ac:dyDescent="0.2">
      <c r="A1525" s="672" t="str">
        <f t="shared" si="23"/>
        <v>180</v>
      </c>
      <c r="B1525" s="672">
        <v>18050</v>
      </c>
      <c r="C1525" s="673" t="s">
        <v>18</v>
      </c>
      <c r="D1525" s="672" t="s">
        <v>19</v>
      </c>
    </row>
    <row r="1526" spans="1:4" x14ac:dyDescent="0.2">
      <c r="A1526" s="672" t="str">
        <f t="shared" si="23"/>
        <v>180</v>
      </c>
      <c r="B1526" s="672">
        <v>18051</v>
      </c>
      <c r="C1526" s="673" t="s">
        <v>18</v>
      </c>
      <c r="D1526" s="672" t="s">
        <v>19</v>
      </c>
    </row>
    <row r="1527" spans="1:4" x14ac:dyDescent="0.2">
      <c r="A1527" s="672" t="str">
        <f t="shared" si="23"/>
        <v>180</v>
      </c>
      <c r="B1527" s="672">
        <v>18052</v>
      </c>
      <c r="C1527" s="673" t="s">
        <v>18</v>
      </c>
      <c r="D1527" s="672" t="s">
        <v>19</v>
      </c>
    </row>
    <row r="1528" spans="1:4" x14ac:dyDescent="0.2">
      <c r="A1528" s="672" t="str">
        <f t="shared" si="23"/>
        <v>180</v>
      </c>
      <c r="B1528" s="672">
        <v>18053</v>
      </c>
      <c r="C1528" s="673" t="s">
        <v>18</v>
      </c>
      <c r="D1528" s="672" t="s">
        <v>19</v>
      </c>
    </row>
    <row r="1529" spans="1:4" x14ac:dyDescent="0.2">
      <c r="A1529" s="672" t="str">
        <f t="shared" si="23"/>
        <v>180</v>
      </c>
      <c r="B1529" s="672">
        <v>18054</v>
      </c>
      <c r="C1529" s="673" t="s">
        <v>16</v>
      </c>
      <c r="D1529" s="672" t="s">
        <v>17</v>
      </c>
    </row>
    <row r="1530" spans="1:4" x14ac:dyDescent="0.2">
      <c r="A1530" s="672" t="str">
        <f t="shared" si="23"/>
        <v>180</v>
      </c>
      <c r="B1530" s="672">
        <v>18055</v>
      </c>
      <c r="C1530" s="673" t="s">
        <v>18</v>
      </c>
      <c r="D1530" s="672" t="s">
        <v>19</v>
      </c>
    </row>
    <row r="1531" spans="1:4" x14ac:dyDescent="0.2">
      <c r="A1531" s="672" t="str">
        <f t="shared" si="23"/>
        <v>180</v>
      </c>
      <c r="B1531" s="672">
        <v>18056</v>
      </c>
      <c r="C1531" s="673" t="s">
        <v>16</v>
      </c>
      <c r="D1531" s="672" t="s">
        <v>17</v>
      </c>
    </row>
    <row r="1532" spans="1:4" x14ac:dyDescent="0.2">
      <c r="A1532" s="672" t="str">
        <f t="shared" si="23"/>
        <v>180</v>
      </c>
      <c r="B1532" s="672">
        <v>18058</v>
      </c>
      <c r="C1532" s="673" t="s">
        <v>14</v>
      </c>
      <c r="D1532" s="672" t="s">
        <v>15</v>
      </c>
    </row>
    <row r="1533" spans="1:4" x14ac:dyDescent="0.2">
      <c r="A1533" s="672" t="str">
        <f t="shared" si="23"/>
        <v>180</v>
      </c>
      <c r="B1533" s="672">
        <v>18059</v>
      </c>
      <c r="C1533" s="673" t="s">
        <v>18</v>
      </c>
      <c r="D1533" s="672" t="s">
        <v>19</v>
      </c>
    </row>
    <row r="1534" spans="1:4" x14ac:dyDescent="0.2">
      <c r="A1534" s="672" t="str">
        <f t="shared" si="23"/>
        <v>180</v>
      </c>
      <c r="B1534" s="672">
        <v>18060</v>
      </c>
      <c r="C1534" s="673" t="s">
        <v>18</v>
      </c>
      <c r="D1534" s="672" t="s">
        <v>19</v>
      </c>
    </row>
    <row r="1535" spans="1:4" x14ac:dyDescent="0.2">
      <c r="A1535" s="672" t="str">
        <f t="shared" si="23"/>
        <v>180</v>
      </c>
      <c r="B1535" s="672">
        <v>18062</v>
      </c>
      <c r="C1535" s="673" t="s">
        <v>18</v>
      </c>
      <c r="D1535" s="672" t="s">
        <v>19</v>
      </c>
    </row>
    <row r="1536" spans="1:4" x14ac:dyDescent="0.2">
      <c r="A1536" s="672" t="str">
        <f t="shared" si="23"/>
        <v>180</v>
      </c>
      <c r="B1536" s="672">
        <v>18063</v>
      </c>
      <c r="C1536" s="673" t="s">
        <v>18</v>
      </c>
      <c r="D1536" s="672" t="s">
        <v>19</v>
      </c>
    </row>
    <row r="1537" spans="1:4" x14ac:dyDescent="0.2">
      <c r="A1537" s="672" t="str">
        <f t="shared" si="23"/>
        <v>180</v>
      </c>
      <c r="B1537" s="672">
        <v>18064</v>
      </c>
      <c r="C1537" s="673" t="s">
        <v>18</v>
      </c>
      <c r="D1537" s="672" t="s">
        <v>19</v>
      </c>
    </row>
    <row r="1538" spans="1:4" x14ac:dyDescent="0.2">
      <c r="A1538" s="672" t="str">
        <f t="shared" ref="A1538:A1601" si="24">LEFT(B1538,3)</f>
        <v>180</v>
      </c>
      <c r="B1538" s="672">
        <v>18065</v>
      </c>
      <c r="C1538" s="673" t="s">
        <v>18</v>
      </c>
      <c r="D1538" s="672" t="s">
        <v>19</v>
      </c>
    </row>
    <row r="1539" spans="1:4" x14ac:dyDescent="0.2">
      <c r="A1539" s="672" t="str">
        <f t="shared" si="24"/>
        <v>180</v>
      </c>
      <c r="B1539" s="672">
        <v>18066</v>
      </c>
      <c r="C1539" s="673" t="s">
        <v>18</v>
      </c>
      <c r="D1539" s="672" t="s">
        <v>19</v>
      </c>
    </row>
    <row r="1540" spans="1:4" x14ac:dyDescent="0.2">
      <c r="A1540" s="672" t="str">
        <f t="shared" si="24"/>
        <v>180</v>
      </c>
      <c r="B1540" s="672">
        <v>18067</v>
      </c>
      <c r="C1540" s="673" t="s">
        <v>18</v>
      </c>
      <c r="D1540" s="672" t="s">
        <v>19</v>
      </c>
    </row>
    <row r="1541" spans="1:4" x14ac:dyDescent="0.2">
      <c r="A1541" s="672" t="str">
        <f t="shared" si="24"/>
        <v>180</v>
      </c>
      <c r="B1541" s="672">
        <v>18068</v>
      </c>
      <c r="C1541" s="673" t="s">
        <v>18</v>
      </c>
      <c r="D1541" s="672" t="s">
        <v>19</v>
      </c>
    </row>
    <row r="1542" spans="1:4" x14ac:dyDescent="0.2">
      <c r="A1542" s="672" t="str">
        <f t="shared" si="24"/>
        <v>180</v>
      </c>
      <c r="B1542" s="672">
        <v>18069</v>
      </c>
      <c r="C1542" s="673" t="s">
        <v>18</v>
      </c>
      <c r="D1542" s="672" t="s">
        <v>19</v>
      </c>
    </row>
    <row r="1543" spans="1:4" x14ac:dyDescent="0.2">
      <c r="A1543" s="672" t="str">
        <f t="shared" si="24"/>
        <v>180</v>
      </c>
      <c r="B1543" s="672">
        <v>18070</v>
      </c>
      <c r="C1543" s="673" t="s">
        <v>16</v>
      </c>
      <c r="D1543" s="672" t="s">
        <v>17</v>
      </c>
    </row>
    <row r="1544" spans="1:4" x14ac:dyDescent="0.2">
      <c r="A1544" s="672" t="str">
        <f t="shared" si="24"/>
        <v>180</v>
      </c>
      <c r="B1544" s="672">
        <v>18071</v>
      </c>
      <c r="C1544" s="673" t="s">
        <v>18</v>
      </c>
      <c r="D1544" s="672" t="s">
        <v>19</v>
      </c>
    </row>
    <row r="1545" spans="1:4" x14ac:dyDescent="0.2">
      <c r="A1545" s="672" t="str">
        <f t="shared" si="24"/>
        <v>180</v>
      </c>
      <c r="B1545" s="672">
        <v>18072</v>
      </c>
      <c r="C1545" s="673" t="s">
        <v>18</v>
      </c>
      <c r="D1545" s="672" t="s">
        <v>19</v>
      </c>
    </row>
    <row r="1546" spans="1:4" x14ac:dyDescent="0.2">
      <c r="A1546" s="672" t="str">
        <f t="shared" si="24"/>
        <v>180</v>
      </c>
      <c r="B1546" s="672">
        <v>18073</v>
      </c>
      <c r="C1546" s="673" t="s">
        <v>16</v>
      </c>
      <c r="D1546" s="672" t="s">
        <v>17</v>
      </c>
    </row>
    <row r="1547" spans="1:4" x14ac:dyDescent="0.2">
      <c r="A1547" s="672" t="str">
        <f t="shared" si="24"/>
        <v>180</v>
      </c>
      <c r="B1547" s="672">
        <v>18074</v>
      </c>
      <c r="C1547" s="673" t="s">
        <v>16</v>
      </c>
      <c r="D1547" s="672" t="s">
        <v>17</v>
      </c>
    </row>
    <row r="1548" spans="1:4" x14ac:dyDescent="0.2">
      <c r="A1548" s="672" t="str">
        <f t="shared" si="24"/>
        <v>180</v>
      </c>
      <c r="B1548" s="672">
        <v>18076</v>
      </c>
      <c r="C1548" s="673" t="s">
        <v>16</v>
      </c>
      <c r="D1548" s="672" t="s">
        <v>17</v>
      </c>
    </row>
    <row r="1549" spans="1:4" x14ac:dyDescent="0.2">
      <c r="A1549" s="672" t="str">
        <f t="shared" si="24"/>
        <v>180</v>
      </c>
      <c r="B1549" s="672">
        <v>18077</v>
      </c>
      <c r="C1549" s="673" t="s">
        <v>16</v>
      </c>
      <c r="D1549" s="672" t="s">
        <v>17</v>
      </c>
    </row>
    <row r="1550" spans="1:4" x14ac:dyDescent="0.2">
      <c r="A1550" s="672" t="str">
        <f t="shared" si="24"/>
        <v>180</v>
      </c>
      <c r="B1550" s="672">
        <v>18078</v>
      </c>
      <c r="C1550" s="673" t="s">
        <v>18</v>
      </c>
      <c r="D1550" s="672" t="s">
        <v>19</v>
      </c>
    </row>
    <row r="1551" spans="1:4" x14ac:dyDescent="0.2">
      <c r="A1551" s="672" t="str">
        <f t="shared" si="24"/>
        <v>180</v>
      </c>
      <c r="B1551" s="672">
        <v>18079</v>
      </c>
      <c r="C1551" s="673" t="s">
        <v>18</v>
      </c>
      <c r="D1551" s="672" t="s">
        <v>19</v>
      </c>
    </row>
    <row r="1552" spans="1:4" x14ac:dyDescent="0.2">
      <c r="A1552" s="672" t="str">
        <f t="shared" si="24"/>
        <v>180</v>
      </c>
      <c r="B1552" s="672">
        <v>18080</v>
      </c>
      <c r="C1552" s="673" t="s">
        <v>18</v>
      </c>
      <c r="D1552" s="672" t="s">
        <v>19</v>
      </c>
    </row>
    <row r="1553" spans="1:4" x14ac:dyDescent="0.2">
      <c r="A1553" s="672" t="str">
        <f t="shared" si="24"/>
        <v>180</v>
      </c>
      <c r="B1553" s="672">
        <v>18081</v>
      </c>
      <c r="C1553" s="673" t="s">
        <v>16</v>
      </c>
      <c r="D1553" s="672" t="s">
        <v>17</v>
      </c>
    </row>
    <row r="1554" spans="1:4" x14ac:dyDescent="0.2">
      <c r="A1554" s="672" t="str">
        <f t="shared" si="24"/>
        <v>180</v>
      </c>
      <c r="B1554" s="672">
        <v>18083</v>
      </c>
      <c r="C1554" s="673" t="s">
        <v>18</v>
      </c>
      <c r="D1554" s="672" t="s">
        <v>19</v>
      </c>
    </row>
    <row r="1555" spans="1:4" x14ac:dyDescent="0.2">
      <c r="A1555" s="672" t="str">
        <f t="shared" si="24"/>
        <v>180</v>
      </c>
      <c r="B1555" s="672">
        <v>18084</v>
      </c>
      <c r="C1555" s="673" t="s">
        <v>16</v>
      </c>
      <c r="D1555" s="672" t="s">
        <v>17</v>
      </c>
    </row>
    <row r="1556" spans="1:4" x14ac:dyDescent="0.2">
      <c r="A1556" s="672" t="str">
        <f t="shared" si="24"/>
        <v>180</v>
      </c>
      <c r="B1556" s="672">
        <v>18085</v>
      </c>
      <c r="C1556" s="673" t="s">
        <v>18</v>
      </c>
      <c r="D1556" s="672" t="s">
        <v>19</v>
      </c>
    </row>
    <row r="1557" spans="1:4" x14ac:dyDescent="0.2">
      <c r="A1557" s="672" t="str">
        <f t="shared" si="24"/>
        <v>180</v>
      </c>
      <c r="B1557" s="672">
        <v>18086</v>
      </c>
      <c r="C1557" s="673" t="s">
        <v>18</v>
      </c>
      <c r="D1557" s="672" t="s">
        <v>19</v>
      </c>
    </row>
    <row r="1558" spans="1:4" x14ac:dyDescent="0.2">
      <c r="A1558" s="672" t="str">
        <f t="shared" si="24"/>
        <v>180</v>
      </c>
      <c r="B1558" s="672">
        <v>18087</v>
      </c>
      <c r="C1558" s="673" t="s">
        <v>18</v>
      </c>
      <c r="D1558" s="672" t="s">
        <v>19</v>
      </c>
    </row>
    <row r="1559" spans="1:4" x14ac:dyDescent="0.2">
      <c r="A1559" s="672" t="str">
        <f t="shared" si="24"/>
        <v>180</v>
      </c>
      <c r="B1559" s="672">
        <v>18088</v>
      </c>
      <c r="C1559" s="673" t="s">
        <v>18</v>
      </c>
      <c r="D1559" s="672" t="s">
        <v>19</v>
      </c>
    </row>
    <row r="1560" spans="1:4" x14ac:dyDescent="0.2">
      <c r="A1560" s="672" t="str">
        <f t="shared" si="24"/>
        <v>180</v>
      </c>
      <c r="B1560" s="672">
        <v>18091</v>
      </c>
      <c r="C1560" s="673" t="s">
        <v>18</v>
      </c>
      <c r="D1560" s="672" t="s">
        <v>19</v>
      </c>
    </row>
    <row r="1561" spans="1:4" x14ac:dyDescent="0.2">
      <c r="A1561" s="672" t="str">
        <f t="shared" si="24"/>
        <v>180</v>
      </c>
      <c r="B1561" s="672">
        <v>18092</v>
      </c>
      <c r="C1561" s="673" t="s">
        <v>18</v>
      </c>
      <c r="D1561" s="672" t="s">
        <v>19</v>
      </c>
    </row>
    <row r="1562" spans="1:4" x14ac:dyDescent="0.2">
      <c r="A1562" s="672" t="str">
        <f t="shared" si="24"/>
        <v>180</v>
      </c>
      <c r="B1562" s="672">
        <v>18098</v>
      </c>
      <c r="C1562" s="673" t="s">
        <v>18</v>
      </c>
      <c r="D1562" s="672" t="s">
        <v>19</v>
      </c>
    </row>
    <row r="1563" spans="1:4" x14ac:dyDescent="0.2">
      <c r="A1563" s="672" t="str">
        <f t="shared" si="24"/>
        <v>180</v>
      </c>
      <c r="B1563" s="672">
        <v>18099</v>
      </c>
      <c r="C1563" s="673" t="s">
        <v>18</v>
      </c>
      <c r="D1563" s="672" t="s">
        <v>19</v>
      </c>
    </row>
    <row r="1564" spans="1:4" x14ac:dyDescent="0.2">
      <c r="A1564" s="672" t="str">
        <f t="shared" si="24"/>
        <v>181</v>
      </c>
      <c r="B1564" s="672">
        <v>18101</v>
      </c>
      <c r="C1564" s="673" t="s">
        <v>18</v>
      </c>
      <c r="D1564" s="672" t="s">
        <v>19</v>
      </c>
    </row>
    <row r="1565" spans="1:4" x14ac:dyDescent="0.2">
      <c r="A1565" s="672" t="str">
        <f t="shared" si="24"/>
        <v>181</v>
      </c>
      <c r="B1565" s="672">
        <v>18102</v>
      </c>
      <c r="C1565" s="673" t="s">
        <v>18</v>
      </c>
      <c r="D1565" s="672" t="s">
        <v>19</v>
      </c>
    </row>
    <row r="1566" spans="1:4" x14ac:dyDescent="0.2">
      <c r="A1566" s="672" t="str">
        <f t="shared" si="24"/>
        <v>181</v>
      </c>
      <c r="B1566" s="672">
        <v>18103</v>
      </c>
      <c r="C1566" s="673" t="s">
        <v>18</v>
      </c>
      <c r="D1566" s="672" t="s">
        <v>19</v>
      </c>
    </row>
    <row r="1567" spans="1:4" x14ac:dyDescent="0.2">
      <c r="A1567" s="672" t="str">
        <f t="shared" si="24"/>
        <v>181</v>
      </c>
      <c r="B1567" s="672">
        <v>18104</v>
      </c>
      <c r="C1567" s="673" t="s">
        <v>18</v>
      </c>
      <c r="D1567" s="672" t="s">
        <v>19</v>
      </c>
    </row>
    <row r="1568" spans="1:4" x14ac:dyDescent="0.2">
      <c r="A1568" s="672" t="str">
        <f t="shared" si="24"/>
        <v>181</v>
      </c>
      <c r="B1568" s="672">
        <v>18105</v>
      </c>
      <c r="C1568" s="673" t="s">
        <v>18</v>
      </c>
      <c r="D1568" s="672" t="s">
        <v>19</v>
      </c>
    </row>
    <row r="1569" spans="1:4" x14ac:dyDescent="0.2">
      <c r="A1569" s="672" t="str">
        <f t="shared" si="24"/>
        <v>181</v>
      </c>
      <c r="B1569" s="672">
        <v>18106</v>
      </c>
      <c r="C1569" s="673" t="s">
        <v>18</v>
      </c>
      <c r="D1569" s="672" t="s">
        <v>19</v>
      </c>
    </row>
    <row r="1570" spans="1:4" x14ac:dyDescent="0.2">
      <c r="A1570" s="672" t="str">
        <f t="shared" si="24"/>
        <v>181</v>
      </c>
      <c r="B1570" s="672">
        <v>18109</v>
      </c>
      <c r="C1570" s="673" t="s">
        <v>18</v>
      </c>
      <c r="D1570" s="672" t="s">
        <v>19</v>
      </c>
    </row>
    <row r="1571" spans="1:4" x14ac:dyDescent="0.2">
      <c r="A1571" s="672" t="str">
        <f t="shared" si="24"/>
        <v>181</v>
      </c>
      <c r="B1571" s="672">
        <v>18175</v>
      </c>
      <c r="C1571" s="673" t="s">
        <v>18</v>
      </c>
      <c r="D1571" s="672" t="s">
        <v>19</v>
      </c>
    </row>
    <row r="1572" spans="1:4" x14ac:dyDescent="0.2">
      <c r="A1572" s="672" t="str">
        <f t="shared" si="24"/>
        <v>181</v>
      </c>
      <c r="B1572" s="672">
        <v>18195</v>
      </c>
      <c r="C1572" s="673" t="s">
        <v>18</v>
      </c>
      <c r="D1572" s="672" t="s">
        <v>19</v>
      </c>
    </row>
    <row r="1573" spans="1:4" x14ac:dyDescent="0.2">
      <c r="A1573" s="672" t="str">
        <f t="shared" si="24"/>
        <v>182</v>
      </c>
      <c r="B1573" s="672">
        <v>18201</v>
      </c>
      <c r="C1573" s="673" t="s">
        <v>14</v>
      </c>
      <c r="D1573" s="672" t="s">
        <v>15</v>
      </c>
    </row>
    <row r="1574" spans="1:4" x14ac:dyDescent="0.2">
      <c r="A1574" s="672" t="str">
        <f t="shared" si="24"/>
        <v>182</v>
      </c>
      <c r="B1574" s="672">
        <v>18202</v>
      </c>
      <c r="C1574" s="673" t="s">
        <v>14</v>
      </c>
      <c r="D1574" s="672" t="s">
        <v>15</v>
      </c>
    </row>
    <row r="1575" spans="1:4" x14ac:dyDescent="0.2">
      <c r="A1575" s="672" t="str">
        <f t="shared" si="24"/>
        <v>182</v>
      </c>
      <c r="B1575" s="672">
        <v>18210</v>
      </c>
      <c r="C1575" s="673" t="s">
        <v>18</v>
      </c>
      <c r="D1575" s="672" t="s">
        <v>19</v>
      </c>
    </row>
    <row r="1576" spans="1:4" x14ac:dyDescent="0.2">
      <c r="A1576" s="672" t="str">
        <f t="shared" si="24"/>
        <v>182</v>
      </c>
      <c r="B1576" s="672">
        <v>18211</v>
      </c>
      <c r="C1576" s="673" t="s">
        <v>18</v>
      </c>
      <c r="D1576" s="672" t="s">
        <v>19</v>
      </c>
    </row>
    <row r="1577" spans="1:4" x14ac:dyDescent="0.2">
      <c r="A1577" s="672" t="str">
        <f t="shared" si="24"/>
        <v>182</v>
      </c>
      <c r="B1577" s="672">
        <v>18212</v>
      </c>
      <c r="C1577" s="673" t="s">
        <v>18</v>
      </c>
      <c r="D1577" s="672" t="s">
        <v>19</v>
      </c>
    </row>
    <row r="1578" spans="1:4" x14ac:dyDescent="0.2">
      <c r="A1578" s="672" t="str">
        <f t="shared" si="24"/>
        <v>182</v>
      </c>
      <c r="B1578" s="672">
        <v>18214</v>
      </c>
      <c r="C1578" s="673" t="s">
        <v>18</v>
      </c>
      <c r="D1578" s="672" t="s">
        <v>19</v>
      </c>
    </row>
    <row r="1579" spans="1:4" x14ac:dyDescent="0.2">
      <c r="A1579" s="672" t="str">
        <f t="shared" si="24"/>
        <v>182</v>
      </c>
      <c r="B1579" s="672">
        <v>18216</v>
      </c>
      <c r="C1579" s="673" t="s">
        <v>18</v>
      </c>
      <c r="D1579" s="672" t="s">
        <v>19</v>
      </c>
    </row>
    <row r="1580" spans="1:4" x14ac:dyDescent="0.2">
      <c r="A1580" s="672" t="str">
        <f t="shared" si="24"/>
        <v>182</v>
      </c>
      <c r="B1580" s="672">
        <v>18218</v>
      </c>
      <c r="C1580" s="673" t="s">
        <v>18</v>
      </c>
      <c r="D1580" s="672" t="s">
        <v>19</v>
      </c>
    </row>
    <row r="1581" spans="1:4" x14ac:dyDescent="0.2">
      <c r="A1581" s="672" t="str">
        <f t="shared" si="24"/>
        <v>182</v>
      </c>
      <c r="B1581" s="672">
        <v>18219</v>
      </c>
      <c r="C1581" s="673" t="s">
        <v>14</v>
      </c>
      <c r="D1581" s="672" t="s">
        <v>15</v>
      </c>
    </row>
    <row r="1582" spans="1:4" x14ac:dyDescent="0.2">
      <c r="A1582" s="672" t="str">
        <f t="shared" si="24"/>
        <v>182</v>
      </c>
      <c r="B1582" s="672">
        <v>18220</v>
      </c>
      <c r="C1582" s="673" t="s">
        <v>18</v>
      </c>
      <c r="D1582" s="672" t="s">
        <v>19</v>
      </c>
    </row>
    <row r="1583" spans="1:4" x14ac:dyDescent="0.2">
      <c r="A1583" s="672" t="str">
        <f t="shared" si="24"/>
        <v>182</v>
      </c>
      <c r="B1583" s="672">
        <v>18221</v>
      </c>
      <c r="C1583" s="673" t="s">
        <v>14</v>
      </c>
      <c r="D1583" s="672" t="s">
        <v>15</v>
      </c>
    </row>
    <row r="1584" spans="1:4" x14ac:dyDescent="0.2">
      <c r="A1584" s="672" t="str">
        <f t="shared" si="24"/>
        <v>182</v>
      </c>
      <c r="B1584" s="672">
        <v>18222</v>
      </c>
      <c r="C1584" s="673" t="s">
        <v>14</v>
      </c>
      <c r="D1584" s="672" t="s">
        <v>15</v>
      </c>
    </row>
    <row r="1585" spans="1:4" x14ac:dyDescent="0.2">
      <c r="A1585" s="672" t="str">
        <f t="shared" si="24"/>
        <v>182</v>
      </c>
      <c r="B1585" s="672">
        <v>18223</v>
      </c>
      <c r="C1585" s="673" t="s">
        <v>14</v>
      </c>
      <c r="D1585" s="672" t="s">
        <v>15</v>
      </c>
    </row>
    <row r="1586" spans="1:4" x14ac:dyDescent="0.2">
      <c r="A1586" s="672" t="str">
        <f t="shared" si="24"/>
        <v>182</v>
      </c>
      <c r="B1586" s="672">
        <v>18224</v>
      </c>
      <c r="C1586" s="673" t="s">
        <v>14</v>
      </c>
      <c r="D1586" s="672" t="s">
        <v>15</v>
      </c>
    </row>
    <row r="1587" spans="1:4" x14ac:dyDescent="0.2">
      <c r="A1587" s="672" t="str">
        <f t="shared" si="24"/>
        <v>182</v>
      </c>
      <c r="B1587" s="672">
        <v>18225</v>
      </c>
      <c r="C1587" s="673" t="s">
        <v>14</v>
      </c>
      <c r="D1587" s="672" t="s">
        <v>15</v>
      </c>
    </row>
    <row r="1588" spans="1:4" x14ac:dyDescent="0.2">
      <c r="A1588" s="672" t="str">
        <f t="shared" si="24"/>
        <v>182</v>
      </c>
      <c r="B1588" s="672">
        <v>18229</v>
      </c>
      <c r="C1588" s="673" t="s">
        <v>18</v>
      </c>
      <c r="D1588" s="672" t="s">
        <v>19</v>
      </c>
    </row>
    <row r="1589" spans="1:4" x14ac:dyDescent="0.2">
      <c r="A1589" s="672" t="str">
        <f t="shared" si="24"/>
        <v>182</v>
      </c>
      <c r="B1589" s="672">
        <v>18230</v>
      </c>
      <c r="C1589" s="673" t="s">
        <v>18</v>
      </c>
      <c r="D1589" s="672" t="s">
        <v>19</v>
      </c>
    </row>
    <row r="1590" spans="1:4" x14ac:dyDescent="0.2">
      <c r="A1590" s="672" t="str">
        <f t="shared" si="24"/>
        <v>182</v>
      </c>
      <c r="B1590" s="672">
        <v>18231</v>
      </c>
      <c r="C1590" s="673" t="s">
        <v>18</v>
      </c>
      <c r="D1590" s="672" t="s">
        <v>19</v>
      </c>
    </row>
    <row r="1591" spans="1:4" x14ac:dyDescent="0.2">
      <c r="A1591" s="672" t="str">
        <f t="shared" si="24"/>
        <v>182</v>
      </c>
      <c r="B1591" s="672">
        <v>18232</v>
      </c>
      <c r="C1591" s="673" t="s">
        <v>18</v>
      </c>
      <c r="D1591" s="672" t="s">
        <v>19</v>
      </c>
    </row>
    <row r="1592" spans="1:4" x14ac:dyDescent="0.2">
      <c r="A1592" s="672" t="str">
        <f t="shared" si="24"/>
        <v>182</v>
      </c>
      <c r="B1592" s="672">
        <v>18234</v>
      </c>
      <c r="C1592" s="673" t="s">
        <v>14</v>
      </c>
      <c r="D1592" s="672" t="s">
        <v>15</v>
      </c>
    </row>
    <row r="1593" spans="1:4" x14ac:dyDescent="0.2">
      <c r="A1593" s="672" t="str">
        <f t="shared" si="24"/>
        <v>182</v>
      </c>
      <c r="B1593" s="672">
        <v>18235</v>
      </c>
      <c r="C1593" s="673" t="s">
        <v>18</v>
      </c>
      <c r="D1593" s="672" t="s">
        <v>19</v>
      </c>
    </row>
    <row r="1594" spans="1:4" x14ac:dyDescent="0.2">
      <c r="A1594" s="672" t="str">
        <f t="shared" si="24"/>
        <v>182</v>
      </c>
      <c r="B1594" s="672">
        <v>18237</v>
      </c>
      <c r="C1594" s="673" t="s">
        <v>18</v>
      </c>
      <c r="D1594" s="672" t="s">
        <v>19</v>
      </c>
    </row>
    <row r="1595" spans="1:4" x14ac:dyDescent="0.2">
      <c r="A1595" s="672" t="str">
        <f t="shared" si="24"/>
        <v>182</v>
      </c>
      <c r="B1595" s="672">
        <v>18239</v>
      </c>
      <c r="C1595" s="673" t="s">
        <v>14</v>
      </c>
      <c r="D1595" s="672" t="s">
        <v>15</v>
      </c>
    </row>
    <row r="1596" spans="1:4" x14ac:dyDescent="0.2">
      <c r="A1596" s="672" t="str">
        <f t="shared" si="24"/>
        <v>182</v>
      </c>
      <c r="B1596" s="672">
        <v>18240</v>
      </c>
      <c r="C1596" s="673" t="s">
        <v>18</v>
      </c>
      <c r="D1596" s="672" t="s">
        <v>19</v>
      </c>
    </row>
    <row r="1597" spans="1:4" x14ac:dyDescent="0.2">
      <c r="A1597" s="672" t="str">
        <f t="shared" si="24"/>
        <v>182</v>
      </c>
      <c r="B1597" s="672">
        <v>18241</v>
      </c>
      <c r="C1597" s="673" t="s">
        <v>18</v>
      </c>
      <c r="D1597" s="672" t="s">
        <v>19</v>
      </c>
    </row>
    <row r="1598" spans="1:4" x14ac:dyDescent="0.2">
      <c r="A1598" s="672" t="str">
        <f t="shared" si="24"/>
        <v>182</v>
      </c>
      <c r="B1598" s="672">
        <v>18242</v>
      </c>
      <c r="C1598" s="673" t="s">
        <v>18</v>
      </c>
      <c r="D1598" s="672" t="s">
        <v>19</v>
      </c>
    </row>
    <row r="1599" spans="1:4" x14ac:dyDescent="0.2">
      <c r="A1599" s="672" t="str">
        <f t="shared" si="24"/>
        <v>182</v>
      </c>
      <c r="B1599" s="672">
        <v>18243</v>
      </c>
      <c r="C1599" s="673" t="s">
        <v>14</v>
      </c>
      <c r="D1599" s="672" t="s">
        <v>15</v>
      </c>
    </row>
    <row r="1600" spans="1:4" x14ac:dyDescent="0.2">
      <c r="A1600" s="672" t="str">
        <f t="shared" si="24"/>
        <v>182</v>
      </c>
      <c r="B1600" s="672">
        <v>18244</v>
      </c>
      <c r="C1600" s="673" t="s">
        <v>18</v>
      </c>
      <c r="D1600" s="672" t="s">
        <v>19</v>
      </c>
    </row>
    <row r="1601" spans="1:4" x14ac:dyDescent="0.2">
      <c r="A1601" s="672" t="str">
        <f t="shared" si="24"/>
        <v>182</v>
      </c>
      <c r="B1601" s="672">
        <v>18245</v>
      </c>
      <c r="C1601" s="673" t="s">
        <v>18</v>
      </c>
      <c r="D1601" s="672" t="s">
        <v>19</v>
      </c>
    </row>
    <row r="1602" spans="1:4" x14ac:dyDescent="0.2">
      <c r="A1602" s="672" t="str">
        <f t="shared" ref="A1602:A1665" si="25">LEFT(B1602,3)</f>
        <v>182</v>
      </c>
      <c r="B1602" s="672">
        <v>18246</v>
      </c>
      <c r="C1602" s="673" t="s">
        <v>14</v>
      </c>
      <c r="D1602" s="672" t="s">
        <v>15</v>
      </c>
    </row>
    <row r="1603" spans="1:4" x14ac:dyDescent="0.2">
      <c r="A1603" s="672" t="str">
        <f t="shared" si="25"/>
        <v>182</v>
      </c>
      <c r="B1603" s="672">
        <v>18247</v>
      </c>
      <c r="C1603" s="673" t="s">
        <v>14</v>
      </c>
      <c r="D1603" s="672" t="s">
        <v>15</v>
      </c>
    </row>
    <row r="1604" spans="1:4" x14ac:dyDescent="0.2">
      <c r="A1604" s="672" t="str">
        <f t="shared" si="25"/>
        <v>182</v>
      </c>
      <c r="B1604" s="672">
        <v>18248</v>
      </c>
      <c r="C1604" s="673" t="s">
        <v>18</v>
      </c>
      <c r="D1604" s="672" t="s">
        <v>19</v>
      </c>
    </row>
    <row r="1605" spans="1:4" x14ac:dyDescent="0.2">
      <c r="A1605" s="672" t="str">
        <f t="shared" si="25"/>
        <v>182</v>
      </c>
      <c r="B1605" s="672">
        <v>18249</v>
      </c>
      <c r="C1605" s="673" t="s">
        <v>14</v>
      </c>
      <c r="D1605" s="672" t="s">
        <v>15</v>
      </c>
    </row>
    <row r="1606" spans="1:4" x14ac:dyDescent="0.2">
      <c r="A1606" s="672" t="str">
        <f t="shared" si="25"/>
        <v>182</v>
      </c>
      <c r="B1606" s="672">
        <v>18250</v>
      </c>
      <c r="C1606" s="673" t="s">
        <v>18</v>
      </c>
      <c r="D1606" s="672" t="s">
        <v>19</v>
      </c>
    </row>
    <row r="1607" spans="1:4" x14ac:dyDescent="0.2">
      <c r="A1607" s="672" t="str">
        <f t="shared" si="25"/>
        <v>182</v>
      </c>
      <c r="B1607" s="672">
        <v>18251</v>
      </c>
      <c r="C1607" s="673" t="s">
        <v>14</v>
      </c>
      <c r="D1607" s="672" t="s">
        <v>15</v>
      </c>
    </row>
    <row r="1608" spans="1:4" x14ac:dyDescent="0.2">
      <c r="A1608" s="672" t="str">
        <f t="shared" si="25"/>
        <v>182</v>
      </c>
      <c r="B1608" s="672">
        <v>18252</v>
      </c>
      <c r="C1608" s="673" t="s">
        <v>18</v>
      </c>
      <c r="D1608" s="672" t="s">
        <v>19</v>
      </c>
    </row>
    <row r="1609" spans="1:4" x14ac:dyDescent="0.2">
      <c r="A1609" s="672" t="str">
        <f t="shared" si="25"/>
        <v>182</v>
      </c>
      <c r="B1609" s="672">
        <v>18254</v>
      </c>
      <c r="C1609" s="673" t="s">
        <v>18</v>
      </c>
      <c r="D1609" s="672" t="s">
        <v>19</v>
      </c>
    </row>
    <row r="1610" spans="1:4" x14ac:dyDescent="0.2">
      <c r="A1610" s="672" t="str">
        <f t="shared" si="25"/>
        <v>182</v>
      </c>
      <c r="B1610" s="672">
        <v>18255</v>
      </c>
      <c r="C1610" s="673" t="s">
        <v>18</v>
      </c>
      <c r="D1610" s="672" t="s">
        <v>19</v>
      </c>
    </row>
    <row r="1611" spans="1:4" x14ac:dyDescent="0.2">
      <c r="A1611" s="672" t="str">
        <f t="shared" si="25"/>
        <v>182</v>
      </c>
      <c r="B1611" s="672">
        <v>18256</v>
      </c>
      <c r="C1611" s="673" t="s">
        <v>14</v>
      </c>
      <c r="D1611" s="672" t="s">
        <v>15</v>
      </c>
    </row>
    <row r="1612" spans="1:4" x14ac:dyDescent="0.2">
      <c r="A1612" s="672" t="str">
        <f t="shared" si="25"/>
        <v>183</v>
      </c>
      <c r="B1612" s="672">
        <v>18301</v>
      </c>
      <c r="C1612" s="673" t="s">
        <v>14</v>
      </c>
      <c r="D1612" s="672" t="s">
        <v>15</v>
      </c>
    </row>
    <row r="1613" spans="1:4" x14ac:dyDescent="0.2">
      <c r="A1613" s="672" t="str">
        <f t="shared" si="25"/>
        <v>183</v>
      </c>
      <c r="B1613" s="672">
        <v>18302</v>
      </c>
      <c r="C1613" s="673" t="s">
        <v>14</v>
      </c>
      <c r="D1613" s="672" t="s">
        <v>15</v>
      </c>
    </row>
    <row r="1614" spans="1:4" x14ac:dyDescent="0.2">
      <c r="A1614" s="672" t="str">
        <f t="shared" si="25"/>
        <v>183</v>
      </c>
      <c r="B1614" s="672">
        <v>18320</v>
      </c>
      <c r="C1614" s="673" t="s">
        <v>14</v>
      </c>
      <c r="D1614" s="672" t="s">
        <v>15</v>
      </c>
    </row>
    <row r="1615" spans="1:4" x14ac:dyDescent="0.2">
      <c r="A1615" s="672" t="str">
        <f t="shared" si="25"/>
        <v>183</v>
      </c>
      <c r="B1615" s="672">
        <v>18321</v>
      </c>
      <c r="C1615" s="673" t="s">
        <v>14</v>
      </c>
      <c r="D1615" s="672" t="s">
        <v>15</v>
      </c>
    </row>
    <row r="1616" spans="1:4" x14ac:dyDescent="0.2">
      <c r="A1616" s="672" t="str">
        <f t="shared" si="25"/>
        <v>183</v>
      </c>
      <c r="B1616" s="672">
        <v>18322</v>
      </c>
      <c r="C1616" s="673" t="s">
        <v>14</v>
      </c>
      <c r="D1616" s="672" t="s">
        <v>15</v>
      </c>
    </row>
    <row r="1617" spans="1:4" x14ac:dyDescent="0.2">
      <c r="A1617" s="672" t="str">
        <f t="shared" si="25"/>
        <v>183</v>
      </c>
      <c r="B1617" s="672">
        <v>18323</v>
      </c>
      <c r="C1617" s="673" t="s">
        <v>14</v>
      </c>
      <c r="D1617" s="672" t="s">
        <v>15</v>
      </c>
    </row>
    <row r="1618" spans="1:4" x14ac:dyDescent="0.2">
      <c r="A1618" s="672" t="str">
        <f t="shared" si="25"/>
        <v>183</v>
      </c>
      <c r="B1618" s="672">
        <v>18324</v>
      </c>
      <c r="C1618" s="673" t="s">
        <v>14</v>
      </c>
      <c r="D1618" s="672" t="s">
        <v>15</v>
      </c>
    </row>
    <row r="1619" spans="1:4" x14ac:dyDescent="0.2">
      <c r="A1619" s="672" t="str">
        <f t="shared" si="25"/>
        <v>183</v>
      </c>
      <c r="B1619" s="672">
        <v>18325</v>
      </c>
      <c r="C1619" s="673" t="s">
        <v>14</v>
      </c>
      <c r="D1619" s="672" t="s">
        <v>15</v>
      </c>
    </row>
    <row r="1620" spans="1:4" x14ac:dyDescent="0.2">
      <c r="A1620" s="672" t="str">
        <f t="shared" si="25"/>
        <v>183</v>
      </c>
      <c r="B1620" s="672">
        <v>18326</v>
      </c>
      <c r="C1620" s="673" t="s">
        <v>14</v>
      </c>
      <c r="D1620" s="672" t="s">
        <v>15</v>
      </c>
    </row>
    <row r="1621" spans="1:4" x14ac:dyDescent="0.2">
      <c r="A1621" s="672" t="str">
        <f t="shared" si="25"/>
        <v>183</v>
      </c>
      <c r="B1621" s="672">
        <v>18327</v>
      </c>
      <c r="C1621" s="673" t="s">
        <v>14</v>
      </c>
      <c r="D1621" s="672" t="s">
        <v>15</v>
      </c>
    </row>
    <row r="1622" spans="1:4" x14ac:dyDescent="0.2">
      <c r="A1622" s="672" t="str">
        <f t="shared" si="25"/>
        <v>183</v>
      </c>
      <c r="B1622" s="672">
        <v>18328</v>
      </c>
      <c r="C1622" s="673" t="s">
        <v>14</v>
      </c>
      <c r="D1622" s="672" t="s">
        <v>15</v>
      </c>
    </row>
    <row r="1623" spans="1:4" x14ac:dyDescent="0.2">
      <c r="A1623" s="672" t="str">
        <f t="shared" si="25"/>
        <v>183</v>
      </c>
      <c r="B1623" s="672">
        <v>18330</v>
      </c>
      <c r="C1623" s="673" t="s">
        <v>14</v>
      </c>
      <c r="D1623" s="672" t="s">
        <v>15</v>
      </c>
    </row>
    <row r="1624" spans="1:4" x14ac:dyDescent="0.2">
      <c r="A1624" s="672" t="str">
        <f t="shared" si="25"/>
        <v>183</v>
      </c>
      <c r="B1624" s="672">
        <v>18331</v>
      </c>
      <c r="C1624" s="673" t="s">
        <v>14</v>
      </c>
      <c r="D1624" s="672" t="s">
        <v>15</v>
      </c>
    </row>
    <row r="1625" spans="1:4" x14ac:dyDescent="0.2">
      <c r="A1625" s="672" t="str">
        <f t="shared" si="25"/>
        <v>183</v>
      </c>
      <c r="B1625" s="672">
        <v>18332</v>
      </c>
      <c r="C1625" s="673" t="s">
        <v>14</v>
      </c>
      <c r="D1625" s="672" t="s">
        <v>15</v>
      </c>
    </row>
    <row r="1626" spans="1:4" x14ac:dyDescent="0.2">
      <c r="A1626" s="672" t="str">
        <f t="shared" si="25"/>
        <v>183</v>
      </c>
      <c r="B1626" s="672">
        <v>18333</v>
      </c>
      <c r="C1626" s="673" t="s">
        <v>14</v>
      </c>
      <c r="D1626" s="672" t="s">
        <v>15</v>
      </c>
    </row>
    <row r="1627" spans="1:4" x14ac:dyDescent="0.2">
      <c r="A1627" s="672" t="str">
        <f t="shared" si="25"/>
        <v>183</v>
      </c>
      <c r="B1627" s="672">
        <v>18334</v>
      </c>
      <c r="C1627" s="673" t="s">
        <v>14</v>
      </c>
      <c r="D1627" s="672" t="s">
        <v>15</v>
      </c>
    </row>
    <row r="1628" spans="1:4" x14ac:dyDescent="0.2">
      <c r="A1628" s="672" t="str">
        <f t="shared" si="25"/>
        <v>183</v>
      </c>
      <c r="B1628" s="672">
        <v>18335</v>
      </c>
      <c r="C1628" s="673" t="s">
        <v>14</v>
      </c>
      <c r="D1628" s="672" t="s">
        <v>15</v>
      </c>
    </row>
    <row r="1629" spans="1:4" x14ac:dyDescent="0.2">
      <c r="A1629" s="672" t="str">
        <f t="shared" si="25"/>
        <v>183</v>
      </c>
      <c r="B1629" s="672">
        <v>18336</v>
      </c>
      <c r="C1629" s="673" t="s">
        <v>14</v>
      </c>
      <c r="D1629" s="672" t="s">
        <v>15</v>
      </c>
    </row>
    <row r="1630" spans="1:4" x14ac:dyDescent="0.2">
      <c r="A1630" s="672" t="str">
        <f t="shared" si="25"/>
        <v>183</v>
      </c>
      <c r="B1630" s="672">
        <v>18337</v>
      </c>
      <c r="C1630" s="673" t="s">
        <v>14</v>
      </c>
      <c r="D1630" s="672" t="s">
        <v>15</v>
      </c>
    </row>
    <row r="1631" spans="1:4" x14ac:dyDescent="0.2">
      <c r="A1631" s="672" t="str">
        <f t="shared" si="25"/>
        <v>183</v>
      </c>
      <c r="B1631" s="672">
        <v>18340</v>
      </c>
      <c r="C1631" s="673" t="s">
        <v>14</v>
      </c>
      <c r="D1631" s="672" t="s">
        <v>15</v>
      </c>
    </row>
    <row r="1632" spans="1:4" x14ac:dyDescent="0.2">
      <c r="A1632" s="672" t="str">
        <f t="shared" si="25"/>
        <v>183</v>
      </c>
      <c r="B1632" s="672">
        <v>18341</v>
      </c>
      <c r="C1632" s="673" t="s">
        <v>14</v>
      </c>
      <c r="D1632" s="672" t="s">
        <v>15</v>
      </c>
    </row>
    <row r="1633" spans="1:4" x14ac:dyDescent="0.2">
      <c r="A1633" s="672" t="str">
        <f t="shared" si="25"/>
        <v>183</v>
      </c>
      <c r="B1633" s="672">
        <v>18342</v>
      </c>
      <c r="C1633" s="673" t="s">
        <v>14</v>
      </c>
      <c r="D1633" s="672" t="s">
        <v>15</v>
      </c>
    </row>
    <row r="1634" spans="1:4" x14ac:dyDescent="0.2">
      <c r="A1634" s="672" t="str">
        <f t="shared" si="25"/>
        <v>183</v>
      </c>
      <c r="B1634" s="672">
        <v>18343</v>
      </c>
      <c r="C1634" s="673" t="s">
        <v>18</v>
      </c>
      <c r="D1634" s="672" t="s">
        <v>19</v>
      </c>
    </row>
    <row r="1635" spans="1:4" x14ac:dyDescent="0.2">
      <c r="A1635" s="672" t="str">
        <f t="shared" si="25"/>
        <v>183</v>
      </c>
      <c r="B1635" s="672">
        <v>18344</v>
      </c>
      <c r="C1635" s="673" t="s">
        <v>14</v>
      </c>
      <c r="D1635" s="672" t="s">
        <v>15</v>
      </c>
    </row>
    <row r="1636" spans="1:4" x14ac:dyDescent="0.2">
      <c r="A1636" s="672" t="str">
        <f t="shared" si="25"/>
        <v>183</v>
      </c>
      <c r="B1636" s="672">
        <v>18346</v>
      </c>
      <c r="C1636" s="673" t="s">
        <v>14</v>
      </c>
      <c r="D1636" s="672" t="s">
        <v>15</v>
      </c>
    </row>
    <row r="1637" spans="1:4" x14ac:dyDescent="0.2">
      <c r="A1637" s="672" t="str">
        <f t="shared" si="25"/>
        <v>183</v>
      </c>
      <c r="B1637" s="672">
        <v>18347</v>
      </c>
      <c r="C1637" s="673" t="s">
        <v>14</v>
      </c>
      <c r="D1637" s="672" t="s">
        <v>15</v>
      </c>
    </row>
    <row r="1638" spans="1:4" x14ac:dyDescent="0.2">
      <c r="A1638" s="672" t="str">
        <f t="shared" si="25"/>
        <v>183</v>
      </c>
      <c r="B1638" s="672">
        <v>18348</v>
      </c>
      <c r="C1638" s="673" t="s">
        <v>14</v>
      </c>
      <c r="D1638" s="672" t="s">
        <v>15</v>
      </c>
    </row>
    <row r="1639" spans="1:4" x14ac:dyDescent="0.2">
      <c r="A1639" s="672" t="str">
        <f t="shared" si="25"/>
        <v>183</v>
      </c>
      <c r="B1639" s="672">
        <v>18349</v>
      </c>
      <c r="C1639" s="673" t="s">
        <v>14</v>
      </c>
      <c r="D1639" s="672" t="s">
        <v>15</v>
      </c>
    </row>
    <row r="1640" spans="1:4" x14ac:dyDescent="0.2">
      <c r="A1640" s="672" t="str">
        <f t="shared" si="25"/>
        <v>183</v>
      </c>
      <c r="B1640" s="672">
        <v>18350</v>
      </c>
      <c r="C1640" s="673" t="s">
        <v>14</v>
      </c>
      <c r="D1640" s="672" t="s">
        <v>15</v>
      </c>
    </row>
    <row r="1641" spans="1:4" x14ac:dyDescent="0.2">
      <c r="A1641" s="672" t="str">
        <f t="shared" si="25"/>
        <v>183</v>
      </c>
      <c r="B1641" s="672">
        <v>18351</v>
      </c>
      <c r="C1641" s="673" t="s">
        <v>18</v>
      </c>
      <c r="D1641" s="672" t="s">
        <v>19</v>
      </c>
    </row>
    <row r="1642" spans="1:4" x14ac:dyDescent="0.2">
      <c r="A1642" s="672" t="str">
        <f t="shared" si="25"/>
        <v>183</v>
      </c>
      <c r="B1642" s="672">
        <v>18352</v>
      </c>
      <c r="C1642" s="673" t="s">
        <v>14</v>
      </c>
      <c r="D1642" s="672" t="s">
        <v>15</v>
      </c>
    </row>
    <row r="1643" spans="1:4" x14ac:dyDescent="0.2">
      <c r="A1643" s="672" t="str">
        <f t="shared" si="25"/>
        <v>183</v>
      </c>
      <c r="B1643" s="672">
        <v>18353</v>
      </c>
      <c r="C1643" s="673" t="s">
        <v>14</v>
      </c>
      <c r="D1643" s="672" t="s">
        <v>15</v>
      </c>
    </row>
    <row r="1644" spans="1:4" x14ac:dyDescent="0.2">
      <c r="A1644" s="672" t="str">
        <f t="shared" si="25"/>
        <v>183</v>
      </c>
      <c r="B1644" s="672">
        <v>18354</v>
      </c>
      <c r="C1644" s="673" t="s">
        <v>14</v>
      </c>
      <c r="D1644" s="672" t="s">
        <v>15</v>
      </c>
    </row>
    <row r="1645" spans="1:4" x14ac:dyDescent="0.2">
      <c r="A1645" s="672" t="str">
        <f t="shared" si="25"/>
        <v>183</v>
      </c>
      <c r="B1645" s="672">
        <v>18355</v>
      </c>
      <c r="C1645" s="673" t="s">
        <v>14</v>
      </c>
      <c r="D1645" s="672" t="s">
        <v>15</v>
      </c>
    </row>
    <row r="1646" spans="1:4" x14ac:dyDescent="0.2">
      <c r="A1646" s="672" t="str">
        <f t="shared" si="25"/>
        <v>183</v>
      </c>
      <c r="B1646" s="672">
        <v>18356</v>
      </c>
      <c r="C1646" s="673" t="s">
        <v>14</v>
      </c>
      <c r="D1646" s="672" t="s">
        <v>15</v>
      </c>
    </row>
    <row r="1647" spans="1:4" x14ac:dyDescent="0.2">
      <c r="A1647" s="672" t="str">
        <f t="shared" si="25"/>
        <v>183</v>
      </c>
      <c r="B1647" s="672">
        <v>18357</v>
      </c>
      <c r="C1647" s="673" t="s">
        <v>14</v>
      </c>
      <c r="D1647" s="672" t="s">
        <v>15</v>
      </c>
    </row>
    <row r="1648" spans="1:4" x14ac:dyDescent="0.2">
      <c r="A1648" s="672" t="str">
        <f t="shared" si="25"/>
        <v>183</v>
      </c>
      <c r="B1648" s="672">
        <v>18360</v>
      </c>
      <c r="C1648" s="673" t="s">
        <v>14</v>
      </c>
      <c r="D1648" s="672" t="s">
        <v>15</v>
      </c>
    </row>
    <row r="1649" spans="1:4" x14ac:dyDescent="0.2">
      <c r="A1649" s="672" t="str">
        <f t="shared" si="25"/>
        <v>183</v>
      </c>
      <c r="B1649" s="672">
        <v>18370</v>
      </c>
      <c r="C1649" s="673" t="s">
        <v>14</v>
      </c>
      <c r="D1649" s="672" t="s">
        <v>15</v>
      </c>
    </row>
    <row r="1650" spans="1:4" x14ac:dyDescent="0.2">
      <c r="A1650" s="672" t="str">
        <f t="shared" si="25"/>
        <v>183</v>
      </c>
      <c r="B1650" s="672">
        <v>18371</v>
      </c>
      <c r="C1650" s="673" t="s">
        <v>14</v>
      </c>
      <c r="D1650" s="672" t="s">
        <v>15</v>
      </c>
    </row>
    <row r="1651" spans="1:4" x14ac:dyDescent="0.2">
      <c r="A1651" s="672" t="str">
        <f t="shared" si="25"/>
        <v>183</v>
      </c>
      <c r="B1651" s="672">
        <v>18372</v>
      </c>
      <c r="C1651" s="673" t="s">
        <v>14</v>
      </c>
      <c r="D1651" s="672" t="s">
        <v>15</v>
      </c>
    </row>
    <row r="1652" spans="1:4" x14ac:dyDescent="0.2">
      <c r="A1652" s="672" t="str">
        <f t="shared" si="25"/>
        <v>183</v>
      </c>
      <c r="B1652" s="672">
        <v>18373</v>
      </c>
      <c r="C1652" s="673" t="s">
        <v>14</v>
      </c>
      <c r="D1652" s="672" t="s">
        <v>15</v>
      </c>
    </row>
    <row r="1653" spans="1:4" x14ac:dyDescent="0.2">
      <c r="A1653" s="672" t="str">
        <f t="shared" si="25"/>
        <v>184</v>
      </c>
      <c r="B1653" s="672">
        <v>18401</v>
      </c>
      <c r="C1653" s="673" t="s">
        <v>20</v>
      </c>
      <c r="D1653" s="672" t="s">
        <v>21</v>
      </c>
    </row>
    <row r="1654" spans="1:4" x14ac:dyDescent="0.2">
      <c r="A1654" s="672" t="str">
        <f t="shared" si="25"/>
        <v>184</v>
      </c>
      <c r="B1654" s="672">
        <v>18403</v>
      </c>
      <c r="C1654" s="673" t="s">
        <v>14</v>
      </c>
      <c r="D1654" s="672" t="s">
        <v>15</v>
      </c>
    </row>
    <row r="1655" spans="1:4" x14ac:dyDescent="0.2">
      <c r="A1655" s="672" t="str">
        <f t="shared" si="25"/>
        <v>184</v>
      </c>
      <c r="B1655" s="672">
        <v>18405</v>
      </c>
      <c r="C1655" s="673" t="s">
        <v>20</v>
      </c>
      <c r="D1655" s="672" t="s">
        <v>21</v>
      </c>
    </row>
    <row r="1656" spans="1:4" x14ac:dyDescent="0.2">
      <c r="A1656" s="672" t="str">
        <f t="shared" si="25"/>
        <v>184</v>
      </c>
      <c r="B1656" s="672">
        <v>18407</v>
      </c>
      <c r="C1656" s="673" t="s">
        <v>14</v>
      </c>
      <c r="D1656" s="672" t="s">
        <v>15</v>
      </c>
    </row>
    <row r="1657" spans="1:4" x14ac:dyDescent="0.2">
      <c r="A1657" s="672" t="str">
        <f t="shared" si="25"/>
        <v>184</v>
      </c>
      <c r="B1657" s="672">
        <v>18410</v>
      </c>
      <c r="C1657" s="673" t="s">
        <v>14</v>
      </c>
      <c r="D1657" s="672" t="s">
        <v>15</v>
      </c>
    </row>
    <row r="1658" spans="1:4" x14ac:dyDescent="0.2">
      <c r="A1658" s="672" t="str">
        <f t="shared" si="25"/>
        <v>184</v>
      </c>
      <c r="B1658" s="672">
        <v>18411</v>
      </c>
      <c r="C1658" s="673" t="s">
        <v>14</v>
      </c>
      <c r="D1658" s="672" t="s">
        <v>15</v>
      </c>
    </row>
    <row r="1659" spans="1:4" x14ac:dyDescent="0.2">
      <c r="A1659" s="672" t="str">
        <f t="shared" si="25"/>
        <v>184</v>
      </c>
      <c r="B1659" s="672">
        <v>18413</v>
      </c>
      <c r="C1659" s="673" t="s">
        <v>20</v>
      </c>
      <c r="D1659" s="672" t="s">
        <v>21</v>
      </c>
    </row>
    <row r="1660" spans="1:4" x14ac:dyDescent="0.2">
      <c r="A1660" s="672" t="str">
        <f t="shared" si="25"/>
        <v>184</v>
      </c>
      <c r="B1660" s="672">
        <v>18414</v>
      </c>
      <c r="C1660" s="673" t="s">
        <v>14</v>
      </c>
      <c r="D1660" s="672" t="s">
        <v>15</v>
      </c>
    </row>
    <row r="1661" spans="1:4" x14ac:dyDescent="0.2">
      <c r="A1661" s="672" t="str">
        <f t="shared" si="25"/>
        <v>184</v>
      </c>
      <c r="B1661" s="672">
        <v>18415</v>
      </c>
      <c r="C1661" s="673" t="s">
        <v>20</v>
      </c>
      <c r="D1661" s="672" t="s">
        <v>21</v>
      </c>
    </row>
    <row r="1662" spans="1:4" x14ac:dyDescent="0.2">
      <c r="A1662" s="672" t="str">
        <f t="shared" si="25"/>
        <v>184</v>
      </c>
      <c r="B1662" s="672">
        <v>18416</v>
      </c>
      <c r="C1662" s="673" t="s">
        <v>14</v>
      </c>
      <c r="D1662" s="672" t="s">
        <v>15</v>
      </c>
    </row>
    <row r="1663" spans="1:4" x14ac:dyDescent="0.2">
      <c r="A1663" s="672" t="str">
        <f t="shared" si="25"/>
        <v>184</v>
      </c>
      <c r="B1663" s="672">
        <v>18417</v>
      </c>
      <c r="C1663" s="673" t="s">
        <v>20</v>
      </c>
      <c r="D1663" s="672" t="s">
        <v>21</v>
      </c>
    </row>
    <row r="1664" spans="1:4" x14ac:dyDescent="0.2">
      <c r="A1664" s="672" t="str">
        <f t="shared" si="25"/>
        <v>184</v>
      </c>
      <c r="B1664" s="672">
        <v>18419</v>
      </c>
      <c r="C1664" s="673" t="s">
        <v>14</v>
      </c>
      <c r="D1664" s="672" t="s">
        <v>15</v>
      </c>
    </row>
    <row r="1665" spans="1:4" x14ac:dyDescent="0.2">
      <c r="A1665" s="672" t="str">
        <f t="shared" si="25"/>
        <v>184</v>
      </c>
      <c r="B1665" s="672">
        <v>18420</v>
      </c>
      <c r="C1665" s="673" t="s">
        <v>14</v>
      </c>
      <c r="D1665" s="672" t="s">
        <v>15</v>
      </c>
    </row>
    <row r="1666" spans="1:4" x14ac:dyDescent="0.2">
      <c r="A1666" s="672" t="str">
        <f t="shared" ref="A1666:A1729" si="26">LEFT(B1666,3)</f>
        <v>184</v>
      </c>
      <c r="B1666" s="672">
        <v>18421</v>
      </c>
      <c r="C1666" s="673" t="s">
        <v>20</v>
      </c>
      <c r="D1666" s="672" t="s">
        <v>21</v>
      </c>
    </row>
    <row r="1667" spans="1:4" x14ac:dyDescent="0.2">
      <c r="A1667" s="672" t="str">
        <f t="shared" si="26"/>
        <v>184</v>
      </c>
      <c r="B1667" s="672">
        <v>18424</v>
      </c>
      <c r="C1667" s="673" t="s">
        <v>14</v>
      </c>
      <c r="D1667" s="672" t="s">
        <v>15</v>
      </c>
    </row>
    <row r="1668" spans="1:4" x14ac:dyDescent="0.2">
      <c r="A1668" s="672" t="str">
        <f t="shared" si="26"/>
        <v>184</v>
      </c>
      <c r="B1668" s="672">
        <v>18425</v>
      </c>
      <c r="C1668" s="673" t="s">
        <v>14</v>
      </c>
      <c r="D1668" s="672" t="s">
        <v>15</v>
      </c>
    </row>
    <row r="1669" spans="1:4" x14ac:dyDescent="0.2">
      <c r="A1669" s="672" t="str">
        <f t="shared" si="26"/>
        <v>184</v>
      </c>
      <c r="B1669" s="672">
        <v>18426</v>
      </c>
      <c r="C1669" s="673" t="s">
        <v>14</v>
      </c>
      <c r="D1669" s="672" t="s">
        <v>15</v>
      </c>
    </row>
    <row r="1670" spans="1:4" x14ac:dyDescent="0.2">
      <c r="A1670" s="672" t="str">
        <f t="shared" si="26"/>
        <v>184</v>
      </c>
      <c r="B1670" s="672">
        <v>18427</v>
      </c>
      <c r="C1670" s="673" t="s">
        <v>20</v>
      </c>
      <c r="D1670" s="672" t="s">
        <v>21</v>
      </c>
    </row>
    <row r="1671" spans="1:4" x14ac:dyDescent="0.2">
      <c r="A1671" s="672" t="str">
        <f t="shared" si="26"/>
        <v>184</v>
      </c>
      <c r="B1671" s="672">
        <v>18428</v>
      </c>
      <c r="C1671" s="673" t="s">
        <v>14</v>
      </c>
      <c r="D1671" s="672" t="s">
        <v>15</v>
      </c>
    </row>
    <row r="1672" spans="1:4" x14ac:dyDescent="0.2">
      <c r="A1672" s="672" t="str">
        <f t="shared" si="26"/>
        <v>184</v>
      </c>
      <c r="B1672" s="672">
        <v>18430</v>
      </c>
      <c r="C1672" s="673" t="s">
        <v>20</v>
      </c>
      <c r="D1672" s="672" t="s">
        <v>21</v>
      </c>
    </row>
    <row r="1673" spans="1:4" x14ac:dyDescent="0.2">
      <c r="A1673" s="672" t="str">
        <f t="shared" si="26"/>
        <v>184</v>
      </c>
      <c r="B1673" s="672">
        <v>18431</v>
      </c>
      <c r="C1673" s="673" t="s">
        <v>20</v>
      </c>
      <c r="D1673" s="672" t="s">
        <v>21</v>
      </c>
    </row>
    <row r="1674" spans="1:4" x14ac:dyDescent="0.2">
      <c r="A1674" s="672" t="str">
        <f t="shared" si="26"/>
        <v>184</v>
      </c>
      <c r="B1674" s="672">
        <v>18433</v>
      </c>
      <c r="C1674" s="673" t="s">
        <v>14</v>
      </c>
      <c r="D1674" s="672" t="s">
        <v>15</v>
      </c>
    </row>
    <row r="1675" spans="1:4" x14ac:dyDescent="0.2">
      <c r="A1675" s="672" t="str">
        <f t="shared" si="26"/>
        <v>184</v>
      </c>
      <c r="B1675" s="672">
        <v>18434</v>
      </c>
      <c r="C1675" s="673" t="s">
        <v>14</v>
      </c>
      <c r="D1675" s="672" t="s">
        <v>15</v>
      </c>
    </row>
    <row r="1676" spans="1:4" x14ac:dyDescent="0.2">
      <c r="A1676" s="672" t="str">
        <f t="shared" si="26"/>
        <v>184</v>
      </c>
      <c r="B1676" s="672">
        <v>18435</v>
      </c>
      <c r="C1676" s="673" t="s">
        <v>14</v>
      </c>
      <c r="D1676" s="672" t="s">
        <v>15</v>
      </c>
    </row>
    <row r="1677" spans="1:4" x14ac:dyDescent="0.2">
      <c r="A1677" s="672" t="str">
        <f t="shared" si="26"/>
        <v>184</v>
      </c>
      <c r="B1677" s="672">
        <v>18436</v>
      </c>
      <c r="C1677" s="673" t="s">
        <v>20</v>
      </c>
      <c r="D1677" s="672" t="s">
        <v>21</v>
      </c>
    </row>
    <row r="1678" spans="1:4" x14ac:dyDescent="0.2">
      <c r="A1678" s="672" t="str">
        <f t="shared" si="26"/>
        <v>184</v>
      </c>
      <c r="B1678" s="672">
        <v>18437</v>
      </c>
      <c r="C1678" s="673" t="s">
        <v>20</v>
      </c>
      <c r="D1678" s="672" t="s">
        <v>21</v>
      </c>
    </row>
    <row r="1679" spans="1:4" x14ac:dyDescent="0.2">
      <c r="A1679" s="672" t="str">
        <f t="shared" si="26"/>
        <v>184</v>
      </c>
      <c r="B1679" s="672">
        <v>18438</v>
      </c>
      <c r="C1679" s="673" t="s">
        <v>20</v>
      </c>
      <c r="D1679" s="672" t="s">
        <v>21</v>
      </c>
    </row>
    <row r="1680" spans="1:4" x14ac:dyDescent="0.2">
      <c r="A1680" s="672" t="str">
        <f t="shared" si="26"/>
        <v>184</v>
      </c>
      <c r="B1680" s="672">
        <v>18439</v>
      </c>
      <c r="C1680" s="673" t="s">
        <v>20</v>
      </c>
      <c r="D1680" s="672" t="s">
        <v>21</v>
      </c>
    </row>
    <row r="1681" spans="1:4" x14ac:dyDescent="0.2">
      <c r="A1681" s="672" t="str">
        <f t="shared" si="26"/>
        <v>184</v>
      </c>
      <c r="B1681" s="672">
        <v>18440</v>
      </c>
      <c r="C1681" s="673" t="s">
        <v>14</v>
      </c>
      <c r="D1681" s="672" t="s">
        <v>15</v>
      </c>
    </row>
    <row r="1682" spans="1:4" x14ac:dyDescent="0.2">
      <c r="A1682" s="672" t="str">
        <f t="shared" si="26"/>
        <v>184</v>
      </c>
      <c r="B1682" s="672">
        <v>18441</v>
      </c>
      <c r="C1682" s="673" t="s">
        <v>20</v>
      </c>
      <c r="D1682" s="672" t="s">
        <v>21</v>
      </c>
    </row>
    <row r="1683" spans="1:4" x14ac:dyDescent="0.2">
      <c r="A1683" s="672" t="str">
        <f t="shared" si="26"/>
        <v>184</v>
      </c>
      <c r="B1683" s="672">
        <v>18443</v>
      </c>
      <c r="C1683" s="673" t="s">
        <v>20</v>
      </c>
      <c r="D1683" s="672" t="s">
        <v>21</v>
      </c>
    </row>
    <row r="1684" spans="1:4" x14ac:dyDescent="0.2">
      <c r="A1684" s="672" t="str">
        <f t="shared" si="26"/>
        <v>184</v>
      </c>
      <c r="B1684" s="672">
        <v>18444</v>
      </c>
      <c r="C1684" s="673" t="s">
        <v>14</v>
      </c>
      <c r="D1684" s="672" t="s">
        <v>15</v>
      </c>
    </row>
    <row r="1685" spans="1:4" x14ac:dyDescent="0.2">
      <c r="A1685" s="672" t="str">
        <f t="shared" si="26"/>
        <v>184</v>
      </c>
      <c r="B1685" s="672">
        <v>18445</v>
      </c>
      <c r="C1685" s="673" t="s">
        <v>20</v>
      </c>
      <c r="D1685" s="672" t="s">
        <v>21</v>
      </c>
    </row>
    <row r="1686" spans="1:4" x14ac:dyDescent="0.2">
      <c r="A1686" s="672" t="str">
        <f t="shared" si="26"/>
        <v>184</v>
      </c>
      <c r="B1686" s="672">
        <v>18446</v>
      </c>
      <c r="C1686" s="673" t="s">
        <v>14</v>
      </c>
      <c r="D1686" s="672" t="s">
        <v>15</v>
      </c>
    </row>
    <row r="1687" spans="1:4" x14ac:dyDescent="0.2">
      <c r="A1687" s="672" t="str">
        <f t="shared" si="26"/>
        <v>184</v>
      </c>
      <c r="B1687" s="672">
        <v>18447</v>
      </c>
      <c r="C1687" s="673" t="s">
        <v>14</v>
      </c>
      <c r="D1687" s="672" t="s">
        <v>15</v>
      </c>
    </row>
    <row r="1688" spans="1:4" x14ac:dyDescent="0.2">
      <c r="A1688" s="672" t="str">
        <f t="shared" si="26"/>
        <v>184</v>
      </c>
      <c r="B1688" s="672">
        <v>18448</v>
      </c>
      <c r="C1688" s="673" t="s">
        <v>14</v>
      </c>
      <c r="D1688" s="672" t="s">
        <v>15</v>
      </c>
    </row>
    <row r="1689" spans="1:4" x14ac:dyDescent="0.2">
      <c r="A1689" s="672" t="str">
        <f t="shared" si="26"/>
        <v>184</v>
      </c>
      <c r="B1689" s="672">
        <v>18449</v>
      </c>
      <c r="C1689" s="673" t="s">
        <v>20</v>
      </c>
      <c r="D1689" s="672" t="s">
        <v>21</v>
      </c>
    </row>
    <row r="1690" spans="1:4" x14ac:dyDescent="0.2">
      <c r="A1690" s="672" t="str">
        <f t="shared" si="26"/>
        <v>184</v>
      </c>
      <c r="B1690" s="672">
        <v>18451</v>
      </c>
      <c r="C1690" s="673" t="s">
        <v>14</v>
      </c>
      <c r="D1690" s="672" t="s">
        <v>15</v>
      </c>
    </row>
    <row r="1691" spans="1:4" x14ac:dyDescent="0.2">
      <c r="A1691" s="672" t="str">
        <f t="shared" si="26"/>
        <v>184</v>
      </c>
      <c r="B1691" s="672">
        <v>18452</v>
      </c>
      <c r="C1691" s="673" t="s">
        <v>14</v>
      </c>
      <c r="D1691" s="672" t="s">
        <v>15</v>
      </c>
    </row>
    <row r="1692" spans="1:4" x14ac:dyDescent="0.2">
      <c r="A1692" s="672" t="str">
        <f t="shared" si="26"/>
        <v>184</v>
      </c>
      <c r="B1692" s="672">
        <v>18453</v>
      </c>
      <c r="C1692" s="673" t="s">
        <v>20</v>
      </c>
      <c r="D1692" s="672" t="s">
        <v>21</v>
      </c>
    </row>
    <row r="1693" spans="1:4" x14ac:dyDescent="0.2">
      <c r="A1693" s="672" t="str">
        <f t="shared" si="26"/>
        <v>184</v>
      </c>
      <c r="B1693" s="672">
        <v>18454</v>
      </c>
      <c r="C1693" s="673" t="s">
        <v>20</v>
      </c>
      <c r="D1693" s="672" t="s">
        <v>21</v>
      </c>
    </row>
    <row r="1694" spans="1:4" x14ac:dyDescent="0.2">
      <c r="A1694" s="672" t="str">
        <f t="shared" si="26"/>
        <v>184</v>
      </c>
      <c r="B1694" s="672">
        <v>18455</v>
      </c>
      <c r="C1694" s="673" t="s">
        <v>20</v>
      </c>
      <c r="D1694" s="672" t="s">
        <v>21</v>
      </c>
    </row>
    <row r="1695" spans="1:4" x14ac:dyDescent="0.2">
      <c r="A1695" s="672" t="str">
        <f t="shared" si="26"/>
        <v>184</v>
      </c>
      <c r="B1695" s="672">
        <v>18456</v>
      </c>
      <c r="C1695" s="673" t="s">
        <v>20</v>
      </c>
      <c r="D1695" s="672" t="s">
        <v>21</v>
      </c>
    </row>
    <row r="1696" spans="1:4" x14ac:dyDescent="0.2">
      <c r="A1696" s="672" t="str">
        <f t="shared" si="26"/>
        <v>184</v>
      </c>
      <c r="B1696" s="672">
        <v>18457</v>
      </c>
      <c r="C1696" s="673" t="s">
        <v>14</v>
      </c>
      <c r="D1696" s="672" t="s">
        <v>15</v>
      </c>
    </row>
    <row r="1697" spans="1:4" x14ac:dyDescent="0.2">
      <c r="A1697" s="672" t="str">
        <f t="shared" si="26"/>
        <v>184</v>
      </c>
      <c r="B1697" s="672">
        <v>18458</v>
      </c>
      <c r="C1697" s="673" t="s">
        <v>14</v>
      </c>
      <c r="D1697" s="672" t="s">
        <v>15</v>
      </c>
    </row>
    <row r="1698" spans="1:4" x14ac:dyDescent="0.2">
      <c r="A1698" s="672" t="str">
        <f t="shared" si="26"/>
        <v>184</v>
      </c>
      <c r="B1698" s="672">
        <v>18459</v>
      </c>
      <c r="C1698" s="673" t="s">
        <v>20</v>
      </c>
      <c r="D1698" s="672" t="s">
        <v>21</v>
      </c>
    </row>
    <row r="1699" spans="1:4" x14ac:dyDescent="0.2">
      <c r="A1699" s="672" t="str">
        <f t="shared" si="26"/>
        <v>184</v>
      </c>
      <c r="B1699" s="672">
        <v>18460</v>
      </c>
      <c r="C1699" s="673" t="s">
        <v>20</v>
      </c>
      <c r="D1699" s="672" t="s">
        <v>21</v>
      </c>
    </row>
    <row r="1700" spans="1:4" x14ac:dyDescent="0.2">
      <c r="A1700" s="672" t="str">
        <f t="shared" si="26"/>
        <v>184</v>
      </c>
      <c r="B1700" s="672">
        <v>18461</v>
      </c>
      <c r="C1700" s="673" t="s">
        <v>20</v>
      </c>
      <c r="D1700" s="672" t="s">
        <v>21</v>
      </c>
    </row>
    <row r="1701" spans="1:4" x14ac:dyDescent="0.2">
      <c r="A1701" s="672" t="str">
        <f t="shared" si="26"/>
        <v>184</v>
      </c>
      <c r="B1701" s="672">
        <v>18462</v>
      </c>
      <c r="C1701" s="673" t="s">
        <v>20</v>
      </c>
      <c r="D1701" s="672" t="s">
        <v>21</v>
      </c>
    </row>
    <row r="1702" spans="1:4" x14ac:dyDescent="0.2">
      <c r="A1702" s="672" t="str">
        <f t="shared" si="26"/>
        <v>184</v>
      </c>
      <c r="B1702" s="672">
        <v>18463</v>
      </c>
      <c r="C1702" s="673" t="s">
        <v>20</v>
      </c>
      <c r="D1702" s="672" t="s">
        <v>21</v>
      </c>
    </row>
    <row r="1703" spans="1:4" x14ac:dyDescent="0.2">
      <c r="A1703" s="672" t="str">
        <f t="shared" si="26"/>
        <v>184</v>
      </c>
      <c r="B1703" s="672">
        <v>18464</v>
      </c>
      <c r="C1703" s="673" t="s">
        <v>14</v>
      </c>
      <c r="D1703" s="672" t="s">
        <v>15</v>
      </c>
    </row>
    <row r="1704" spans="1:4" x14ac:dyDescent="0.2">
      <c r="A1704" s="672" t="str">
        <f t="shared" si="26"/>
        <v>184</v>
      </c>
      <c r="B1704" s="672">
        <v>18465</v>
      </c>
      <c r="C1704" s="673" t="s">
        <v>20</v>
      </c>
      <c r="D1704" s="672" t="s">
        <v>21</v>
      </c>
    </row>
    <row r="1705" spans="1:4" x14ac:dyDescent="0.2">
      <c r="A1705" s="672" t="str">
        <f t="shared" si="26"/>
        <v>184</v>
      </c>
      <c r="B1705" s="672">
        <v>18466</v>
      </c>
      <c r="C1705" s="673" t="s">
        <v>14</v>
      </c>
      <c r="D1705" s="672" t="s">
        <v>15</v>
      </c>
    </row>
    <row r="1706" spans="1:4" x14ac:dyDescent="0.2">
      <c r="A1706" s="672" t="str">
        <f t="shared" si="26"/>
        <v>184</v>
      </c>
      <c r="B1706" s="672">
        <v>18469</v>
      </c>
      <c r="C1706" s="673" t="s">
        <v>20</v>
      </c>
      <c r="D1706" s="672" t="s">
        <v>21</v>
      </c>
    </row>
    <row r="1707" spans="1:4" x14ac:dyDescent="0.2">
      <c r="A1707" s="672" t="str">
        <f t="shared" si="26"/>
        <v>184</v>
      </c>
      <c r="B1707" s="672">
        <v>18470</v>
      </c>
      <c r="C1707" s="673" t="s">
        <v>20</v>
      </c>
      <c r="D1707" s="672" t="s">
        <v>21</v>
      </c>
    </row>
    <row r="1708" spans="1:4" x14ac:dyDescent="0.2">
      <c r="A1708" s="672" t="str">
        <f t="shared" si="26"/>
        <v>184</v>
      </c>
      <c r="B1708" s="672">
        <v>18471</v>
      </c>
      <c r="C1708" s="673" t="s">
        <v>14</v>
      </c>
      <c r="D1708" s="672" t="s">
        <v>15</v>
      </c>
    </row>
    <row r="1709" spans="1:4" x14ac:dyDescent="0.2">
      <c r="A1709" s="672" t="str">
        <f t="shared" si="26"/>
        <v>184</v>
      </c>
      <c r="B1709" s="672">
        <v>18472</v>
      </c>
      <c r="C1709" s="673" t="s">
        <v>20</v>
      </c>
      <c r="D1709" s="672" t="s">
        <v>21</v>
      </c>
    </row>
    <row r="1710" spans="1:4" x14ac:dyDescent="0.2">
      <c r="A1710" s="672" t="str">
        <f t="shared" si="26"/>
        <v>184</v>
      </c>
      <c r="B1710" s="672">
        <v>18473</v>
      </c>
      <c r="C1710" s="673" t="s">
        <v>20</v>
      </c>
      <c r="D1710" s="672" t="s">
        <v>21</v>
      </c>
    </row>
    <row r="1711" spans="1:4" x14ac:dyDescent="0.2">
      <c r="A1711" s="672" t="str">
        <f t="shared" si="26"/>
        <v>185</v>
      </c>
      <c r="B1711" s="672">
        <v>18501</v>
      </c>
      <c r="C1711" s="673" t="s">
        <v>14</v>
      </c>
      <c r="D1711" s="672" t="s">
        <v>15</v>
      </c>
    </row>
    <row r="1712" spans="1:4" x14ac:dyDescent="0.2">
      <c r="A1712" s="672" t="str">
        <f t="shared" si="26"/>
        <v>185</v>
      </c>
      <c r="B1712" s="672">
        <v>18502</v>
      </c>
      <c r="C1712" s="673" t="s">
        <v>14</v>
      </c>
      <c r="D1712" s="672" t="s">
        <v>15</v>
      </c>
    </row>
    <row r="1713" spans="1:4" x14ac:dyDescent="0.2">
      <c r="A1713" s="672" t="str">
        <f t="shared" si="26"/>
        <v>185</v>
      </c>
      <c r="B1713" s="672">
        <v>18503</v>
      </c>
      <c r="C1713" s="673" t="s">
        <v>14</v>
      </c>
      <c r="D1713" s="672" t="s">
        <v>15</v>
      </c>
    </row>
    <row r="1714" spans="1:4" x14ac:dyDescent="0.2">
      <c r="A1714" s="672" t="str">
        <f t="shared" si="26"/>
        <v>185</v>
      </c>
      <c r="B1714" s="672">
        <v>18504</v>
      </c>
      <c r="C1714" s="673" t="s">
        <v>14</v>
      </c>
      <c r="D1714" s="672" t="s">
        <v>15</v>
      </c>
    </row>
    <row r="1715" spans="1:4" x14ac:dyDescent="0.2">
      <c r="A1715" s="672" t="str">
        <f t="shared" si="26"/>
        <v>185</v>
      </c>
      <c r="B1715" s="672">
        <v>18505</v>
      </c>
      <c r="C1715" s="673" t="s">
        <v>14</v>
      </c>
      <c r="D1715" s="672" t="s">
        <v>15</v>
      </c>
    </row>
    <row r="1716" spans="1:4" x14ac:dyDescent="0.2">
      <c r="A1716" s="672" t="str">
        <f t="shared" si="26"/>
        <v>185</v>
      </c>
      <c r="B1716" s="672">
        <v>18507</v>
      </c>
      <c r="C1716" s="673" t="s">
        <v>14</v>
      </c>
      <c r="D1716" s="672" t="s">
        <v>15</v>
      </c>
    </row>
    <row r="1717" spans="1:4" x14ac:dyDescent="0.2">
      <c r="A1717" s="672" t="str">
        <f t="shared" si="26"/>
        <v>185</v>
      </c>
      <c r="B1717" s="672">
        <v>18508</v>
      </c>
      <c r="C1717" s="673" t="s">
        <v>14</v>
      </c>
      <c r="D1717" s="672" t="s">
        <v>15</v>
      </c>
    </row>
    <row r="1718" spans="1:4" x14ac:dyDescent="0.2">
      <c r="A1718" s="672" t="str">
        <f t="shared" si="26"/>
        <v>185</v>
      </c>
      <c r="B1718" s="672">
        <v>18509</v>
      </c>
      <c r="C1718" s="673" t="s">
        <v>14</v>
      </c>
      <c r="D1718" s="672" t="s">
        <v>15</v>
      </c>
    </row>
    <row r="1719" spans="1:4" x14ac:dyDescent="0.2">
      <c r="A1719" s="672" t="str">
        <f t="shared" si="26"/>
        <v>185</v>
      </c>
      <c r="B1719" s="672">
        <v>18510</v>
      </c>
      <c r="C1719" s="673" t="s">
        <v>14</v>
      </c>
      <c r="D1719" s="672" t="s">
        <v>15</v>
      </c>
    </row>
    <row r="1720" spans="1:4" x14ac:dyDescent="0.2">
      <c r="A1720" s="672" t="str">
        <f t="shared" si="26"/>
        <v>185</v>
      </c>
      <c r="B1720" s="672">
        <v>18512</v>
      </c>
      <c r="C1720" s="673" t="s">
        <v>14</v>
      </c>
      <c r="D1720" s="672" t="s">
        <v>15</v>
      </c>
    </row>
    <row r="1721" spans="1:4" x14ac:dyDescent="0.2">
      <c r="A1721" s="672" t="str">
        <f t="shared" si="26"/>
        <v>185</v>
      </c>
      <c r="B1721" s="672">
        <v>18514</v>
      </c>
      <c r="C1721" s="673" t="s">
        <v>14</v>
      </c>
      <c r="D1721" s="672" t="s">
        <v>15</v>
      </c>
    </row>
    <row r="1722" spans="1:4" x14ac:dyDescent="0.2">
      <c r="A1722" s="672" t="str">
        <f t="shared" si="26"/>
        <v>185</v>
      </c>
      <c r="B1722" s="672">
        <v>18515</v>
      </c>
      <c r="C1722" s="673" t="s">
        <v>14</v>
      </c>
      <c r="D1722" s="672" t="s">
        <v>15</v>
      </c>
    </row>
    <row r="1723" spans="1:4" x14ac:dyDescent="0.2">
      <c r="A1723" s="672" t="str">
        <f t="shared" si="26"/>
        <v>185</v>
      </c>
      <c r="B1723" s="672">
        <v>18517</v>
      </c>
      <c r="C1723" s="673" t="s">
        <v>14</v>
      </c>
      <c r="D1723" s="672" t="s">
        <v>15</v>
      </c>
    </row>
    <row r="1724" spans="1:4" x14ac:dyDescent="0.2">
      <c r="A1724" s="672" t="str">
        <f t="shared" si="26"/>
        <v>185</v>
      </c>
      <c r="B1724" s="672">
        <v>18518</v>
      </c>
      <c r="C1724" s="673" t="s">
        <v>14</v>
      </c>
      <c r="D1724" s="672" t="s">
        <v>15</v>
      </c>
    </row>
    <row r="1725" spans="1:4" x14ac:dyDescent="0.2">
      <c r="A1725" s="672" t="str">
        <f t="shared" si="26"/>
        <v>185</v>
      </c>
      <c r="B1725" s="672">
        <v>18519</v>
      </c>
      <c r="C1725" s="673" t="s">
        <v>14</v>
      </c>
      <c r="D1725" s="672" t="s">
        <v>15</v>
      </c>
    </row>
    <row r="1726" spans="1:4" x14ac:dyDescent="0.2">
      <c r="A1726" s="672" t="str">
        <f t="shared" si="26"/>
        <v>185</v>
      </c>
      <c r="B1726" s="672">
        <v>18522</v>
      </c>
      <c r="C1726" s="673" t="s">
        <v>14</v>
      </c>
      <c r="D1726" s="672" t="s">
        <v>15</v>
      </c>
    </row>
    <row r="1727" spans="1:4" x14ac:dyDescent="0.2">
      <c r="A1727" s="672" t="str">
        <f t="shared" si="26"/>
        <v>185</v>
      </c>
      <c r="B1727" s="672">
        <v>18540</v>
      </c>
      <c r="C1727" s="673" t="s">
        <v>14</v>
      </c>
      <c r="D1727" s="672" t="s">
        <v>15</v>
      </c>
    </row>
    <row r="1728" spans="1:4" x14ac:dyDescent="0.2">
      <c r="A1728" s="672" t="str">
        <f t="shared" si="26"/>
        <v>185</v>
      </c>
      <c r="B1728" s="672">
        <v>18577</v>
      </c>
      <c r="C1728" s="673" t="s">
        <v>14</v>
      </c>
      <c r="D1728" s="672" t="s">
        <v>15</v>
      </c>
    </row>
    <row r="1729" spans="1:4" x14ac:dyDescent="0.2">
      <c r="A1729" s="672" t="str">
        <f t="shared" si="26"/>
        <v>186</v>
      </c>
      <c r="B1729" s="672">
        <v>18601</v>
      </c>
      <c r="C1729" s="673" t="s">
        <v>14</v>
      </c>
      <c r="D1729" s="672" t="s">
        <v>15</v>
      </c>
    </row>
    <row r="1730" spans="1:4" x14ac:dyDescent="0.2">
      <c r="A1730" s="672" t="str">
        <f t="shared" ref="A1730:A1793" si="27">LEFT(B1730,3)</f>
        <v>186</v>
      </c>
      <c r="B1730" s="672">
        <v>18602</v>
      </c>
      <c r="C1730" s="673" t="s">
        <v>14</v>
      </c>
      <c r="D1730" s="672" t="s">
        <v>15</v>
      </c>
    </row>
    <row r="1731" spans="1:4" x14ac:dyDescent="0.2">
      <c r="A1731" s="672" t="str">
        <f t="shared" si="27"/>
        <v>186</v>
      </c>
      <c r="B1731" s="672">
        <v>18603</v>
      </c>
      <c r="C1731" s="673" t="s">
        <v>12</v>
      </c>
      <c r="D1731" s="672" t="s">
        <v>13</v>
      </c>
    </row>
    <row r="1732" spans="1:4" x14ac:dyDescent="0.2">
      <c r="A1732" s="672" t="str">
        <f t="shared" si="27"/>
        <v>186</v>
      </c>
      <c r="B1732" s="672">
        <v>18610</v>
      </c>
      <c r="C1732" s="673" t="s">
        <v>14</v>
      </c>
      <c r="D1732" s="672" t="s">
        <v>15</v>
      </c>
    </row>
    <row r="1733" spans="1:4" x14ac:dyDescent="0.2">
      <c r="A1733" s="672" t="str">
        <f t="shared" si="27"/>
        <v>186</v>
      </c>
      <c r="B1733" s="672">
        <v>18611</v>
      </c>
      <c r="C1733" s="673" t="s">
        <v>14</v>
      </c>
      <c r="D1733" s="672" t="s">
        <v>15</v>
      </c>
    </row>
    <row r="1734" spans="1:4" x14ac:dyDescent="0.2">
      <c r="A1734" s="672" t="str">
        <f t="shared" si="27"/>
        <v>186</v>
      </c>
      <c r="B1734" s="672">
        <v>18612</v>
      </c>
      <c r="C1734" s="673" t="s">
        <v>14</v>
      </c>
      <c r="D1734" s="672" t="s">
        <v>15</v>
      </c>
    </row>
    <row r="1735" spans="1:4" x14ac:dyDescent="0.2">
      <c r="A1735" s="672" t="str">
        <f t="shared" si="27"/>
        <v>186</v>
      </c>
      <c r="B1735" s="672">
        <v>18614</v>
      </c>
      <c r="C1735" s="673" t="s">
        <v>14</v>
      </c>
      <c r="D1735" s="672" t="s">
        <v>15</v>
      </c>
    </row>
    <row r="1736" spans="1:4" x14ac:dyDescent="0.2">
      <c r="A1736" s="672" t="str">
        <f t="shared" si="27"/>
        <v>186</v>
      </c>
      <c r="B1736" s="672">
        <v>18615</v>
      </c>
      <c r="C1736" s="673" t="s">
        <v>14</v>
      </c>
      <c r="D1736" s="672" t="s">
        <v>15</v>
      </c>
    </row>
    <row r="1737" spans="1:4" x14ac:dyDescent="0.2">
      <c r="A1737" s="672" t="str">
        <f t="shared" si="27"/>
        <v>186</v>
      </c>
      <c r="B1737" s="672">
        <v>18616</v>
      </c>
      <c r="C1737" s="673" t="s">
        <v>14</v>
      </c>
      <c r="D1737" s="672" t="s">
        <v>15</v>
      </c>
    </row>
    <row r="1738" spans="1:4" x14ac:dyDescent="0.2">
      <c r="A1738" s="672" t="str">
        <f t="shared" si="27"/>
        <v>186</v>
      </c>
      <c r="B1738" s="672">
        <v>18617</v>
      </c>
      <c r="C1738" s="673" t="s">
        <v>14</v>
      </c>
      <c r="D1738" s="672" t="s">
        <v>15</v>
      </c>
    </row>
    <row r="1739" spans="1:4" x14ac:dyDescent="0.2">
      <c r="A1739" s="672" t="str">
        <f t="shared" si="27"/>
        <v>186</v>
      </c>
      <c r="B1739" s="672">
        <v>18618</v>
      </c>
      <c r="C1739" s="673" t="s">
        <v>14</v>
      </c>
      <c r="D1739" s="672" t="s">
        <v>15</v>
      </c>
    </row>
    <row r="1740" spans="1:4" x14ac:dyDescent="0.2">
      <c r="A1740" s="672" t="str">
        <f t="shared" si="27"/>
        <v>186</v>
      </c>
      <c r="B1740" s="672">
        <v>18619</v>
      </c>
      <c r="C1740" s="673" t="s">
        <v>14</v>
      </c>
      <c r="D1740" s="672" t="s">
        <v>15</v>
      </c>
    </row>
    <row r="1741" spans="1:4" x14ac:dyDescent="0.2">
      <c r="A1741" s="672" t="str">
        <f t="shared" si="27"/>
        <v>186</v>
      </c>
      <c r="B1741" s="672">
        <v>18621</v>
      </c>
      <c r="C1741" s="673" t="s">
        <v>14</v>
      </c>
      <c r="D1741" s="672" t="s">
        <v>15</v>
      </c>
    </row>
    <row r="1742" spans="1:4" x14ac:dyDescent="0.2">
      <c r="A1742" s="672" t="str">
        <f t="shared" si="27"/>
        <v>186</v>
      </c>
      <c r="B1742" s="672">
        <v>18622</v>
      </c>
      <c r="C1742" s="673" t="s">
        <v>14</v>
      </c>
      <c r="D1742" s="672" t="s">
        <v>15</v>
      </c>
    </row>
    <row r="1743" spans="1:4" x14ac:dyDescent="0.2">
      <c r="A1743" s="672" t="str">
        <f t="shared" si="27"/>
        <v>186</v>
      </c>
      <c r="B1743" s="672">
        <v>18623</v>
      </c>
      <c r="C1743" s="673" t="s">
        <v>14</v>
      </c>
      <c r="D1743" s="672" t="s">
        <v>15</v>
      </c>
    </row>
    <row r="1744" spans="1:4" x14ac:dyDescent="0.2">
      <c r="A1744" s="672" t="str">
        <f t="shared" si="27"/>
        <v>186</v>
      </c>
      <c r="B1744" s="672">
        <v>18624</v>
      </c>
      <c r="C1744" s="673" t="s">
        <v>18</v>
      </c>
      <c r="D1744" s="672" t="s">
        <v>19</v>
      </c>
    </row>
    <row r="1745" spans="1:4" x14ac:dyDescent="0.2">
      <c r="A1745" s="672" t="str">
        <f t="shared" si="27"/>
        <v>186</v>
      </c>
      <c r="B1745" s="672">
        <v>18625</v>
      </c>
      <c r="C1745" s="673" t="s">
        <v>14</v>
      </c>
      <c r="D1745" s="672" t="s">
        <v>15</v>
      </c>
    </row>
    <row r="1746" spans="1:4" x14ac:dyDescent="0.2">
      <c r="A1746" s="672" t="str">
        <f t="shared" si="27"/>
        <v>186</v>
      </c>
      <c r="B1746" s="672">
        <v>18626</v>
      </c>
      <c r="C1746" s="673" t="s">
        <v>14</v>
      </c>
      <c r="D1746" s="672" t="s">
        <v>15</v>
      </c>
    </row>
    <row r="1747" spans="1:4" x14ac:dyDescent="0.2">
      <c r="A1747" s="672" t="str">
        <f t="shared" si="27"/>
        <v>186</v>
      </c>
      <c r="B1747" s="672">
        <v>18627</v>
      </c>
      <c r="C1747" s="673" t="s">
        <v>14</v>
      </c>
      <c r="D1747" s="672" t="s">
        <v>15</v>
      </c>
    </row>
    <row r="1748" spans="1:4" x14ac:dyDescent="0.2">
      <c r="A1748" s="672" t="str">
        <f t="shared" si="27"/>
        <v>186</v>
      </c>
      <c r="B1748" s="672">
        <v>18628</v>
      </c>
      <c r="C1748" s="673" t="s">
        <v>14</v>
      </c>
      <c r="D1748" s="672" t="s">
        <v>15</v>
      </c>
    </row>
    <row r="1749" spans="1:4" x14ac:dyDescent="0.2">
      <c r="A1749" s="672" t="str">
        <f t="shared" si="27"/>
        <v>186</v>
      </c>
      <c r="B1749" s="672">
        <v>18629</v>
      </c>
      <c r="C1749" s="673" t="s">
        <v>14</v>
      </c>
      <c r="D1749" s="672" t="s">
        <v>15</v>
      </c>
    </row>
    <row r="1750" spans="1:4" x14ac:dyDescent="0.2">
      <c r="A1750" s="672" t="str">
        <f t="shared" si="27"/>
        <v>186</v>
      </c>
      <c r="B1750" s="672">
        <v>18630</v>
      </c>
      <c r="C1750" s="673" t="s">
        <v>14</v>
      </c>
      <c r="D1750" s="672" t="s">
        <v>15</v>
      </c>
    </row>
    <row r="1751" spans="1:4" x14ac:dyDescent="0.2">
      <c r="A1751" s="672" t="str">
        <f t="shared" si="27"/>
        <v>186</v>
      </c>
      <c r="B1751" s="672">
        <v>18631</v>
      </c>
      <c r="C1751" s="673" t="s">
        <v>12</v>
      </c>
      <c r="D1751" s="672" t="s">
        <v>13</v>
      </c>
    </row>
    <row r="1752" spans="1:4" x14ac:dyDescent="0.2">
      <c r="A1752" s="672" t="str">
        <f t="shared" si="27"/>
        <v>186</v>
      </c>
      <c r="B1752" s="672">
        <v>18632</v>
      </c>
      <c r="C1752" s="673" t="s">
        <v>14</v>
      </c>
      <c r="D1752" s="672" t="s">
        <v>15</v>
      </c>
    </row>
    <row r="1753" spans="1:4" x14ac:dyDescent="0.2">
      <c r="A1753" s="672" t="str">
        <f t="shared" si="27"/>
        <v>186</v>
      </c>
      <c r="B1753" s="672">
        <v>18634</v>
      </c>
      <c r="C1753" s="673" t="s">
        <v>14</v>
      </c>
      <c r="D1753" s="672" t="s">
        <v>15</v>
      </c>
    </row>
    <row r="1754" spans="1:4" x14ac:dyDescent="0.2">
      <c r="A1754" s="672" t="str">
        <f t="shared" si="27"/>
        <v>186</v>
      </c>
      <c r="B1754" s="672">
        <v>18635</v>
      </c>
      <c r="C1754" s="673" t="s">
        <v>14</v>
      </c>
      <c r="D1754" s="672" t="s">
        <v>15</v>
      </c>
    </row>
    <row r="1755" spans="1:4" x14ac:dyDescent="0.2">
      <c r="A1755" s="672" t="str">
        <f t="shared" si="27"/>
        <v>186</v>
      </c>
      <c r="B1755" s="672">
        <v>18636</v>
      </c>
      <c r="C1755" s="673" t="s">
        <v>14</v>
      </c>
      <c r="D1755" s="672" t="s">
        <v>15</v>
      </c>
    </row>
    <row r="1756" spans="1:4" x14ac:dyDescent="0.2">
      <c r="A1756" s="672" t="str">
        <f t="shared" si="27"/>
        <v>186</v>
      </c>
      <c r="B1756" s="672">
        <v>18640</v>
      </c>
      <c r="C1756" s="673" t="s">
        <v>14</v>
      </c>
      <c r="D1756" s="672" t="s">
        <v>15</v>
      </c>
    </row>
    <row r="1757" spans="1:4" x14ac:dyDescent="0.2">
      <c r="A1757" s="672" t="str">
        <f t="shared" si="27"/>
        <v>186</v>
      </c>
      <c r="B1757" s="672">
        <v>18641</v>
      </c>
      <c r="C1757" s="673" t="s">
        <v>14</v>
      </c>
      <c r="D1757" s="672" t="s">
        <v>15</v>
      </c>
    </row>
    <row r="1758" spans="1:4" x14ac:dyDescent="0.2">
      <c r="A1758" s="672" t="str">
        <f t="shared" si="27"/>
        <v>186</v>
      </c>
      <c r="B1758" s="672">
        <v>18642</v>
      </c>
      <c r="C1758" s="673" t="s">
        <v>14</v>
      </c>
      <c r="D1758" s="672" t="s">
        <v>15</v>
      </c>
    </row>
    <row r="1759" spans="1:4" x14ac:dyDescent="0.2">
      <c r="A1759" s="672" t="str">
        <f t="shared" si="27"/>
        <v>186</v>
      </c>
      <c r="B1759" s="672">
        <v>18643</v>
      </c>
      <c r="C1759" s="673" t="s">
        <v>14</v>
      </c>
      <c r="D1759" s="672" t="s">
        <v>15</v>
      </c>
    </row>
    <row r="1760" spans="1:4" x14ac:dyDescent="0.2">
      <c r="A1760" s="672" t="str">
        <f t="shared" si="27"/>
        <v>186</v>
      </c>
      <c r="B1760" s="672">
        <v>18644</v>
      </c>
      <c r="C1760" s="673" t="s">
        <v>14</v>
      </c>
      <c r="D1760" s="672" t="s">
        <v>15</v>
      </c>
    </row>
    <row r="1761" spans="1:4" x14ac:dyDescent="0.2">
      <c r="A1761" s="672" t="str">
        <f t="shared" si="27"/>
        <v>186</v>
      </c>
      <c r="B1761" s="672">
        <v>18651</v>
      </c>
      <c r="C1761" s="673" t="s">
        <v>14</v>
      </c>
      <c r="D1761" s="672" t="s">
        <v>15</v>
      </c>
    </row>
    <row r="1762" spans="1:4" x14ac:dyDescent="0.2">
      <c r="A1762" s="672" t="str">
        <f t="shared" si="27"/>
        <v>186</v>
      </c>
      <c r="B1762" s="672">
        <v>18653</v>
      </c>
      <c r="C1762" s="673" t="s">
        <v>14</v>
      </c>
      <c r="D1762" s="672" t="s">
        <v>15</v>
      </c>
    </row>
    <row r="1763" spans="1:4" x14ac:dyDescent="0.2">
      <c r="A1763" s="672" t="str">
        <f t="shared" si="27"/>
        <v>186</v>
      </c>
      <c r="B1763" s="672">
        <v>18654</v>
      </c>
      <c r="C1763" s="673" t="s">
        <v>14</v>
      </c>
      <c r="D1763" s="672" t="s">
        <v>15</v>
      </c>
    </row>
    <row r="1764" spans="1:4" x14ac:dyDescent="0.2">
      <c r="A1764" s="672" t="str">
        <f t="shared" si="27"/>
        <v>186</v>
      </c>
      <c r="B1764" s="672">
        <v>18655</v>
      </c>
      <c r="C1764" s="673" t="s">
        <v>14</v>
      </c>
      <c r="D1764" s="672" t="s">
        <v>15</v>
      </c>
    </row>
    <row r="1765" spans="1:4" x14ac:dyDescent="0.2">
      <c r="A1765" s="672" t="str">
        <f t="shared" si="27"/>
        <v>186</v>
      </c>
      <c r="B1765" s="672">
        <v>18656</v>
      </c>
      <c r="C1765" s="673" t="s">
        <v>14</v>
      </c>
      <c r="D1765" s="672" t="s">
        <v>15</v>
      </c>
    </row>
    <row r="1766" spans="1:4" x14ac:dyDescent="0.2">
      <c r="A1766" s="672" t="str">
        <f t="shared" si="27"/>
        <v>186</v>
      </c>
      <c r="B1766" s="672">
        <v>18657</v>
      </c>
      <c r="C1766" s="673" t="s">
        <v>14</v>
      </c>
      <c r="D1766" s="672" t="s">
        <v>15</v>
      </c>
    </row>
    <row r="1767" spans="1:4" x14ac:dyDescent="0.2">
      <c r="A1767" s="672" t="str">
        <f t="shared" si="27"/>
        <v>186</v>
      </c>
      <c r="B1767" s="672">
        <v>18660</v>
      </c>
      <c r="C1767" s="673" t="s">
        <v>14</v>
      </c>
      <c r="D1767" s="672" t="s">
        <v>15</v>
      </c>
    </row>
    <row r="1768" spans="1:4" x14ac:dyDescent="0.2">
      <c r="A1768" s="672" t="str">
        <f t="shared" si="27"/>
        <v>186</v>
      </c>
      <c r="B1768" s="672">
        <v>18661</v>
      </c>
      <c r="C1768" s="673" t="s">
        <v>14</v>
      </c>
      <c r="D1768" s="672" t="s">
        <v>15</v>
      </c>
    </row>
    <row r="1769" spans="1:4" x14ac:dyDescent="0.2">
      <c r="A1769" s="672" t="str">
        <f t="shared" si="27"/>
        <v>186</v>
      </c>
      <c r="B1769" s="672">
        <v>18690</v>
      </c>
      <c r="C1769" s="673" t="s">
        <v>14</v>
      </c>
      <c r="D1769" s="672" t="s">
        <v>15</v>
      </c>
    </row>
    <row r="1770" spans="1:4" x14ac:dyDescent="0.2">
      <c r="A1770" s="672" t="str">
        <f t="shared" si="27"/>
        <v>187</v>
      </c>
      <c r="B1770" s="672">
        <v>18701</v>
      </c>
      <c r="C1770" s="673" t="s">
        <v>14</v>
      </c>
      <c r="D1770" s="672" t="s">
        <v>15</v>
      </c>
    </row>
    <row r="1771" spans="1:4" x14ac:dyDescent="0.2">
      <c r="A1771" s="672" t="str">
        <f t="shared" si="27"/>
        <v>187</v>
      </c>
      <c r="B1771" s="672">
        <v>18702</v>
      </c>
      <c r="C1771" s="673" t="s">
        <v>14</v>
      </c>
      <c r="D1771" s="672" t="s">
        <v>15</v>
      </c>
    </row>
    <row r="1772" spans="1:4" x14ac:dyDescent="0.2">
      <c r="A1772" s="672" t="str">
        <f t="shared" si="27"/>
        <v>187</v>
      </c>
      <c r="B1772" s="672">
        <v>18703</v>
      </c>
      <c r="C1772" s="673" t="s">
        <v>14</v>
      </c>
      <c r="D1772" s="672" t="s">
        <v>15</v>
      </c>
    </row>
    <row r="1773" spans="1:4" x14ac:dyDescent="0.2">
      <c r="A1773" s="672" t="str">
        <f t="shared" si="27"/>
        <v>187</v>
      </c>
      <c r="B1773" s="672">
        <v>18704</v>
      </c>
      <c r="C1773" s="673" t="s">
        <v>14</v>
      </c>
      <c r="D1773" s="672" t="s">
        <v>15</v>
      </c>
    </row>
    <row r="1774" spans="1:4" x14ac:dyDescent="0.2">
      <c r="A1774" s="672" t="str">
        <f t="shared" si="27"/>
        <v>187</v>
      </c>
      <c r="B1774" s="672">
        <v>18705</v>
      </c>
      <c r="C1774" s="673" t="s">
        <v>14</v>
      </c>
      <c r="D1774" s="672" t="s">
        <v>15</v>
      </c>
    </row>
    <row r="1775" spans="1:4" x14ac:dyDescent="0.2">
      <c r="A1775" s="672" t="str">
        <f t="shared" si="27"/>
        <v>187</v>
      </c>
      <c r="B1775" s="672">
        <v>18706</v>
      </c>
      <c r="C1775" s="673" t="s">
        <v>14</v>
      </c>
      <c r="D1775" s="672" t="s">
        <v>15</v>
      </c>
    </row>
    <row r="1776" spans="1:4" x14ac:dyDescent="0.2">
      <c r="A1776" s="672" t="str">
        <f t="shared" si="27"/>
        <v>187</v>
      </c>
      <c r="B1776" s="672">
        <v>18707</v>
      </c>
      <c r="C1776" s="673" t="s">
        <v>14</v>
      </c>
      <c r="D1776" s="672" t="s">
        <v>15</v>
      </c>
    </row>
    <row r="1777" spans="1:4" x14ac:dyDescent="0.2">
      <c r="A1777" s="672" t="str">
        <f t="shared" si="27"/>
        <v>187</v>
      </c>
      <c r="B1777" s="672">
        <v>18708</v>
      </c>
      <c r="C1777" s="673" t="s">
        <v>14</v>
      </c>
      <c r="D1777" s="672" t="s">
        <v>15</v>
      </c>
    </row>
    <row r="1778" spans="1:4" x14ac:dyDescent="0.2">
      <c r="A1778" s="672" t="str">
        <f t="shared" si="27"/>
        <v>187</v>
      </c>
      <c r="B1778" s="672">
        <v>18709</v>
      </c>
      <c r="C1778" s="673" t="s">
        <v>14</v>
      </c>
      <c r="D1778" s="672" t="s">
        <v>15</v>
      </c>
    </row>
    <row r="1779" spans="1:4" x14ac:dyDescent="0.2">
      <c r="A1779" s="672" t="str">
        <f t="shared" si="27"/>
        <v>187</v>
      </c>
      <c r="B1779" s="672">
        <v>18710</v>
      </c>
      <c r="C1779" s="673" t="s">
        <v>14</v>
      </c>
      <c r="D1779" s="672" t="s">
        <v>15</v>
      </c>
    </row>
    <row r="1780" spans="1:4" x14ac:dyDescent="0.2">
      <c r="A1780" s="672" t="str">
        <f t="shared" si="27"/>
        <v>187</v>
      </c>
      <c r="B1780" s="672">
        <v>18711</v>
      </c>
      <c r="C1780" s="673" t="s">
        <v>14</v>
      </c>
      <c r="D1780" s="672" t="s">
        <v>15</v>
      </c>
    </row>
    <row r="1781" spans="1:4" x14ac:dyDescent="0.2">
      <c r="A1781" s="672" t="str">
        <f t="shared" si="27"/>
        <v>187</v>
      </c>
      <c r="B1781" s="672">
        <v>18761</v>
      </c>
      <c r="C1781" s="673" t="s">
        <v>14</v>
      </c>
      <c r="D1781" s="672" t="s">
        <v>15</v>
      </c>
    </row>
    <row r="1782" spans="1:4" x14ac:dyDescent="0.2">
      <c r="A1782" s="672" t="str">
        <f t="shared" si="27"/>
        <v>187</v>
      </c>
      <c r="B1782" s="672">
        <v>18762</v>
      </c>
      <c r="C1782" s="673" t="s">
        <v>14</v>
      </c>
      <c r="D1782" s="672" t="s">
        <v>15</v>
      </c>
    </row>
    <row r="1783" spans="1:4" x14ac:dyDescent="0.2">
      <c r="A1783" s="672" t="str">
        <f t="shared" si="27"/>
        <v>187</v>
      </c>
      <c r="B1783" s="672">
        <v>18763</v>
      </c>
      <c r="C1783" s="673" t="s">
        <v>14</v>
      </c>
      <c r="D1783" s="672" t="s">
        <v>15</v>
      </c>
    </row>
    <row r="1784" spans="1:4" x14ac:dyDescent="0.2">
      <c r="A1784" s="672" t="str">
        <f t="shared" si="27"/>
        <v>187</v>
      </c>
      <c r="B1784" s="672">
        <v>18764</v>
      </c>
      <c r="C1784" s="673" t="s">
        <v>14</v>
      </c>
      <c r="D1784" s="672" t="s">
        <v>15</v>
      </c>
    </row>
    <row r="1785" spans="1:4" x14ac:dyDescent="0.2">
      <c r="A1785" s="672" t="str">
        <f t="shared" si="27"/>
        <v>187</v>
      </c>
      <c r="B1785" s="672">
        <v>18765</v>
      </c>
      <c r="C1785" s="673" t="s">
        <v>14</v>
      </c>
      <c r="D1785" s="672" t="s">
        <v>15</v>
      </c>
    </row>
    <row r="1786" spans="1:4" x14ac:dyDescent="0.2">
      <c r="A1786" s="672" t="str">
        <f t="shared" si="27"/>
        <v>187</v>
      </c>
      <c r="B1786" s="672">
        <v>18766</v>
      </c>
      <c r="C1786" s="673" t="s">
        <v>14</v>
      </c>
      <c r="D1786" s="672" t="s">
        <v>15</v>
      </c>
    </row>
    <row r="1787" spans="1:4" x14ac:dyDescent="0.2">
      <c r="A1787" s="672" t="str">
        <f t="shared" si="27"/>
        <v>187</v>
      </c>
      <c r="B1787" s="672">
        <v>18767</v>
      </c>
      <c r="C1787" s="673" t="s">
        <v>14</v>
      </c>
      <c r="D1787" s="672" t="s">
        <v>15</v>
      </c>
    </row>
    <row r="1788" spans="1:4" x14ac:dyDescent="0.2">
      <c r="A1788" s="672" t="str">
        <f t="shared" si="27"/>
        <v>187</v>
      </c>
      <c r="B1788" s="672">
        <v>18768</v>
      </c>
      <c r="C1788" s="673" t="s">
        <v>14</v>
      </c>
      <c r="D1788" s="672" t="s">
        <v>15</v>
      </c>
    </row>
    <row r="1789" spans="1:4" x14ac:dyDescent="0.2">
      <c r="A1789" s="672" t="str">
        <f t="shared" si="27"/>
        <v>187</v>
      </c>
      <c r="B1789" s="672">
        <v>18769</v>
      </c>
      <c r="C1789" s="673" t="s">
        <v>14</v>
      </c>
      <c r="D1789" s="672" t="s">
        <v>15</v>
      </c>
    </row>
    <row r="1790" spans="1:4" x14ac:dyDescent="0.2">
      <c r="A1790" s="672" t="str">
        <f t="shared" si="27"/>
        <v>187</v>
      </c>
      <c r="B1790" s="672">
        <v>18773</v>
      </c>
      <c r="C1790" s="673" t="s">
        <v>14</v>
      </c>
      <c r="D1790" s="672" t="s">
        <v>15</v>
      </c>
    </row>
    <row r="1791" spans="1:4" x14ac:dyDescent="0.2">
      <c r="A1791" s="672" t="str">
        <f t="shared" si="27"/>
        <v>187</v>
      </c>
      <c r="B1791" s="672">
        <v>18774</v>
      </c>
      <c r="C1791" s="673" t="s">
        <v>14</v>
      </c>
      <c r="D1791" s="672" t="s">
        <v>15</v>
      </c>
    </row>
    <row r="1792" spans="1:4" x14ac:dyDescent="0.2">
      <c r="A1792" s="672" t="str">
        <f t="shared" si="27"/>
        <v>188</v>
      </c>
      <c r="B1792" s="672">
        <v>18801</v>
      </c>
      <c r="C1792" s="673" t="s">
        <v>20</v>
      </c>
      <c r="D1792" s="672" t="s">
        <v>21</v>
      </c>
    </row>
    <row r="1793" spans="1:4" x14ac:dyDescent="0.2">
      <c r="A1793" s="672" t="str">
        <f t="shared" si="27"/>
        <v>188</v>
      </c>
      <c r="B1793" s="672">
        <v>18810</v>
      </c>
      <c r="C1793" s="673" t="s">
        <v>14</v>
      </c>
      <c r="D1793" s="672" t="s">
        <v>15</v>
      </c>
    </row>
    <row r="1794" spans="1:4" x14ac:dyDescent="0.2">
      <c r="A1794" s="672" t="str">
        <f t="shared" ref="A1794:A1857" si="28">LEFT(B1794,3)</f>
        <v>188</v>
      </c>
      <c r="B1794" s="672">
        <v>18812</v>
      </c>
      <c r="C1794" s="673" t="s">
        <v>20</v>
      </c>
      <c r="D1794" s="672" t="s">
        <v>21</v>
      </c>
    </row>
    <row r="1795" spans="1:4" x14ac:dyDescent="0.2">
      <c r="A1795" s="672" t="str">
        <f t="shared" si="28"/>
        <v>188</v>
      </c>
      <c r="B1795" s="672">
        <v>18813</v>
      </c>
      <c r="C1795" s="673" t="s">
        <v>20</v>
      </c>
      <c r="D1795" s="672" t="s">
        <v>21</v>
      </c>
    </row>
    <row r="1796" spans="1:4" x14ac:dyDescent="0.2">
      <c r="A1796" s="672" t="str">
        <f t="shared" si="28"/>
        <v>188</v>
      </c>
      <c r="B1796" s="672">
        <v>18814</v>
      </c>
      <c r="C1796" s="673" t="s">
        <v>14</v>
      </c>
      <c r="D1796" s="672" t="s">
        <v>15</v>
      </c>
    </row>
    <row r="1797" spans="1:4" x14ac:dyDescent="0.2">
      <c r="A1797" s="672" t="str">
        <f t="shared" si="28"/>
        <v>188</v>
      </c>
      <c r="B1797" s="672">
        <v>18815</v>
      </c>
      <c r="C1797" s="673" t="s">
        <v>14</v>
      </c>
      <c r="D1797" s="672" t="s">
        <v>15</v>
      </c>
    </row>
    <row r="1798" spans="1:4" x14ac:dyDescent="0.2">
      <c r="A1798" s="672" t="str">
        <f t="shared" si="28"/>
        <v>188</v>
      </c>
      <c r="B1798" s="672">
        <v>18816</v>
      </c>
      <c r="C1798" s="673" t="s">
        <v>20</v>
      </c>
      <c r="D1798" s="672" t="s">
        <v>21</v>
      </c>
    </row>
    <row r="1799" spans="1:4" x14ac:dyDescent="0.2">
      <c r="A1799" s="672" t="str">
        <f t="shared" si="28"/>
        <v>188</v>
      </c>
      <c r="B1799" s="672">
        <v>18817</v>
      </c>
      <c r="C1799" s="673" t="s">
        <v>14</v>
      </c>
      <c r="D1799" s="672" t="s">
        <v>15</v>
      </c>
    </row>
    <row r="1800" spans="1:4" x14ac:dyDescent="0.2">
      <c r="A1800" s="672" t="str">
        <f t="shared" si="28"/>
        <v>188</v>
      </c>
      <c r="B1800" s="672">
        <v>18818</v>
      </c>
      <c r="C1800" s="673" t="s">
        <v>20</v>
      </c>
      <c r="D1800" s="672" t="s">
        <v>21</v>
      </c>
    </row>
    <row r="1801" spans="1:4" x14ac:dyDescent="0.2">
      <c r="A1801" s="672" t="str">
        <f t="shared" si="28"/>
        <v>188</v>
      </c>
      <c r="B1801" s="672">
        <v>18820</v>
      </c>
      <c r="C1801" s="673" t="s">
        <v>20</v>
      </c>
      <c r="D1801" s="672" t="s">
        <v>21</v>
      </c>
    </row>
    <row r="1802" spans="1:4" x14ac:dyDescent="0.2">
      <c r="A1802" s="672" t="str">
        <f t="shared" si="28"/>
        <v>188</v>
      </c>
      <c r="B1802" s="672">
        <v>18821</v>
      </c>
      <c r="C1802" s="673" t="s">
        <v>20</v>
      </c>
      <c r="D1802" s="672" t="s">
        <v>21</v>
      </c>
    </row>
    <row r="1803" spans="1:4" x14ac:dyDescent="0.2">
      <c r="A1803" s="672" t="str">
        <f t="shared" si="28"/>
        <v>188</v>
      </c>
      <c r="B1803" s="672">
        <v>18822</v>
      </c>
      <c r="C1803" s="673" t="s">
        <v>20</v>
      </c>
      <c r="D1803" s="672" t="s">
        <v>21</v>
      </c>
    </row>
    <row r="1804" spans="1:4" x14ac:dyDescent="0.2">
      <c r="A1804" s="672" t="str">
        <f t="shared" si="28"/>
        <v>188</v>
      </c>
      <c r="B1804" s="672">
        <v>18823</v>
      </c>
      <c r="C1804" s="673" t="s">
        <v>20</v>
      </c>
      <c r="D1804" s="672" t="s">
        <v>21</v>
      </c>
    </row>
    <row r="1805" spans="1:4" x14ac:dyDescent="0.2">
      <c r="A1805" s="672" t="str">
        <f t="shared" si="28"/>
        <v>188</v>
      </c>
      <c r="B1805" s="672">
        <v>18824</v>
      </c>
      <c r="C1805" s="673" t="s">
        <v>20</v>
      </c>
      <c r="D1805" s="672" t="s">
        <v>21</v>
      </c>
    </row>
    <row r="1806" spans="1:4" x14ac:dyDescent="0.2">
      <c r="A1806" s="672" t="str">
        <f t="shared" si="28"/>
        <v>188</v>
      </c>
      <c r="B1806" s="672">
        <v>18825</v>
      </c>
      <c r="C1806" s="673" t="s">
        <v>20</v>
      </c>
      <c r="D1806" s="672" t="s">
        <v>21</v>
      </c>
    </row>
    <row r="1807" spans="1:4" x14ac:dyDescent="0.2">
      <c r="A1807" s="672" t="str">
        <f t="shared" si="28"/>
        <v>188</v>
      </c>
      <c r="B1807" s="672">
        <v>18826</v>
      </c>
      <c r="C1807" s="673" t="s">
        <v>20</v>
      </c>
      <c r="D1807" s="672" t="s">
        <v>21</v>
      </c>
    </row>
    <row r="1808" spans="1:4" x14ac:dyDescent="0.2">
      <c r="A1808" s="672" t="str">
        <f t="shared" si="28"/>
        <v>188</v>
      </c>
      <c r="B1808" s="672">
        <v>18827</v>
      </c>
      <c r="C1808" s="673" t="s">
        <v>20</v>
      </c>
      <c r="D1808" s="672" t="s">
        <v>21</v>
      </c>
    </row>
    <row r="1809" spans="1:4" x14ac:dyDescent="0.2">
      <c r="A1809" s="672" t="str">
        <f t="shared" si="28"/>
        <v>188</v>
      </c>
      <c r="B1809" s="672">
        <v>18828</v>
      </c>
      <c r="C1809" s="673" t="s">
        <v>20</v>
      </c>
      <c r="D1809" s="672" t="s">
        <v>21</v>
      </c>
    </row>
    <row r="1810" spans="1:4" x14ac:dyDescent="0.2">
      <c r="A1810" s="672" t="str">
        <f t="shared" si="28"/>
        <v>188</v>
      </c>
      <c r="B1810" s="672">
        <v>18829</v>
      </c>
      <c r="C1810" s="673" t="s">
        <v>14</v>
      </c>
      <c r="D1810" s="672" t="s">
        <v>15</v>
      </c>
    </row>
    <row r="1811" spans="1:4" x14ac:dyDescent="0.2">
      <c r="A1811" s="672" t="str">
        <f t="shared" si="28"/>
        <v>188</v>
      </c>
      <c r="B1811" s="672">
        <v>18830</v>
      </c>
      <c r="C1811" s="673" t="s">
        <v>20</v>
      </c>
      <c r="D1811" s="672" t="s">
        <v>21</v>
      </c>
    </row>
    <row r="1812" spans="1:4" x14ac:dyDescent="0.2">
      <c r="A1812" s="672" t="str">
        <f t="shared" si="28"/>
        <v>188</v>
      </c>
      <c r="B1812" s="672">
        <v>18831</v>
      </c>
      <c r="C1812" s="673" t="s">
        <v>14</v>
      </c>
      <c r="D1812" s="672" t="s">
        <v>15</v>
      </c>
    </row>
    <row r="1813" spans="1:4" x14ac:dyDescent="0.2">
      <c r="A1813" s="672" t="str">
        <f t="shared" si="28"/>
        <v>188</v>
      </c>
      <c r="B1813" s="672">
        <v>18832</v>
      </c>
      <c r="C1813" s="673" t="s">
        <v>14</v>
      </c>
      <c r="D1813" s="672" t="s">
        <v>15</v>
      </c>
    </row>
    <row r="1814" spans="1:4" x14ac:dyDescent="0.2">
      <c r="A1814" s="672" t="str">
        <f t="shared" si="28"/>
        <v>188</v>
      </c>
      <c r="B1814" s="672">
        <v>18833</v>
      </c>
      <c r="C1814" s="673" t="s">
        <v>14</v>
      </c>
      <c r="D1814" s="672" t="s">
        <v>15</v>
      </c>
    </row>
    <row r="1815" spans="1:4" x14ac:dyDescent="0.2">
      <c r="A1815" s="672" t="str">
        <f t="shared" si="28"/>
        <v>188</v>
      </c>
      <c r="B1815" s="672">
        <v>18834</v>
      </c>
      <c r="C1815" s="673" t="s">
        <v>20</v>
      </c>
      <c r="D1815" s="672" t="s">
        <v>21</v>
      </c>
    </row>
    <row r="1816" spans="1:4" x14ac:dyDescent="0.2">
      <c r="A1816" s="672" t="str">
        <f t="shared" si="28"/>
        <v>188</v>
      </c>
      <c r="B1816" s="672">
        <v>18837</v>
      </c>
      <c r="C1816" s="673" t="s">
        <v>14</v>
      </c>
      <c r="D1816" s="672" t="s">
        <v>15</v>
      </c>
    </row>
    <row r="1817" spans="1:4" x14ac:dyDescent="0.2">
      <c r="A1817" s="672" t="str">
        <f t="shared" si="28"/>
        <v>188</v>
      </c>
      <c r="B1817" s="672">
        <v>18839</v>
      </c>
      <c r="C1817" s="673" t="s">
        <v>20</v>
      </c>
      <c r="D1817" s="672" t="s">
        <v>21</v>
      </c>
    </row>
    <row r="1818" spans="1:4" x14ac:dyDescent="0.2">
      <c r="A1818" s="672" t="str">
        <f t="shared" si="28"/>
        <v>188</v>
      </c>
      <c r="B1818" s="672">
        <v>18840</v>
      </c>
      <c r="C1818" s="673" t="s">
        <v>14</v>
      </c>
      <c r="D1818" s="672" t="s">
        <v>15</v>
      </c>
    </row>
    <row r="1819" spans="1:4" x14ac:dyDescent="0.2">
      <c r="A1819" s="672" t="str">
        <f t="shared" si="28"/>
        <v>188</v>
      </c>
      <c r="B1819" s="672">
        <v>18842</v>
      </c>
      <c r="C1819" s="673" t="s">
        <v>20</v>
      </c>
      <c r="D1819" s="672" t="s">
        <v>21</v>
      </c>
    </row>
    <row r="1820" spans="1:4" x14ac:dyDescent="0.2">
      <c r="A1820" s="672" t="str">
        <f t="shared" si="28"/>
        <v>188</v>
      </c>
      <c r="B1820" s="672">
        <v>18843</v>
      </c>
      <c r="C1820" s="673" t="s">
        <v>20</v>
      </c>
      <c r="D1820" s="672" t="s">
        <v>21</v>
      </c>
    </row>
    <row r="1821" spans="1:4" x14ac:dyDescent="0.2">
      <c r="A1821" s="672" t="str">
        <f t="shared" si="28"/>
        <v>188</v>
      </c>
      <c r="B1821" s="672">
        <v>18844</v>
      </c>
      <c r="C1821" s="673" t="s">
        <v>20</v>
      </c>
      <c r="D1821" s="672" t="s">
        <v>21</v>
      </c>
    </row>
    <row r="1822" spans="1:4" x14ac:dyDescent="0.2">
      <c r="A1822" s="672" t="str">
        <f t="shared" si="28"/>
        <v>188</v>
      </c>
      <c r="B1822" s="672">
        <v>18845</v>
      </c>
      <c r="C1822" s="673" t="s">
        <v>14</v>
      </c>
      <c r="D1822" s="672" t="s">
        <v>15</v>
      </c>
    </row>
    <row r="1823" spans="1:4" x14ac:dyDescent="0.2">
      <c r="A1823" s="672" t="str">
        <f t="shared" si="28"/>
        <v>188</v>
      </c>
      <c r="B1823" s="672">
        <v>18846</v>
      </c>
      <c r="C1823" s="673" t="s">
        <v>14</v>
      </c>
      <c r="D1823" s="672" t="s">
        <v>15</v>
      </c>
    </row>
    <row r="1824" spans="1:4" x14ac:dyDescent="0.2">
      <c r="A1824" s="672" t="str">
        <f t="shared" si="28"/>
        <v>188</v>
      </c>
      <c r="B1824" s="672">
        <v>18847</v>
      </c>
      <c r="C1824" s="673" t="s">
        <v>20</v>
      </c>
      <c r="D1824" s="672" t="s">
        <v>21</v>
      </c>
    </row>
    <row r="1825" spans="1:4" x14ac:dyDescent="0.2">
      <c r="A1825" s="672" t="str">
        <f t="shared" si="28"/>
        <v>188</v>
      </c>
      <c r="B1825" s="672">
        <v>18848</v>
      </c>
      <c r="C1825" s="673" t="s">
        <v>14</v>
      </c>
      <c r="D1825" s="672" t="s">
        <v>15</v>
      </c>
    </row>
    <row r="1826" spans="1:4" x14ac:dyDescent="0.2">
      <c r="A1826" s="672" t="str">
        <f t="shared" si="28"/>
        <v>188</v>
      </c>
      <c r="B1826" s="672">
        <v>18850</v>
      </c>
      <c r="C1826" s="673" t="s">
        <v>14</v>
      </c>
      <c r="D1826" s="672" t="s">
        <v>15</v>
      </c>
    </row>
    <row r="1827" spans="1:4" x14ac:dyDescent="0.2">
      <c r="A1827" s="672" t="str">
        <f t="shared" si="28"/>
        <v>188</v>
      </c>
      <c r="B1827" s="672">
        <v>18851</v>
      </c>
      <c r="C1827" s="673" t="s">
        <v>14</v>
      </c>
      <c r="D1827" s="672" t="s">
        <v>15</v>
      </c>
    </row>
    <row r="1828" spans="1:4" x14ac:dyDescent="0.2">
      <c r="A1828" s="672" t="str">
        <f t="shared" si="28"/>
        <v>188</v>
      </c>
      <c r="B1828" s="672">
        <v>18853</v>
      </c>
      <c r="C1828" s="673" t="s">
        <v>14</v>
      </c>
      <c r="D1828" s="672" t="s">
        <v>15</v>
      </c>
    </row>
    <row r="1829" spans="1:4" x14ac:dyDescent="0.2">
      <c r="A1829" s="672" t="str">
        <f t="shared" si="28"/>
        <v>188</v>
      </c>
      <c r="B1829" s="672">
        <v>18854</v>
      </c>
      <c r="C1829" s="673" t="s">
        <v>14</v>
      </c>
      <c r="D1829" s="672" t="s">
        <v>15</v>
      </c>
    </row>
    <row r="1830" spans="1:4" x14ac:dyDescent="0.2">
      <c r="A1830" s="672" t="str">
        <f t="shared" si="28"/>
        <v>189</v>
      </c>
      <c r="B1830" s="672">
        <v>18901</v>
      </c>
      <c r="C1830" s="673" t="s">
        <v>16</v>
      </c>
      <c r="D1830" s="672" t="s">
        <v>17</v>
      </c>
    </row>
    <row r="1831" spans="1:4" x14ac:dyDescent="0.2">
      <c r="A1831" s="672" t="str">
        <f t="shared" si="28"/>
        <v>189</v>
      </c>
      <c r="B1831" s="672">
        <v>18902</v>
      </c>
      <c r="C1831" s="673" t="s">
        <v>16</v>
      </c>
      <c r="D1831" s="672" t="s">
        <v>17</v>
      </c>
    </row>
    <row r="1832" spans="1:4" x14ac:dyDescent="0.2">
      <c r="A1832" s="672" t="str">
        <f t="shared" si="28"/>
        <v>189</v>
      </c>
      <c r="B1832" s="672">
        <v>18910</v>
      </c>
      <c r="C1832" s="673" t="s">
        <v>16</v>
      </c>
      <c r="D1832" s="672" t="s">
        <v>17</v>
      </c>
    </row>
    <row r="1833" spans="1:4" x14ac:dyDescent="0.2">
      <c r="A1833" s="672" t="str">
        <f t="shared" si="28"/>
        <v>189</v>
      </c>
      <c r="B1833" s="672">
        <v>18911</v>
      </c>
      <c r="C1833" s="673" t="s">
        <v>16</v>
      </c>
      <c r="D1833" s="672" t="s">
        <v>17</v>
      </c>
    </row>
    <row r="1834" spans="1:4" x14ac:dyDescent="0.2">
      <c r="A1834" s="672" t="str">
        <f t="shared" si="28"/>
        <v>189</v>
      </c>
      <c r="B1834" s="672">
        <v>18912</v>
      </c>
      <c r="C1834" s="673" t="s">
        <v>16</v>
      </c>
      <c r="D1834" s="672" t="s">
        <v>17</v>
      </c>
    </row>
    <row r="1835" spans="1:4" x14ac:dyDescent="0.2">
      <c r="A1835" s="672" t="str">
        <f t="shared" si="28"/>
        <v>189</v>
      </c>
      <c r="B1835" s="672">
        <v>18913</v>
      </c>
      <c r="C1835" s="673" t="s">
        <v>16</v>
      </c>
      <c r="D1835" s="672" t="s">
        <v>17</v>
      </c>
    </row>
    <row r="1836" spans="1:4" x14ac:dyDescent="0.2">
      <c r="A1836" s="672" t="str">
        <f t="shared" si="28"/>
        <v>189</v>
      </c>
      <c r="B1836" s="672">
        <v>18914</v>
      </c>
      <c r="C1836" s="673" t="s">
        <v>16</v>
      </c>
      <c r="D1836" s="672" t="s">
        <v>17</v>
      </c>
    </row>
    <row r="1837" spans="1:4" x14ac:dyDescent="0.2">
      <c r="A1837" s="672" t="str">
        <f t="shared" si="28"/>
        <v>189</v>
      </c>
      <c r="B1837" s="672">
        <v>18915</v>
      </c>
      <c r="C1837" s="673" t="s">
        <v>16</v>
      </c>
      <c r="D1837" s="672" t="s">
        <v>17</v>
      </c>
    </row>
    <row r="1838" spans="1:4" x14ac:dyDescent="0.2">
      <c r="A1838" s="672" t="str">
        <f t="shared" si="28"/>
        <v>189</v>
      </c>
      <c r="B1838" s="672">
        <v>18916</v>
      </c>
      <c r="C1838" s="673" t="s">
        <v>16</v>
      </c>
      <c r="D1838" s="672" t="s">
        <v>17</v>
      </c>
    </row>
    <row r="1839" spans="1:4" x14ac:dyDescent="0.2">
      <c r="A1839" s="672" t="str">
        <f t="shared" si="28"/>
        <v>189</v>
      </c>
      <c r="B1839" s="672">
        <v>18917</v>
      </c>
      <c r="C1839" s="673" t="s">
        <v>16</v>
      </c>
      <c r="D1839" s="672" t="s">
        <v>17</v>
      </c>
    </row>
    <row r="1840" spans="1:4" x14ac:dyDescent="0.2">
      <c r="A1840" s="672" t="str">
        <f t="shared" si="28"/>
        <v>189</v>
      </c>
      <c r="B1840" s="672">
        <v>18918</v>
      </c>
      <c r="C1840" s="673" t="s">
        <v>16</v>
      </c>
      <c r="D1840" s="672" t="s">
        <v>17</v>
      </c>
    </row>
    <row r="1841" spans="1:4" x14ac:dyDescent="0.2">
      <c r="A1841" s="672" t="str">
        <f t="shared" si="28"/>
        <v>189</v>
      </c>
      <c r="B1841" s="672">
        <v>18920</v>
      </c>
      <c r="C1841" s="673" t="s">
        <v>16</v>
      </c>
      <c r="D1841" s="672" t="s">
        <v>17</v>
      </c>
    </row>
    <row r="1842" spans="1:4" x14ac:dyDescent="0.2">
      <c r="A1842" s="672" t="str">
        <f t="shared" si="28"/>
        <v>189</v>
      </c>
      <c r="B1842" s="672">
        <v>18921</v>
      </c>
      <c r="C1842" s="673" t="s">
        <v>16</v>
      </c>
      <c r="D1842" s="672" t="s">
        <v>17</v>
      </c>
    </row>
    <row r="1843" spans="1:4" x14ac:dyDescent="0.2">
      <c r="A1843" s="672" t="str">
        <f t="shared" si="28"/>
        <v>189</v>
      </c>
      <c r="B1843" s="672">
        <v>18922</v>
      </c>
      <c r="C1843" s="673" t="s">
        <v>16</v>
      </c>
      <c r="D1843" s="672" t="s">
        <v>17</v>
      </c>
    </row>
    <row r="1844" spans="1:4" x14ac:dyDescent="0.2">
      <c r="A1844" s="672" t="str">
        <f t="shared" si="28"/>
        <v>189</v>
      </c>
      <c r="B1844" s="672">
        <v>18923</v>
      </c>
      <c r="C1844" s="673" t="s">
        <v>16</v>
      </c>
      <c r="D1844" s="672" t="s">
        <v>17</v>
      </c>
    </row>
    <row r="1845" spans="1:4" x14ac:dyDescent="0.2">
      <c r="A1845" s="672" t="str">
        <f t="shared" si="28"/>
        <v>189</v>
      </c>
      <c r="B1845" s="672">
        <v>18924</v>
      </c>
      <c r="C1845" s="673" t="s">
        <v>16</v>
      </c>
      <c r="D1845" s="672" t="s">
        <v>17</v>
      </c>
    </row>
    <row r="1846" spans="1:4" x14ac:dyDescent="0.2">
      <c r="A1846" s="672" t="str">
        <f t="shared" si="28"/>
        <v>189</v>
      </c>
      <c r="B1846" s="672">
        <v>18925</v>
      </c>
      <c r="C1846" s="673" t="s">
        <v>16</v>
      </c>
      <c r="D1846" s="672" t="s">
        <v>17</v>
      </c>
    </row>
    <row r="1847" spans="1:4" x14ac:dyDescent="0.2">
      <c r="A1847" s="672" t="str">
        <f t="shared" si="28"/>
        <v>189</v>
      </c>
      <c r="B1847" s="672">
        <v>18926</v>
      </c>
      <c r="C1847" s="673" t="s">
        <v>16</v>
      </c>
      <c r="D1847" s="672" t="s">
        <v>17</v>
      </c>
    </row>
    <row r="1848" spans="1:4" x14ac:dyDescent="0.2">
      <c r="A1848" s="672" t="str">
        <f t="shared" si="28"/>
        <v>189</v>
      </c>
      <c r="B1848" s="672">
        <v>18927</v>
      </c>
      <c r="C1848" s="673" t="s">
        <v>16</v>
      </c>
      <c r="D1848" s="672" t="s">
        <v>17</v>
      </c>
    </row>
    <row r="1849" spans="1:4" x14ac:dyDescent="0.2">
      <c r="A1849" s="672" t="str">
        <f t="shared" si="28"/>
        <v>189</v>
      </c>
      <c r="B1849" s="672">
        <v>18928</v>
      </c>
      <c r="C1849" s="673" t="s">
        <v>16</v>
      </c>
      <c r="D1849" s="672" t="s">
        <v>17</v>
      </c>
    </row>
    <row r="1850" spans="1:4" x14ac:dyDescent="0.2">
      <c r="A1850" s="672" t="str">
        <f t="shared" si="28"/>
        <v>189</v>
      </c>
      <c r="B1850" s="672">
        <v>18929</v>
      </c>
      <c r="C1850" s="673" t="s">
        <v>16</v>
      </c>
      <c r="D1850" s="672" t="s">
        <v>17</v>
      </c>
    </row>
    <row r="1851" spans="1:4" x14ac:dyDescent="0.2">
      <c r="A1851" s="672" t="str">
        <f t="shared" si="28"/>
        <v>189</v>
      </c>
      <c r="B1851" s="672">
        <v>18930</v>
      </c>
      <c r="C1851" s="673" t="s">
        <v>16</v>
      </c>
      <c r="D1851" s="672" t="s">
        <v>17</v>
      </c>
    </row>
    <row r="1852" spans="1:4" x14ac:dyDescent="0.2">
      <c r="A1852" s="672" t="str">
        <f t="shared" si="28"/>
        <v>189</v>
      </c>
      <c r="B1852" s="672">
        <v>18931</v>
      </c>
      <c r="C1852" s="673" t="s">
        <v>16</v>
      </c>
      <c r="D1852" s="672" t="s">
        <v>17</v>
      </c>
    </row>
    <row r="1853" spans="1:4" x14ac:dyDescent="0.2">
      <c r="A1853" s="672" t="str">
        <f t="shared" si="28"/>
        <v>189</v>
      </c>
      <c r="B1853" s="672">
        <v>18932</v>
      </c>
      <c r="C1853" s="673" t="s">
        <v>16</v>
      </c>
      <c r="D1853" s="672" t="s">
        <v>17</v>
      </c>
    </row>
    <row r="1854" spans="1:4" x14ac:dyDescent="0.2">
      <c r="A1854" s="672" t="str">
        <f t="shared" si="28"/>
        <v>189</v>
      </c>
      <c r="B1854" s="672">
        <v>18933</v>
      </c>
      <c r="C1854" s="673" t="s">
        <v>16</v>
      </c>
      <c r="D1854" s="672" t="s">
        <v>17</v>
      </c>
    </row>
    <row r="1855" spans="1:4" x14ac:dyDescent="0.2">
      <c r="A1855" s="672" t="str">
        <f t="shared" si="28"/>
        <v>189</v>
      </c>
      <c r="B1855" s="672">
        <v>18934</v>
      </c>
      <c r="C1855" s="673" t="s">
        <v>16</v>
      </c>
      <c r="D1855" s="672" t="s">
        <v>17</v>
      </c>
    </row>
    <row r="1856" spans="1:4" x14ac:dyDescent="0.2">
      <c r="A1856" s="672" t="str">
        <f t="shared" si="28"/>
        <v>189</v>
      </c>
      <c r="B1856" s="672">
        <v>18935</v>
      </c>
      <c r="C1856" s="673" t="s">
        <v>16</v>
      </c>
      <c r="D1856" s="672" t="s">
        <v>17</v>
      </c>
    </row>
    <row r="1857" spans="1:4" x14ac:dyDescent="0.2">
      <c r="A1857" s="672" t="str">
        <f t="shared" si="28"/>
        <v>189</v>
      </c>
      <c r="B1857" s="672">
        <v>18936</v>
      </c>
      <c r="C1857" s="673" t="s">
        <v>16</v>
      </c>
      <c r="D1857" s="672" t="s">
        <v>17</v>
      </c>
    </row>
    <row r="1858" spans="1:4" x14ac:dyDescent="0.2">
      <c r="A1858" s="672" t="str">
        <f t="shared" ref="A1858:A1921" si="29">LEFT(B1858,3)</f>
        <v>189</v>
      </c>
      <c r="B1858" s="672">
        <v>18938</v>
      </c>
      <c r="C1858" s="673" t="s">
        <v>16</v>
      </c>
      <c r="D1858" s="672" t="s">
        <v>17</v>
      </c>
    </row>
    <row r="1859" spans="1:4" x14ac:dyDescent="0.2">
      <c r="A1859" s="672" t="str">
        <f t="shared" si="29"/>
        <v>189</v>
      </c>
      <c r="B1859" s="672">
        <v>18940</v>
      </c>
      <c r="C1859" s="673" t="s">
        <v>16</v>
      </c>
      <c r="D1859" s="672" t="s">
        <v>17</v>
      </c>
    </row>
    <row r="1860" spans="1:4" x14ac:dyDescent="0.2">
      <c r="A1860" s="672" t="str">
        <f t="shared" si="29"/>
        <v>189</v>
      </c>
      <c r="B1860" s="672">
        <v>18942</v>
      </c>
      <c r="C1860" s="673" t="s">
        <v>16</v>
      </c>
      <c r="D1860" s="672" t="s">
        <v>17</v>
      </c>
    </row>
    <row r="1861" spans="1:4" x14ac:dyDescent="0.2">
      <c r="A1861" s="672" t="str">
        <f t="shared" si="29"/>
        <v>189</v>
      </c>
      <c r="B1861" s="672">
        <v>18943</v>
      </c>
      <c r="C1861" s="673" t="s">
        <v>16</v>
      </c>
      <c r="D1861" s="672" t="s">
        <v>17</v>
      </c>
    </row>
    <row r="1862" spans="1:4" x14ac:dyDescent="0.2">
      <c r="A1862" s="672" t="str">
        <f t="shared" si="29"/>
        <v>189</v>
      </c>
      <c r="B1862" s="672">
        <v>18944</v>
      </c>
      <c r="C1862" s="673" t="s">
        <v>16</v>
      </c>
      <c r="D1862" s="672" t="s">
        <v>17</v>
      </c>
    </row>
    <row r="1863" spans="1:4" x14ac:dyDescent="0.2">
      <c r="A1863" s="672" t="str">
        <f t="shared" si="29"/>
        <v>189</v>
      </c>
      <c r="B1863" s="672">
        <v>18946</v>
      </c>
      <c r="C1863" s="673" t="s">
        <v>16</v>
      </c>
      <c r="D1863" s="672" t="s">
        <v>17</v>
      </c>
    </row>
    <row r="1864" spans="1:4" x14ac:dyDescent="0.2">
      <c r="A1864" s="672" t="str">
        <f t="shared" si="29"/>
        <v>189</v>
      </c>
      <c r="B1864" s="672">
        <v>18947</v>
      </c>
      <c r="C1864" s="673" t="s">
        <v>16</v>
      </c>
      <c r="D1864" s="672" t="s">
        <v>17</v>
      </c>
    </row>
    <row r="1865" spans="1:4" x14ac:dyDescent="0.2">
      <c r="A1865" s="672" t="str">
        <f t="shared" si="29"/>
        <v>189</v>
      </c>
      <c r="B1865" s="672">
        <v>18949</v>
      </c>
      <c r="C1865" s="673" t="s">
        <v>16</v>
      </c>
      <c r="D1865" s="672" t="s">
        <v>17</v>
      </c>
    </row>
    <row r="1866" spans="1:4" x14ac:dyDescent="0.2">
      <c r="A1866" s="672" t="str">
        <f t="shared" si="29"/>
        <v>189</v>
      </c>
      <c r="B1866" s="672">
        <v>18950</v>
      </c>
      <c r="C1866" s="673" t="s">
        <v>16</v>
      </c>
      <c r="D1866" s="672" t="s">
        <v>17</v>
      </c>
    </row>
    <row r="1867" spans="1:4" x14ac:dyDescent="0.2">
      <c r="A1867" s="672" t="str">
        <f t="shared" si="29"/>
        <v>189</v>
      </c>
      <c r="B1867" s="672">
        <v>18951</v>
      </c>
      <c r="C1867" s="673" t="s">
        <v>16</v>
      </c>
      <c r="D1867" s="672" t="s">
        <v>17</v>
      </c>
    </row>
    <row r="1868" spans="1:4" x14ac:dyDescent="0.2">
      <c r="A1868" s="672" t="str">
        <f t="shared" si="29"/>
        <v>189</v>
      </c>
      <c r="B1868" s="672">
        <v>18953</v>
      </c>
      <c r="C1868" s="673" t="s">
        <v>16</v>
      </c>
      <c r="D1868" s="672" t="s">
        <v>17</v>
      </c>
    </row>
    <row r="1869" spans="1:4" x14ac:dyDescent="0.2">
      <c r="A1869" s="672" t="str">
        <f t="shared" si="29"/>
        <v>189</v>
      </c>
      <c r="B1869" s="672">
        <v>18954</v>
      </c>
      <c r="C1869" s="673" t="s">
        <v>16</v>
      </c>
      <c r="D1869" s="672" t="s">
        <v>17</v>
      </c>
    </row>
    <row r="1870" spans="1:4" x14ac:dyDescent="0.2">
      <c r="A1870" s="672" t="str">
        <f t="shared" si="29"/>
        <v>189</v>
      </c>
      <c r="B1870" s="672">
        <v>18955</v>
      </c>
      <c r="C1870" s="673" t="s">
        <v>16</v>
      </c>
      <c r="D1870" s="672" t="s">
        <v>17</v>
      </c>
    </row>
    <row r="1871" spans="1:4" x14ac:dyDescent="0.2">
      <c r="A1871" s="672" t="str">
        <f t="shared" si="29"/>
        <v>189</v>
      </c>
      <c r="B1871" s="672">
        <v>18956</v>
      </c>
      <c r="C1871" s="673" t="s">
        <v>16</v>
      </c>
      <c r="D1871" s="672" t="s">
        <v>17</v>
      </c>
    </row>
    <row r="1872" spans="1:4" x14ac:dyDescent="0.2">
      <c r="A1872" s="672" t="str">
        <f t="shared" si="29"/>
        <v>189</v>
      </c>
      <c r="B1872" s="672">
        <v>18957</v>
      </c>
      <c r="C1872" s="673" t="s">
        <v>16</v>
      </c>
      <c r="D1872" s="672" t="s">
        <v>17</v>
      </c>
    </row>
    <row r="1873" spans="1:4" x14ac:dyDescent="0.2">
      <c r="A1873" s="672" t="str">
        <f t="shared" si="29"/>
        <v>189</v>
      </c>
      <c r="B1873" s="672">
        <v>18958</v>
      </c>
      <c r="C1873" s="673" t="s">
        <v>16</v>
      </c>
      <c r="D1873" s="672" t="s">
        <v>17</v>
      </c>
    </row>
    <row r="1874" spans="1:4" x14ac:dyDescent="0.2">
      <c r="A1874" s="672" t="str">
        <f t="shared" si="29"/>
        <v>189</v>
      </c>
      <c r="B1874" s="672">
        <v>18960</v>
      </c>
      <c r="C1874" s="673" t="s">
        <v>16</v>
      </c>
      <c r="D1874" s="672" t="s">
        <v>17</v>
      </c>
    </row>
    <row r="1875" spans="1:4" x14ac:dyDescent="0.2">
      <c r="A1875" s="672" t="str">
        <f t="shared" si="29"/>
        <v>189</v>
      </c>
      <c r="B1875" s="672">
        <v>18962</v>
      </c>
      <c r="C1875" s="673" t="s">
        <v>16</v>
      </c>
      <c r="D1875" s="672" t="s">
        <v>17</v>
      </c>
    </row>
    <row r="1876" spans="1:4" x14ac:dyDescent="0.2">
      <c r="A1876" s="672" t="str">
        <f t="shared" si="29"/>
        <v>189</v>
      </c>
      <c r="B1876" s="672">
        <v>18963</v>
      </c>
      <c r="C1876" s="673" t="s">
        <v>16</v>
      </c>
      <c r="D1876" s="672" t="s">
        <v>17</v>
      </c>
    </row>
    <row r="1877" spans="1:4" x14ac:dyDescent="0.2">
      <c r="A1877" s="672" t="str">
        <f t="shared" si="29"/>
        <v>189</v>
      </c>
      <c r="B1877" s="672">
        <v>18964</v>
      </c>
      <c r="C1877" s="673" t="s">
        <v>16</v>
      </c>
      <c r="D1877" s="672" t="s">
        <v>17</v>
      </c>
    </row>
    <row r="1878" spans="1:4" x14ac:dyDescent="0.2">
      <c r="A1878" s="672" t="str">
        <f t="shared" si="29"/>
        <v>189</v>
      </c>
      <c r="B1878" s="672">
        <v>18966</v>
      </c>
      <c r="C1878" s="673" t="s">
        <v>16</v>
      </c>
      <c r="D1878" s="672" t="s">
        <v>17</v>
      </c>
    </row>
    <row r="1879" spans="1:4" x14ac:dyDescent="0.2">
      <c r="A1879" s="672" t="str">
        <f t="shared" si="29"/>
        <v>189</v>
      </c>
      <c r="B1879" s="672">
        <v>18968</v>
      </c>
      <c r="C1879" s="673" t="s">
        <v>16</v>
      </c>
      <c r="D1879" s="672" t="s">
        <v>17</v>
      </c>
    </row>
    <row r="1880" spans="1:4" x14ac:dyDescent="0.2">
      <c r="A1880" s="672" t="str">
        <f t="shared" si="29"/>
        <v>189</v>
      </c>
      <c r="B1880" s="672">
        <v>18969</v>
      </c>
      <c r="C1880" s="673" t="s">
        <v>16</v>
      </c>
      <c r="D1880" s="672" t="s">
        <v>17</v>
      </c>
    </row>
    <row r="1881" spans="1:4" x14ac:dyDescent="0.2">
      <c r="A1881" s="672" t="str">
        <f t="shared" si="29"/>
        <v>189</v>
      </c>
      <c r="B1881" s="672">
        <v>18970</v>
      </c>
      <c r="C1881" s="673" t="s">
        <v>16</v>
      </c>
      <c r="D1881" s="672" t="s">
        <v>17</v>
      </c>
    </row>
    <row r="1882" spans="1:4" x14ac:dyDescent="0.2">
      <c r="A1882" s="672" t="str">
        <f t="shared" si="29"/>
        <v>189</v>
      </c>
      <c r="B1882" s="672">
        <v>18971</v>
      </c>
      <c r="C1882" s="673" t="s">
        <v>16</v>
      </c>
      <c r="D1882" s="672" t="s">
        <v>17</v>
      </c>
    </row>
    <row r="1883" spans="1:4" x14ac:dyDescent="0.2">
      <c r="A1883" s="672" t="str">
        <f t="shared" si="29"/>
        <v>189</v>
      </c>
      <c r="B1883" s="672">
        <v>18972</v>
      </c>
      <c r="C1883" s="673" t="s">
        <v>16</v>
      </c>
      <c r="D1883" s="672" t="s">
        <v>17</v>
      </c>
    </row>
    <row r="1884" spans="1:4" x14ac:dyDescent="0.2">
      <c r="A1884" s="672" t="str">
        <f t="shared" si="29"/>
        <v>189</v>
      </c>
      <c r="B1884" s="672">
        <v>18974</v>
      </c>
      <c r="C1884" s="673" t="s">
        <v>16</v>
      </c>
      <c r="D1884" s="672" t="s">
        <v>17</v>
      </c>
    </row>
    <row r="1885" spans="1:4" x14ac:dyDescent="0.2">
      <c r="A1885" s="672" t="str">
        <f t="shared" si="29"/>
        <v>189</v>
      </c>
      <c r="B1885" s="672">
        <v>18976</v>
      </c>
      <c r="C1885" s="673" t="s">
        <v>16</v>
      </c>
      <c r="D1885" s="672" t="s">
        <v>17</v>
      </c>
    </row>
    <row r="1886" spans="1:4" x14ac:dyDescent="0.2">
      <c r="A1886" s="672" t="str">
        <f t="shared" si="29"/>
        <v>189</v>
      </c>
      <c r="B1886" s="672">
        <v>18977</v>
      </c>
      <c r="C1886" s="673" t="s">
        <v>16</v>
      </c>
      <c r="D1886" s="672" t="s">
        <v>17</v>
      </c>
    </row>
    <row r="1887" spans="1:4" x14ac:dyDescent="0.2">
      <c r="A1887" s="672" t="str">
        <f t="shared" si="29"/>
        <v>189</v>
      </c>
      <c r="B1887" s="672">
        <v>18979</v>
      </c>
      <c r="C1887" s="673" t="s">
        <v>16</v>
      </c>
      <c r="D1887" s="672" t="s">
        <v>17</v>
      </c>
    </row>
    <row r="1888" spans="1:4" x14ac:dyDescent="0.2">
      <c r="A1888" s="672" t="str">
        <f t="shared" si="29"/>
        <v>189</v>
      </c>
      <c r="B1888" s="672">
        <v>18980</v>
      </c>
      <c r="C1888" s="673" t="s">
        <v>16</v>
      </c>
      <c r="D1888" s="672" t="s">
        <v>17</v>
      </c>
    </row>
    <row r="1889" spans="1:4" x14ac:dyDescent="0.2">
      <c r="A1889" s="672" t="str">
        <f t="shared" si="29"/>
        <v>189</v>
      </c>
      <c r="B1889" s="672">
        <v>18981</v>
      </c>
      <c r="C1889" s="673" t="s">
        <v>16</v>
      </c>
      <c r="D1889" s="672" t="s">
        <v>17</v>
      </c>
    </row>
    <row r="1890" spans="1:4" x14ac:dyDescent="0.2">
      <c r="A1890" s="672" t="str">
        <f t="shared" si="29"/>
        <v>189</v>
      </c>
      <c r="B1890" s="672">
        <v>18991</v>
      </c>
      <c r="C1890" s="673" t="s">
        <v>16</v>
      </c>
      <c r="D1890" s="672" t="s">
        <v>17</v>
      </c>
    </row>
    <row r="1891" spans="1:4" x14ac:dyDescent="0.2">
      <c r="A1891" s="672" t="str">
        <f t="shared" si="29"/>
        <v>190</v>
      </c>
      <c r="B1891" s="672">
        <v>19001</v>
      </c>
      <c r="C1891" s="673" t="s">
        <v>16</v>
      </c>
      <c r="D1891" s="672" t="s">
        <v>17</v>
      </c>
    </row>
    <row r="1892" spans="1:4" x14ac:dyDescent="0.2">
      <c r="A1892" s="672" t="str">
        <f t="shared" si="29"/>
        <v>190</v>
      </c>
      <c r="B1892" s="672">
        <v>19002</v>
      </c>
      <c r="C1892" s="673" t="s">
        <v>16</v>
      </c>
      <c r="D1892" s="672" t="s">
        <v>17</v>
      </c>
    </row>
    <row r="1893" spans="1:4" x14ac:dyDescent="0.2">
      <c r="A1893" s="672" t="str">
        <f t="shared" si="29"/>
        <v>190</v>
      </c>
      <c r="B1893" s="672">
        <v>19003</v>
      </c>
      <c r="C1893" s="673" t="s">
        <v>16</v>
      </c>
      <c r="D1893" s="672" t="s">
        <v>17</v>
      </c>
    </row>
    <row r="1894" spans="1:4" x14ac:dyDescent="0.2">
      <c r="A1894" s="672" t="str">
        <f t="shared" si="29"/>
        <v>190</v>
      </c>
      <c r="B1894" s="672">
        <v>19004</v>
      </c>
      <c r="C1894" s="673" t="s">
        <v>16</v>
      </c>
      <c r="D1894" s="672" t="s">
        <v>17</v>
      </c>
    </row>
    <row r="1895" spans="1:4" x14ac:dyDescent="0.2">
      <c r="A1895" s="672" t="str">
        <f t="shared" si="29"/>
        <v>190</v>
      </c>
      <c r="B1895" s="672">
        <v>19006</v>
      </c>
      <c r="C1895" s="673" t="s">
        <v>16</v>
      </c>
      <c r="D1895" s="672" t="s">
        <v>17</v>
      </c>
    </row>
    <row r="1896" spans="1:4" x14ac:dyDescent="0.2">
      <c r="A1896" s="672" t="str">
        <f t="shared" si="29"/>
        <v>190</v>
      </c>
      <c r="B1896" s="672">
        <v>19007</v>
      </c>
      <c r="C1896" s="673" t="s">
        <v>16</v>
      </c>
      <c r="D1896" s="672" t="s">
        <v>17</v>
      </c>
    </row>
    <row r="1897" spans="1:4" x14ac:dyDescent="0.2">
      <c r="A1897" s="672" t="str">
        <f t="shared" si="29"/>
        <v>190</v>
      </c>
      <c r="B1897" s="672">
        <v>19008</v>
      </c>
      <c r="C1897" s="673" t="s">
        <v>16</v>
      </c>
      <c r="D1897" s="672" t="s">
        <v>17</v>
      </c>
    </row>
    <row r="1898" spans="1:4" x14ac:dyDescent="0.2">
      <c r="A1898" s="672" t="str">
        <f t="shared" si="29"/>
        <v>190</v>
      </c>
      <c r="B1898" s="672">
        <v>19009</v>
      </c>
      <c r="C1898" s="673" t="s">
        <v>16</v>
      </c>
      <c r="D1898" s="672" t="s">
        <v>17</v>
      </c>
    </row>
    <row r="1899" spans="1:4" x14ac:dyDescent="0.2">
      <c r="A1899" s="672" t="str">
        <f t="shared" si="29"/>
        <v>190</v>
      </c>
      <c r="B1899" s="672">
        <v>19010</v>
      </c>
      <c r="C1899" s="673" t="s">
        <v>16</v>
      </c>
      <c r="D1899" s="672" t="s">
        <v>17</v>
      </c>
    </row>
    <row r="1900" spans="1:4" x14ac:dyDescent="0.2">
      <c r="A1900" s="672" t="str">
        <f t="shared" si="29"/>
        <v>190</v>
      </c>
      <c r="B1900" s="672">
        <v>19012</v>
      </c>
      <c r="C1900" s="673" t="s">
        <v>16</v>
      </c>
      <c r="D1900" s="672" t="s">
        <v>17</v>
      </c>
    </row>
    <row r="1901" spans="1:4" x14ac:dyDescent="0.2">
      <c r="A1901" s="672" t="str">
        <f t="shared" si="29"/>
        <v>190</v>
      </c>
      <c r="B1901" s="672">
        <v>19013</v>
      </c>
      <c r="C1901" s="673" t="s">
        <v>16</v>
      </c>
      <c r="D1901" s="672" t="s">
        <v>17</v>
      </c>
    </row>
    <row r="1902" spans="1:4" x14ac:dyDescent="0.2">
      <c r="A1902" s="672" t="str">
        <f t="shared" si="29"/>
        <v>190</v>
      </c>
      <c r="B1902" s="672">
        <v>19014</v>
      </c>
      <c r="C1902" s="673" t="s">
        <v>16</v>
      </c>
      <c r="D1902" s="672" t="s">
        <v>17</v>
      </c>
    </row>
    <row r="1903" spans="1:4" x14ac:dyDescent="0.2">
      <c r="A1903" s="672" t="str">
        <f t="shared" si="29"/>
        <v>190</v>
      </c>
      <c r="B1903" s="672">
        <v>19015</v>
      </c>
      <c r="C1903" s="673" t="s">
        <v>16</v>
      </c>
      <c r="D1903" s="672" t="s">
        <v>17</v>
      </c>
    </row>
    <row r="1904" spans="1:4" x14ac:dyDescent="0.2">
      <c r="A1904" s="672" t="str">
        <f t="shared" si="29"/>
        <v>190</v>
      </c>
      <c r="B1904" s="672">
        <v>19016</v>
      </c>
      <c r="C1904" s="673" t="s">
        <v>16</v>
      </c>
      <c r="D1904" s="672" t="s">
        <v>17</v>
      </c>
    </row>
    <row r="1905" spans="1:4" x14ac:dyDescent="0.2">
      <c r="A1905" s="672" t="str">
        <f t="shared" si="29"/>
        <v>190</v>
      </c>
      <c r="B1905" s="672">
        <v>19017</v>
      </c>
      <c r="C1905" s="673" t="s">
        <v>16</v>
      </c>
      <c r="D1905" s="672" t="s">
        <v>17</v>
      </c>
    </row>
    <row r="1906" spans="1:4" x14ac:dyDescent="0.2">
      <c r="A1906" s="672" t="str">
        <f t="shared" si="29"/>
        <v>190</v>
      </c>
      <c r="B1906" s="672">
        <v>19018</v>
      </c>
      <c r="C1906" s="673" t="s">
        <v>16</v>
      </c>
      <c r="D1906" s="672" t="s">
        <v>17</v>
      </c>
    </row>
    <row r="1907" spans="1:4" x14ac:dyDescent="0.2">
      <c r="A1907" s="672" t="str">
        <f t="shared" si="29"/>
        <v>190</v>
      </c>
      <c r="B1907" s="672">
        <v>19019</v>
      </c>
      <c r="C1907" s="673" t="s">
        <v>16</v>
      </c>
      <c r="D1907" s="672" t="s">
        <v>17</v>
      </c>
    </row>
    <row r="1908" spans="1:4" x14ac:dyDescent="0.2">
      <c r="A1908" s="672" t="str">
        <f t="shared" si="29"/>
        <v>190</v>
      </c>
      <c r="B1908" s="672">
        <v>19020</v>
      </c>
      <c r="C1908" s="673" t="s">
        <v>16</v>
      </c>
      <c r="D1908" s="672" t="s">
        <v>17</v>
      </c>
    </row>
    <row r="1909" spans="1:4" x14ac:dyDescent="0.2">
      <c r="A1909" s="672" t="str">
        <f t="shared" si="29"/>
        <v>190</v>
      </c>
      <c r="B1909" s="672">
        <v>19021</v>
      </c>
      <c r="C1909" s="673" t="s">
        <v>16</v>
      </c>
      <c r="D1909" s="672" t="s">
        <v>17</v>
      </c>
    </row>
    <row r="1910" spans="1:4" x14ac:dyDescent="0.2">
      <c r="A1910" s="672" t="str">
        <f t="shared" si="29"/>
        <v>190</v>
      </c>
      <c r="B1910" s="672">
        <v>19022</v>
      </c>
      <c r="C1910" s="673" t="s">
        <v>16</v>
      </c>
      <c r="D1910" s="672" t="s">
        <v>17</v>
      </c>
    </row>
    <row r="1911" spans="1:4" x14ac:dyDescent="0.2">
      <c r="A1911" s="672" t="str">
        <f t="shared" si="29"/>
        <v>190</v>
      </c>
      <c r="B1911" s="672">
        <v>19023</v>
      </c>
      <c r="C1911" s="673" t="s">
        <v>16</v>
      </c>
      <c r="D1911" s="672" t="s">
        <v>17</v>
      </c>
    </row>
    <row r="1912" spans="1:4" x14ac:dyDescent="0.2">
      <c r="A1912" s="672" t="str">
        <f t="shared" si="29"/>
        <v>190</v>
      </c>
      <c r="B1912" s="672">
        <v>19025</v>
      </c>
      <c r="C1912" s="673" t="s">
        <v>16</v>
      </c>
      <c r="D1912" s="672" t="s">
        <v>17</v>
      </c>
    </row>
    <row r="1913" spans="1:4" x14ac:dyDescent="0.2">
      <c r="A1913" s="672" t="str">
        <f t="shared" si="29"/>
        <v>190</v>
      </c>
      <c r="B1913" s="672">
        <v>19026</v>
      </c>
      <c r="C1913" s="673" t="s">
        <v>16</v>
      </c>
      <c r="D1913" s="672" t="s">
        <v>17</v>
      </c>
    </row>
    <row r="1914" spans="1:4" x14ac:dyDescent="0.2">
      <c r="A1914" s="672" t="str">
        <f t="shared" si="29"/>
        <v>190</v>
      </c>
      <c r="B1914" s="672">
        <v>19027</v>
      </c>
      <c r="C1914" s="673" t="s">
        <v>16</v>
      </c>
      <c r="D1914" s="672" t="s">
        <v>17</v>
      </c>
    </row>
    <row r="1915" spans="1:4" x14ac:dyDescent="0.2">
      <c r="A1915" s="672" t="str">
        <f t="shared" si="29"/>
        <v>190</v>
      </c>
      <c r="B1915" s="672">
        <v>19028</v>
      </c>
      <c r="C1915" s="673" t="s">
        <v>16</v>
      </c>
      <c r="D1915" s="672" t="s">
        <v>17</v>
      </c>
    </row>
    <row r="1916" spans="1:4" x14ac:dyDescent="0.2">
      <c r="A1916" s="672" t="str">
        <f t="shared" si="29"/>
        <v>190</v>
      </c>
      <c r="B1916" s="672">
        <v>19029</v>
      </c>
      <c r="C1916" s="673" t="s">
        <v>16</v>
      </c>
      <c r="D1916" s="672" t="s">
        <v>17</v>
      </c>
    </row>
    <row r="1917" spans="1:4" x14ac:dyDescent="0.2">
      <c r="A1917" s="672" t="str">
        <f t="shared" si="29"/>
        <v>190</v>
      </c>
      <c r="B1917" s="672">
        <v>19030</v>
      </c>
      <c r="C1917" s="673" t="s">
        <v>16</v>
      </c>
      <c r="D1917" s="672" t="s">
        <v>17</v>
      </c>
    </row>
    <row r="1918" spans="1:4" x14ac:dyDescent="0.2">
      <c r="A1918" s="672" t="str">
        <f t="shared" si="29"/>
        <v>190</v>
      </c>
      <c r="B1918" s="672">
        <v>19031</v>
      </c>
      <c r="C1918" s="673" t="s">
        <v>16</v>
      </c>
      <c r="D1918" s="672" t="s">
        <v>17</v>
      </c>
    </row>
    <row r="1919" spans="1:4" x14ac:dyDescent="0.2">
      <c r="A1919" s="672" t="str">
        <f t="shared" si="29"/>
        <v>190</v>
      </c>
      <c r="B1919" s="672">
        <v>19032</v>
      </c>
      <c r="C1919" s="673" t="s">
        <v>16</v>
      </c>
      <c r="D1919" s="672" t="s">
        <v>17</v>
      </c>
    </row>
    <row r="1920" spans="1:4" x14ac:dyDescent="0.2">
      <c r="A1920" s="672" t="str">
        <f t="shared" si="29"/>
        <v>190</v>
      </c>
      <c r="B1920" s="672">
        <v>19033</v>
      </c>
      <c r="C1920" s="673" t="s">
        <v>16</v>
      </c>
      <c r="D1920" s="672" t="s">
        <v>17</v>
      </c>
    </row>
    <row r="1921" spans="1:4" x14ac:dyDescent="0.2">
      <c r="A1921" s="672" t="str">
        <f t="shared" si="29"/>
        <v>190</v>
      </c>
      <c r="B1921" s="672">
        <v>19034</v>
      </c>
      <c r="C1921" s="673" t="s">
        <v>16</v>
      </c>
      <c r="D1921" s="672" t="s">
        <v>17</v>
      </c>
    </row>
    <row r="1922" spans="1:4" x14ac:dyDescent="0.2">
      <c r="A1922" s="672" t="str">
        <f t="shared" ref="A1922:A1985" si="30">LEFT(B1922,3)</f>
        <v>190</v>
      </c>
      <c r="B1922" s="672">
        <v>19035</v>
      </c>
      <c r="C1922" s="673" t="s">
        <v>16</v>
      </c>
      <c r="D1922" s="672" t="s">
        <v>17</v>
      </c>
    </row>
    <row r="1923" spans="1:4" x14ac:dyDescent="0.2">
      <c r="A1923" s="672" t="str">
        <f t="shared" si="30"/>
        <v>190</v>
      </c>
      <c r="B1923" s="672">
        <v>19036</v>
      </c>
      <c r="C1923" s="673" t="s">
        <v>16</v>
      </c>
      <c r="D1923" s="672" t="s">
        <v>17</v>
      </c>
    </row>
    <row r="1924" spans="1:4" x14ac:dyDescent="0.2">
      <c r="A1924" s="672" t="str">
        <f t="shared" si="30"/>
        <v>190</v>
      </c>
      <c r="B1924" s="672">
        <v>19037</v>
      </c>
      <c r="C1924" s="673" t="s">
        <v>16</v>
      </c>
      <c r="D1924" s="672" t="s">
        <v>17</v>
      </c>
    </row>
    <row r="1925" spans="1:4" x14ac:dyDescent="0.2">
      <c r="A1925" s="672" t="str">
        <f t="shared" si="30"/>
        <v>190</v>
      </c>
      <c r="B1925" s="672">
        <v>19038</v>
      </c>
      <c r="C1925" s="673" t="s">
        <v>16</v>
      </c>
      <c r="D1925" s="672" t="s">
        <v>17</v>
      </c>
    </row>
    <row r="1926" spans="1:4" x14ac:dyDescent="0.2">
      <c r="A1926" s="672" t="str">
        <f t="shared" si="30"/>
        <v>190</v>
      </c>
      <c r="B1926" s="672">
        <v>19039</v>
      </c>
      <c r="C1926" s="673" t="s">
        <v>16</v>
      </c>
      <c r="D1926" s="672" t="s">
        <v>17</v>
      </c>
    </row>
    <row r="1927" spans="1:4" x14ac:dyDescent="0.2">
      <c r="A1927" s="672" t="str">
        <f t="shared" si="30"/>
        <v>190</v>
      </c>
      <c r="B1927" s="672">
        <v>19040</v>
      </c>
      <c r="C1927" s="673" t="s">
        <v>16</v>
      </c>
      <c r="D1927" s="672" t="s">
        <v>17</v>
      </c>
    </row>
    <row r="1928" spans="1:4" x14ac:dyDescent="0.2">
      <c r="A1928" s="672" t="str">
        <f t="shared" si="30"/>
        <v>190</v>
      </c>
      <c r="B1928" s="672">
        <v>19041</v>
      </c>
      <c r="C1928" s="673" t="s">
        <v>16</v>
      </c>
      <c r="D1928" s="672" t="s">
        <v>17</v>
      </c>
    </row>
    <row r="1929" spans="1:4" x14ac:dyDescent="0.2">
      <c r="A1929" s="672" t="str">
        <f t="shared" si="30"/>
        <v>190</v>
      </c>
      <c r="B1929" s="672">
        <v>19043</v>
      </c>
      <c r="C1929" s="673" t="s">
        <v>16</v>
      </c>
      <c r="D1929" s="672" t="s">
        <v>17</v>
      </c>
    </row>
    <row r="1930" spans="1:4" x14ac:dyDescent="0.2">
      <c r="A1930" s="672" t="str">
        <f t="shared" si="30"/>
        <v>190</v>
      </c>
      <c r="B1930" s="672">
        <v>19044</v>
      </c>
      <c r="C1930" s="673" t="s">
        <v>16</v>
      </c>
      <c r="D1930" s="672" t="s">
        <v>17</v>
      </c>
    </row>
    <row r="1931" spans="1:4" x14ac:dyDescent="0.2">
      <c r="A1931" s="672" t="str">
        <f t="shared" si="30"/>
        <v>190</v>
      </c>
      <c r="B1931" s="672">
        <v>19046</v>
      </c>
      <c r="C1931" s="673" t="s">
        <v>16</v>
      </c>
      <c r="D1931" s="672" t="s">
        <v>17</v>
      </c>
    </row>
    <row r="1932" spans="1:4" x14ac:dyDescent="0.2">
      <c r="A1932" s="672" t="str">
        <f t="shared" si="30"/>
        <v>190</v>
      </c>
      <c r="B1932" s="672">
        <v>19047</v>
      </c>
      <c r="C1932" s="673" t="s">
        <v>16</v>
      </c>
      <c r="D1932" s="672" t="s">
        <v>17</v>
      </c>
    </row>
    <row r="1933" spans="1:4" x14ac:dyDescent="0.2">
      <c r="A1933" s="672" t="str">
        <f t="shared" si="30"/>
        <v>190</v>
      </c>
      <c r="B1933" s="672">
        <v>19048</v>
      </c>
      <c r="C1933" s="673" t="s">
        <v>16</v>
      </c>
      <c r="D1933" s="672" t="s">
        <v>17</v>
      </c>
    </row>
    <row r="1934" spans="1:4" x14ac:dyDescent="0.2">
      <c r="A1934" s="672" t="str">
        <f t="shared" si="30"/>
        <v>190</v>
      </c>
      <c r="B1934" s="672">
        <v>19049</v>
      </c>
      <c r="C1934" s="673" t="s">
        <v>16</v>
      </c>
      <c r="D1934" s="672" t="s">
        <v>17</v>
      </c>
    </row>
    <row r="1935" spans="1:4" x14ac:dyDescent="0.2">
      <c r="A1935" s="672" t="str">
        <f t="shared" si="30"/>
        <v>190</v>
      </c>
      <c r="B1935" s="672">
        <v>19050</v>
      </c>
      <c r="C1935" s="673" t="s">
        <v>16</v>
      </c>
      <c r="D1935" s="672" t="s">
        <v>17</v>
      </c>
    </row>
    <row r="1936" spans="1:4" x14ac:dyDescent="0.2">
      <c r="A1936" s="672" t="str">
        <f t="shared" si="30"/>
        <v>190</v>
      </c>
      <c r="B1936" s="672">
        <v>19052</v>
      </c>
      <c r="C1936" s="673" t="s">
        <v>16</v>
      </c>
      <c r="D1936" s="672" t="s">
        <v>17</v>
      </c>
    </row>
    <row r="1937" spans="1:4" x14ac:dyDescent="0.2">
      <c r="A1937" s="672" t="str">
        <f t="shared" si="30"/>
        <v>190</v>
      </c>
      <c r="B1937" s="672">
        <v>19053</v>
      </c>
      <c r="C1937" s="673" t="s">
        <v>16</v>
      </c>
      <c r="D1937" s="672" t="s">
        <v>17</v>
      </c>
    </row>
    <row r="1938" spans="1:4" x14ac:dyDescent="0.2">
      <c r="A1938" s="672" t="str">
        <f t="shared" si="30"/>
        <v>190</v>
      </c>
      <c r="B1938" s="672">
        <v>19054</v>
      </c>
      <c r="C1938" s="673" t="s">
        <v>16</v>
      </c>
      <c r="D1938" s="672" t="s">
        <v>17</v>
      </c>
    </row>
    <row r="1939" spans="1:4" x14ac:dyDescent="0.2">
      <c r="A1939" s="672" t="str">
        <f t="shared" si="30"/>
        <v>190</v>
      </c>
      <c r="B1939" s="672">
        <v>19055</v>
      </c>
      <c r="C1939" s="673" t="s">
        <v>16</v>
      </c>
      <c r="D1939" s="672" t="s">
        <v>17</v>
      </c>
    </row>
    <row r="1940" spans="1:4" x14ac:dyDescent="0.2">
      <c r="A1940" s="672" t="str">
        <f t="shared" si="30"/>
        <v>190</v>
      </c>
      <c r="B1940" s="672">
        <v>19056</v>
      </c>
      <c r="C1940" s="673" t="s">
        <v>16</v>
      </c>
      <c r="D1940" s="672" t="s">
        <v>17</v>
      </c>
    </row>
    <row r="1941" spans="1:4" x14ac:dyDescent="0.2">
      <c r="A1941" s="672" t="str">
        <f t="shared" si="30"/>
        <v>190</v>
      </c>
      <c r="B1941" s="672">
        <v>19057</v>
      </c>
      <c r="C1941" s="673" t="s">
        <v>16</v>
      </c>
      <c r="D1941" s="672" t="s">
        <v>17</v>
      </c>
    </row>
    <row r="1942" spans="1:4" x14ac:dyDescent="0.2">
      <c r="A1942" s="672" t="str">
        <f t="shared" si="30"/>
        <v>190</v>
      </c>
      <c r="B1942" s="672">
        <v>19058</v>
      </c>
      <c r="C1942" s="673" t="s">
        <v>16</v>
      </c>
      <c r="D1942" s="672" t="s">
        <v>17</v>
      </c>
    </row>
    <row r="1943" spans="1:4" x14ac:dyDescent="0.2">
      <c r="A1943" s="672" t="str">
        <f t="shared" si="30"/>
        <v>190</v>
      </c>
      <c r="B1943" s="672">
        <v>19059</v>
      </c>
      <c r="C1943" s="673" t="s">
        <v>16</v>
      </c>
      <c r="D1943" s="672" t="s">
        <v>17</v>
      </c>
    </row>
    <row r="1944" spans="1:4" x14ac:dyDescent="0.2">
      <c r="A1944" s="672" t="str">
        <f t="shared" si="30"/>
        <v>190</v>
      </c>
      <c r="B1944" s="672">
        <v>19060</v>
      </c>
      <c r="C1944" s="673" t="s">
        <v>16</v>
      </c>
      <c r="D1944" s="672" t="s">
        <v>17</v>
      </c>
    </row>
    <row r="1945" spans="1:4" x14ac:dyDescent="0.2">
      <c r="A1945" s="672" t="str">
        <f t="shared" si="30"/>
        <v>190</v>
      </c>
      <c r="B1945" s="672">
        <v>19061</v>
      </c>
      <c r="C1945" s="673" t="s">
        <v>16</v>
      </c>
      <c r="D1945" s="672" t="s">
        <v>17</v>
      </c>
    </row>
    <row r="1946" spans="1:4" x14ac:dyDescent="0.2">
      <c r="A1946" s="672" t="str">
        <f t="shared" si="30"/>
        <v>190</v>
      </c>
      <c r="B1946" s="672">
        <v>19063</v>
      </c>
      <c r="C1946" s="673" t="s">
        <v>16</v>
      </c>
      <c r="D1946" s="672" t="s">
        <v>17</v>
      </c>
    </row>
    <row r="1947" spans="1:4" x14ac:dyDescent="0.2">
      <c r="A1947" s="672" t="str">
        <f t="shared" si="30"/>
        <v>190</v>
      </c>
      <c r="B1947" s="672">
        <v>19064</v>
      </c>
      <c r="C1947" s="673" t="s">
        <v>16</v>
      </c>
      <c r="D1947" s="672" t="s">
        <v>17</v>
      </c>
    </row>
    <row r="1948" spans="1:4" x14ac:dyDescent="0.2">
      <c r="A1948" s="672" t="str">
        <f t="shared" si="30"/>
        <v>190</v>
      </c>
      <c r="B1948" s="672">
        <v>19065</v>
      </c>
      <c r="C1948" s="673" t="s">
        <v>16</v>
      </c>
      <c r="D1948" s="672" t="s">
        <v>17</v>
      </c>
    </row>
    <row r="1949" spans="1:4" x14ac:dyDescent="0.2">
      <c r="A1949" s="672" t="str">
        <f t="shared" si="30"/>
        <v>190</v>
      </c>
      <c r="B1949" s="672">
        <v>19066</v>
      </c>
      <c r="C1949" s="673" t="s">
        <v>16</v>
      </c>
      <c r="D1949" s="672" t="s">
        <v>17</v>
      </c>
    </row>
    <row r="1950" spans="1:4" x14ac:dyDescent="0.2">
      <c r="A1950" s="672" t="str">
        <f t="shared" si="30"/>
        <v>190</v>
      </c>
      <c r="B1950" s="672">
        <v>19067</v>
      </c>
      <c r="C1950" s="673" t="s">
        <v>16</v>
      </c>
      <c r="D1950" s="672" t="s">
        <v>17</v>
      </c>
    </row>
    <row r="1951" spans="1:4" x14ac:dyDescent="0.2">
      <c r="A1951" s="672" t="str">
        <f t="shared" si="30"/>
        <v>190</v>
      </c>
      <c r="B1951" s="672">
        <v>19070</v>
      </c>
      <c r="C1951" s="673" t="s">
        <v>16</v>
      </c>
      <c r="D1951" s="672" t="s">
        <v>17</v>
      </c>
    </row>
    <row r="1952" spans="1:4" x14ac:dyDescent="0.2">
      <c r="A1952" s="672" t="str">
        <f t="shared" si="30"/>
        <v>190</v>
      </c>
      <c r="B1952" s="672">
        <v>19072</v>
      </c>
      <c r="C1952" s="673" t="s">
        <v>16</v>
      </c>
      <c r="D1952" s="672" t="s">
        <v>17</v>
      </c>
    </row>
    <row r="1953" spans="1:4" x14ac:dyDescent="0.2">
      <c r="A1953" s="672" t="str">
        <f t="shared" si="30"/>
        <v>190</v>
      </c>
      <c r="B1953" s="672">
        <v>19073</v>
      </c>
      <c r="C1953" s="673" t="s">
        <v>16</v>
      </c>
      <c r="D1953" s="672" t="s">
        <v>17</v>
      </c>
    </row>
    <row r="1954" spans="1:4" x14ac:dyDescent="0.2">
      <c r="A1954" s="672" t="str">
        <f t="shared" si="30"/>
        <v>190</v>
      </c>
      <c r="B1954" s="672">
        <v>19074</v>
      </c>
      <c r="C1954" s="673" t="s">
        <v>16</v>
      </c>
      <c r="D1954" s="672" t="s">
        <v>17</v>
      </c>
    </row>
    <row r="1955" spans="1:4" x14ac:dyDescent="0.2">
      <c r="A1955" s="672" t="str">
        <f t="shared" si="30"/>
        <v>190</v>
      </c>
      <c r="B1955" s="672">
        <v>19075</v>
      </c>
      <c r="C1955" s="673" t="s">
        <v>16</v>
      </c>
      <c r="D1955" s="672" t="s">
        <v>17</v>
      </c>
    </row>
    <row r="1956" spans="1:4" x14ac:dyDescent="0.2">
      <c r="A1956" s="672" t="str">
        <f t="shared" si="30"/>
        <v>190</v>
      </c>
      <c r="B1956" s="672">
        <v>19076</v>
      </c>
      <c r="C1956" s="673" t="s">
        <v>16</v>
      </c>
      <c r="D1956" s="672" t="s">
        <v>17</v>
      </c>
    </row>
    <row r="1957" spans="1:4" x14ac:dyDescent="0.2">
      <c r="A1957" s="672" t="str">
        <f t="shared" si="30"/>
        <v>190</v>
      </c>
      <c r="B1957" s="672">
        <v>19078</v>
      </c>
      <c r="C1957" s="673" t="s">
        <v>16</v>
      </c>
      <c r="D1957" s="672" t="s">
        <v>17</v>
      </c>
    </row>
    <row r="1958" spans="1:4" x14ac:dyDescent="0.2">
      <c r="A1958" s="672" t="str">
        <f t="shared" si="30"/>
        <v>190</v>
      </c>
      <c r="B1958" s="672">
        <v>19079</v>
      </c>
      <c r="C1958" s="673" t="s">
        <v>16</v>
      </c>
      <c r="D1958" s="672" t="s">
        <v>17</v>
      </c>
    </row>
    <row r="1959" spans="1:4" x14ac:dyDescent="0.2">
      <c r="A1959" s="672" t="str">
        <f t="shared" si="30"/>
        <v>190</v>
      </c>
      <c r="B1959" s="672">
        <v>19080</v>
      </c>
      <c r="C1959" s="673" t="s">
        <v>16</v>
      </c>
      <c r="D1959" s="672" t="s">
        <v>17</v>
      </c>
    </row>
    <row r="1960" spans="1:4" x14ac:dyDescent="0.2">
      <c r="A1960" s="672" t="str">
        <f t="shared" si="30"/>
        <v>190</v>
      </c>
      <c r="B1960" s="672">
        <v>19081</v>
      </c>
      <c r="C1960" s="673" t="s">
        <v>16</v>
      </c>
      <c r="D1960" s="672" t="s">
        <v>17</v>
      </c>
    </row>
    <row r="1961" spans="1:4" x14ac:dyDescent="0.2">
      <c r="A1961" s="672" t="str">
        <f t="shared" si="30"/>
        <v>190</v>
      </c>
      <c r="B1961" s="672">
        <v>19082</v>
      </c>
      <c r="C1961" s="673" t="s">
        <v>16</v>
      </c>
      <c r="D1961" s="672" t="s">
        <v>17</v>
      </c>
    </row>
    <row r="1962" spans="1:4" x14ac:dyDescent="0.2">
      <c r="A1962" s="672" t="str">
        <f t="shared" si="30"/>
        <v>190</v>
      </c>
      <c r="B1962" s="672">
        <v>19083</v>
      </c>
      <c r="C1962" s="673" t="s">
        <v>16</v>
      </c>
      <c r="D1962" s="672" t="s">
        <v>17</v>
      </c>
    </row>
    <row r="1963" spans="1:4" x14ac:dyDescent="0.2">
      <c r="A1963" s="672" t="str">
        <f t="shared" si="30"/>
        <v>190</v>
      </c>
      <c r="B1963" s="672">
        <v>19085</v>
      </c>
      <c r="C1963" s="673" t="s">
        <v>16</v>
      </c>
      <c r="D1963" s="672" t="s">
        <v>17</v>
      </c>
    </row>
    <row r="1964" spans="1:4" x14ac:dyDescent="0.2">
      <c r="A1964" s="672" t="str">
        <f t="shared" si="30"/>
        <v>190</v>
      </c>
      <c r="B1964" s="672">
        <v>19086</v>
      </c>
      <c r="C1964" s="673" t="s">
        <v>16</v>
      </c>
      <c r="D1964" s="672" t="s">
        <v>17</v>
      </c>
    </row>
    <row r="1965" spans="1:4" x14ac:dyDescent="0.2">
      <c r="A1965" s="672" t="str">
        <f t="shared" si="30"/>
        <v>190</v>
      </c>
      <c r="B1965" s="672">
        <v>19087</v>
      </c>
      <c r="C1965" s="673" t="s">
        <v>16</v>
      </c>
      <c r="D1965" s="672" t="s">
        <v>17</v>
      </c>
    </row>
    <row r="1966" spans="1:4" x14ac:dyDescent="0.2">
      <c r="A1966" s="672" t="str">
        <f t="shared" si="30"/>
        <v>190</v>
      </c>
      <c r="B1966" s="672">
        <v>19088</v>
      </c>
      <c r="C1966" s="673" t="s">
        <v>16</v>
      </c>
      <c r="D1966" s="672" t="s">
        <v>17</v>
      </c>
    </row>
    <row r="1967" spans="1:4" x14ac:dyDescent="0.2">
      <c r="A1967" s="672" t="str">
        <f t="shared" si="30"/>
        <v>190</v>
      </c>
      <c r="B1967" s="672">
        <v>19089</v>
      </c>
      <c r="C1967" s="673" t="s">
        <v>16</v>
      </c>
      <c r="D1967" s="672" t="s">
        <v>17</v>
      </c>
    </row>
    <row r="1968" spans="1:4" x14ac:dyDescent="0.2">
      <c r="A1968" s="672" t="str">
        <f t="shared" si="30"/>
        <v>190</v>
      </c>
      <c r="B1968" s="672">
        <v>19090</v>
      </c>
      <c r="C1968" s="673" t="s">
        <v>16</v>
      </c>
      <c r="D1968" s="672" t="s">
        <v>17</v>
      </c>
    </row>
    <row r="1969" spans="1:4" x14ac:dyDescent="0.2">
      <c r="A1969" s="672" t="str">
        <f t="shared" si="30"/>
        <v>190</v>
      </c>
      <c r="B1969" s="672">
        <v>19091</v>
      </c>
      <c r="C1969" s="673" t="s">
        <v>16</v>
      </c>
      <c r="D1969" s="672" t="s">
        <v>17</v>
      </c>
    </row>
    <row r="1970" spans="1:4" x14ac:dyDescent="0.2">
      <c r="A1970" s="672" t="str">
        <f t="shared" si="30"/>
        <v>190</v>
      </c>
      <c r="B1970" s="672">
        <v>19092</v>
      </c>
      <c r="C1970" s="673" t="s">
        <v>16</v>
      </c>
      <c r="D1970" s="672" t="s">
        <v>17</v>
      </c>
    </row>
    <row r="1971" spans="1:4" x14ac:dyDescent="0.2">
      <c r="A1971" s="672" t="str">
        <f t="shared" si="30"/>
        <v>190</v>
      </c>
      <c r="B1971" s="672">
        <v>19093</v>
      </c>
      <c r="C1971" s="673" t="s">
        <v>16</v>
      </c>
      <c r="D1971" s="672" t="s">
        <v>17</v>
      </c>
    </row>
    <row r="1972" spans="1:4" x14ac:dyDescent="0.2">
      <c r="A1972" s="672" t="str">
        <f t="shared" si="30"/>
        <v>190</v>
      </c>
      <c r="B1972" s="672">
        <v>19094</v>
      </c>
      <c r="C1972" s="673" t="s">
        <v>16</v>
      </c>
      <c r="D1972" s="672" t="s">
        <v>17</v>
      </c>
    </row>
    <row r="1973" spans="1:4" x14ac:dyDescent="0.2">
      <c r="A1973" s="672" t="str">
        <f t="shared" si="30"/>
        <v>190</v>
      </c>
      <c r="B1973" s="672">
        <v>19095</v>
      </c>
      <c r="C1973" s="673" t="s">
        <v>16</v>
      </c>
      <c r="D1973" s="672" t="s">
        <v>17</v>
      </c>
    </row>
    <row r="1974" spans="1:4" x14ac:dyDescent="0.2">
      <c r="A1974" s="672" t="str">
        <f t="shared" si="30"/>
        <v>190</v>
      </c>
      <c r="B1974" s="672">
        <v>19096</v>
      </c>
      <c r="C1974" s="673" t="s">
        <v>16</v>
      </c>
      <c r="D1974" s="672" t="s">
        <v>17</v>
      </c>
    </row>
    <row r="1975" spans="1:4" x14ac:dyDescent="0.2">
      <c r="A1975" s="672" t="str">
        <f t="shared" si="30"/>
        <v>190</v>
      </c>
      <c r="B1975" s="672">
        <v>19098</v>
      </c>
      <c r="C1975" s="673" t="s">
        <v>16</v>
      </c>
      <c r="D1975" s="672" t="s">
        <v>17</v>
      </c>
    </row>
    <row r="1976" spans="1:4" x14ac:dyDescent="0.2">
      <c r="A1976" s="672" t="str">
        <f t="shared" si="30"/>
        <v>190</v>
      </c>
      <c r="B1976" s="672">
        <v>19099</v>
      </c>
      <c r="C1976" s="673" t="s">
        <v>16</v>
      </c>
      <c r="D1976" s="672" t="s">
        <v>17</v>
      </c>
    </row>
    <row r="1977" spans="1:4" x14ac:dyDescent="0.2">
      <c r="A1977" s="672" t="str">
        <f t="shared" si="30"/>
        <v>191</v>
      </c>
      <c r="B1977" s="672">
        <v>19101</v>
      </c>
      <c r="C1977" s="673" t="s">
        <v>16</v>
      </c>
      <c r="D1977" s="672" t="s">
        <v>17</v>
      </c>
    </row>
    <row r="1978" spans="1:4" x14ac:dyDescent="0.2">
      <c r="A1978" s="672" t="str">
        <f t="shared" si="30"/>
        <v>191</v>
      </c>
      <c r="B1978" s="672">
        <v>19102</v>
      </c>
      <c r="C1978" s="673" t="s">
        <v>16</v>
      </c>
      <c r="D1978" s="672" t="s">
        <v>17</v>
      </c>
    </row>
    <row r="1979" spans="1:4" x14ac:dyDescent="0.2">
      <c r="A1979" s="672" t="str">
        <f t="shared" si="30"/>
        <v>191</v>
      </c>
      <c r="B1979" s="672">
        <v>19103</v>
      </c>
      <c r="C1979" s="673" t="s">
        <v>16</v>
      </c>
      <c r="D1979" s="672" t="s">
        <v>17</v>
      </c>
    </row>
    <row r="1980" spans="1:4" x14ac:dyDescent="0.2">
      <c r="A1980" s="672" t="str">
        <f t="shared" si="30"/>
        <v>191</v>
      </c>
      <c r="B1980" s="672">
        <v>19104</v>
      </c>
      <c r="C1980" s="673" t="s">
        <v>16</v>
      </c>
      <c r="D1980" s="672" t="s">
        <v>17</v>
      </c>
    </row>
    <row r="1981" spans="1:4" x14ac:dyDescent="0.2">
      <c r="A1981" s="672" t="str">
        <f t="shared" si="30"/>
        <v>191</v>
      </c>
      <c r="B1981" s="672">
        <v>19105</v>
      </c>
      <c r="C1981" s="673" t="s">
        <v>16</v>
      </c>
      <c r="D1981" s="672" t="s">
        <v>17</v>
      </c>
    </row>
    <row r="1982" spans="1:4" x14ac:dyDescent="0.2">
      <c r="A1982" s="672" t="str">
        <f t="shared" si="30"/>
        <v>191</v>
      </c>
      <c r="B1982" s="672">
        <v>19106</v>
      </c>
      <c r="C1982" s="673" t="s">
        <v>16</v>
      </c>
      <c r="D1982" s="672" t="s">
        <v>17</v>
      </c>
    </row>
    <row r="1983" spans="1:4" x14ac:dyDescent="0.2">
      <c r="A1983" s="672" t="str">
        <f t="shared" si="30"/>
        <v>191</v>
      </c>
      <c r="B1983" s="672">
        <v>19107</v>
      </c>
      <c r="C1983" s="673" t="s">
        <v>16</v>
      </c>
      <c r="D1983" s="672" t="s">
        <v>17</v>
      </c>
    </row>
    <row r="1984" spans="1:4" x14ac:dyDescent="0.2">
      <c r="A1984" s="672" t="str">
        <f t="shared" si="30"/>
        <v>191</v>
      </c>
      <c r="B1984" s="672">
        <v>19108</v>
      </c>
      <c r="C1984" s="673" t="s">
        <v>16</v>
      </c>
      <c r="D1984" s="672" t="s">
        <v>17</v>
      </c>
    </row>
    <row r="1985" spans="1:4" x14ac:dyDescent="0.2">
      <c r="A1985" s="672" t="str">
        <f t="shared" si="30"/>
        <v>191</v>
      </c>
      <c r="B1985" s="672">
        <v>19109</v>
      </c>
      <c r="C1985" s="673" t="s">
        <v>16</v>
      </c>
      <c r="D1985" s="672" t="s">
        <v>17</v>
      </c>
    </row>
    <row r="1986" spans="1:4" x14ac:dyDescent="0.2">
      <c r="A1986" s="672" t="str">
        <f t="shared" ref="A1986:A2049" si="31">LEFT(B1986,3)</f>
        <v>191</v>
      </c>
      <c r="B1986" s="672">
        <v>19110</v>
      </c>
      <c r="C1986" s="673" t="s">
        <v>16</v>
      </c>
      <c r="D1986" s="672" t="s">
        <v>17</v>
      </c>
    </row>
    <row r="1987" spans="1:4" x14ac:dyDescent="0.2">
      <c r="A1987" s="672" t="str">
        <f t="shared" si="31"/>
        <v>191</v>
      </c>
      <c r="B1987" s="672">
        <v>19111</v>
      </c>
      <c r="C1987" s="673" t="s">
        <v>16</v>
      </c>
      <c r="D1987" s="672" t="s">
        <v>17</v>
      </c>
    </row>
    <row r="1988" spans="1:4" x14ac:dyDescent="0.2">
      <c r="A1988" s="672" t="str">
        <f t="shared" si="31"/>
        <v>191</v>
      </c>
      <c r="B1988" s="672">
        <v>19112</v>
      </c>
      <c r="C1988" s="673" t="s">
        <v>16</v>
      </c>
      <c r="D1988" s="672" t="s">
        <v>17</v>
      </c>
    </row>
    <row r="1989" spans="1:4" x14ac:dyDescent="0.2">
      <c r="A1989" s="672" t="str">
        <f t="shared" si="31"/>
        <v>191</v>
      </c>
      <c r="B1989" s="672">
        <v>19113</v>
      </c>
      <c r="C1989" s="673" t="s">
        <v>16</v>
      </c>
      <c r="D1989" s="672" t="s">
        <v>17</v>
      </c>
    </row>
    <row r="1990" spans="1:4" x14ac:dyDescent="0.2">
      <c r="A1990" s="672" t="str">
        <f t="shared" si="31"/>
        <v>191</v>
      </c>
      <c r="B1990" s="672">
        <v>19114</v>
      </c>
      <c r="C1990" s="673" t="s">
        <v>16</v>
      </c>
      <c r="D1990" s="672" t="s">
        <v>17</v>
      </c>
    </row>
    <row r="1991" spans="1:4" x14ac:dyDescent="0.2">
      <c r="A1991" s="672" t="str">
        <f t="shared" si="31"/>
        <v>191</v>
      </c>
      <c r="B1991" s="672">
        <v>19115</v>
      </c>
      <c r="C1991" s="673" t="s">
        <v>16</v>
      </c>
      <c r="D1991" s="672" t="s">
        <v>17</v>
      </c>
    </row>
    <row r="1992" spans="1:4" x14ac:dyDescent="0.2">
      <c r="A1992" s="672" t="str">
        <f t="shared" si="31"/>
        <v>191</v>
      </c>
      <c r="B1992" s="672">
        <v>19116</v>
      </c>
      <c r="C1992" s="673" t="s">
        <v>16</v>
      </c>
      <c r="D1992" s="672" t="s">
        <v>17</v>
      </c>
    </row>
    <row r="1993" spans="1:4" x14ac:dyDescent="0.2">
      <c r="A1993" s="672" t="str">
        <f t="shared" si="31"/>
        <v>191</v>
      </c>
      <c r="B1993" s="672">
        <v>19118</v>
      </c>
      <c r="C1993" s="673" t="s">
        <v>16</v>
      </c>
      <c r="D1993" s="672" t="s">
        <v>17</v>
      </c>
    </row>
    <row r="1994" spans="1:4" x14ac:dyDescent="0.2">
      <c r="A1994" s="672" t="str">
        <f t="shared" si="31"/>
        <v>191</v>
      </c>
      <c r="B1994" s="672">
        <v>19119</v>
      </c>
      <c r="C1994" s="673" t="s">
        <v>16</v>
      </c>
      <c r="D1994" s="672" t="s">
        <v>17</v>
      </c>
    </row>
    <row r="1995" spans="1:4" x14ac:dyDescent="0.2">
      <c r="A1995" s="672" t="str">
        <f t="shared" si="31"/>
        <v>191</v>
      </c>
      <c r="B1995" s="672">
        <v>19120</v>
      </c>
      <c r="C1995" s="673" t="s">
        <v>16</v>
      </c>
      <c r="D1995" s="672" t="s">
        <v>17</v>
      </c>
    </row>
    <row r="1996" spans="1:4" x14ac:dyDescent="0.2">
      <c r="A1996" s="672" t="str">
        <f t="shared" si="31"/>
        <v>191</v>
      </c>
      <c r="B1996" s="672">
        <v>19121</v>
      </c>
      <c r="C1996" s="673" t="s">
        <v>16</v>
      </c>
      <c r="D1996" s="672" t="s">
        <v>17</v>
      </c>
    </row>
    <row r="1997" spans="1:4" x14ac:dyDescent="0.2">
      <c r="A1997" s="672" t="str">
        <f t="shared" si="31"/>
        <v>191</v>
      </c>
      <c r="B1997" s="672">
        <v>19122</v>
      </c>
      <c r="C1997" s="673" t="s">
        <v>16</v>
      </c>
      <c r="D1997" s="672" t="s">
        <v>17</v>
      </c>
    </row>
    <row r="1998" spans="1:4" x14ac:dyDescent="0.2">
      <c r="A1998" s="672" t="str">
        <f t="shared" si="31"/>
        <v>191</v>
      </c>
      <c r="B1998" s="672">
        <v>19123</v>
      </c>
      <c r="C1998" s="673" t="s">
        <v>16</v>
      </c>
      <c r="D1998" s="672" t="s">
        <v>17</v>
      </c>
    </row>
    <row r="1999" spans="1:4" x14ac:dyDescent="0.2">
      <c r="A1999" s="672" t="str">
        <f t="shared" si="31"/>
        <v>191</v>
      </c>
      <c r="B1999" s="672">
        <v>19124</v>
      </c>
      <c r="C1999" s="673" t="s">
        <v>16</v>
      </c>
      <c r="D1999" s="672" t="s">
        <v>17</v>
      </c>
    </row>
    <row r="2000" spans="1:4" x14ac:dyDescent="0.2">
      <c r="A2000" s="672" t="str">
        <f t="shared" si="31"/>
        <v>191</v>
      </c>
      <c r="B2000" s="672">
        <v>19125</v>
      </c>
      <c r="C2000" s="673" t="s">
        <v>16</v>
      </c>
      <c r="D2000" s="672" t="s">
        <v>17</v>
      </c>
    </row>
    <row r="2001" spans="1:4" x14ac:dyDescent="0.2">
      <c r="A2001" s="672" t="str">
        <f t="shared" si="31"/>
        <v>191</v>
      </c>
      <c r="B2001" s="672">
        <v>19126</v>
      </c>
      <c r="C2001" s="673" t="s">
        <v>16</v>
      </c>
      <c r="D2001" s="672" t="s">
        <v>17</v>
      </c>
    </row>
    <row r="2002" spans="1:4" x14ac:dyDescent="0.2">
      <c r="A2002" s="672" t="str">
        <f t="shared" si="31"/>
        <v>191</v>
      </c>
      <c r="B2002" s="672">
        <v>19127</v>
      </c>
      <c r="C2002" s="673" t="s">
        <v>16</v>
      </c>
      <c r="D2002" s="672" t="s">
        <v>17</v>
      </c>
    </row>
    <row r="2003" spans="1:4" x14ac:dyDescent="0.2">
      <c r="A2003" s="672" t="str">
        <f t="shared" si="31"/>
        <v>191</v>
      </c>
      <c r="B2003" s="672">
        <v>19128</v>
      </c>
      <c r="C2003" s="673" t="s">
        <v>16</v>
      </c>
      <c r="D2003" s="672" t="s">
        <v>17</v>
      </c>
    </row>
    <row r="2004" spans="1:4" x14ac:dyDescent="0.2">
      <c r="A2004" s="672" t="str">
        <f t="shared" si="31"/>
        <v>191</v>
      </c>
      <c r="B2004" s="672">
        <v>19129</v>
      </c>
      <c r="C2004" s="673" t="s">
        <v>16</v>
      </c>
      <c r="D2004" s="672" t="s">
        <v>17</v>
      </c>
    </row>
    <row r="2005" spans="1:4" x14ac:dyDescent="0.2">
      <c r="A2005" s="672" t="str">
        <f t="shared" si="31"/>
        <v>191</v>
      </c>
      <c r="B2005" s="672">
        <v>19130</v>
      </c>
      <c r="C2005" s="673" t="s">
        <v>16</v>
      </c>
      <c r="D2005" s="672" t="s">
        <v>17</v>
      </c>
    </row>
    <row r="2006" spans="1:4" x14ac:dyDescent="0.2">
      <c r="A2006" s="672" t="str">
        <f t="shared" si="31"/>
        <v>191</v>
      </c>
      <c r="B2006" s="672">
        <v>19131</v>
      </c>
      <c r="C2006" s="673" t="s">
        <v>16</v>
      </c>
      <c r="D2006" s="672" t="s">
        <v>17</v>
      </c>
    </row>
    <row r="2007" spans="1:4" x14ac:dyDescent="0.2">
      <c r="A2007" s="672" t="str">
        <f t="shared" si="31"/>
        <v>191</v>
      </c>
      <c r="B2007" s="672">
        <v>19132</v>
      </c>
      <c r="C2007" s="673" t="s">
        <v>16</v>
      </c>
      <c r="D2007" s="672" t="s">
        <v>17</v>
      </c>
    </row>
    <row r="2008" spans="1:4" x14ac:dyDescent="0.2">
      <c r="A2008" s="672" t="str">
        <f t="shared" si="31"/>
        <v>191</v>
      </c>
      <c r="B2008" s="672">
        <v>19133</v>
      </c>
      <c r="C2008" s="673" t="s">
        <v>16</v>
      </c>
      <c r="D2008" s="672" t="s">
        <v>17</v>
      </c>
    </row>
    <row r="2009" spans="1:4" x14ac:dyDescent="0.2">
      <c r="A2009" s="672" t="str">
        <f t="shared" si="31"/>
        <v>191</v>
      </c>
      <c r="B2009" s="672">
        <v>19134</v>
      </c>
      <c r="C2009" s="673" t="s">
        <v>16</v>
      </c>
      <c r="D2009" s="672" t="s">
        <v>17</v>
      </c>
    </row>
    <row r="2010" spans="1:4" x14ac:dyDescent="0.2">
      <c r="A2010" s="672" t="str">
        <f t="shared" si="31"/>
        <v>191</v>
      </c>
      <c r="B2010" s="672">
        <v>19135</v>
      </c>
      <c r="C2010" s="673" t="s">
        <v>16</v>
      </c>
      <c r="D2010" s="672" t="s">
        <v>17</v>
      </c>
    </row>
    <row r="2011" spans="1:4" x14ac:dyDescent="0.2">
      <c r="A2011" s="672" t="str">
        <f t="shared" si="31"/>
        <v>191</v>
      </c>
      <c r="B2011" s="672">
        <v>19136</v>
      </c>
      <c r="C2011" s="673" t="s">
        <v>16</v>
      </c>
      <c r="D2011" s="672" t="s">
        <v>17</v>
      </c>
    </row>
    <row r="2012" spans="1:4" x14ac:dyDescent="0.2">
      <c r="A2012" s="672" t="str">
        <f t="shared" si="31"/>
        <v>191</v>
      </c>
      <c r="B2012" s="672">
        <v>19137</v>
      </c>
      <c r="C2012" s="673" t="s">
        <v>16</v>
      </c>
      <c r="D2012" s="672" t="s">
        <v>17</v>
      </c>
    </row>
    <row r="2013" spans="1:4" x14ac:dyDescent="0.2">
      <c r="A2013" s="672" t="str">
        <f t="shared" si="31"/>
        <v>191</v>
      </c>
      <c r="B2013" s="672">
        <v>19138</v>
      </c>
      <c r="C2013" s="673" t="s">
        <v>16</v>
      </c>
      <c r="D2013" s="672" t="s">
        <v>17</v>
      </c>
    </row>
    <row r="2014" spans="1:4" x14ac:dyDescent="0.2">
      <c r="A2014" s="672" t="str">
        <f t="shared" si="31"/>
        <v>191</v>
      </c>
      <c r="B2014" s="672">
        <v>19139</v>
      </c>
      <c r="C2014" s="673" t="s">
        <v>16</v>
      </c>
      <c r="D2014" s="672" t="s">
        <v>17</v>
      </c>
    </row>
    <row r="2015" spans="1:4" x14ac:dyDescent="0.2">
      <c r="A2015" s="672" t="str">
        <f t="shared" si="31"/>
        <v>191</v>
      </c>
      <c r="B2015" s="672">
        <v>19140</v>
      </c>
      <c r="C2015" s="673" t="s">
        <v>16</v>
      </c>
      <c r="D2015" s="672" t="s">
        <v>17</v>
      </c>
    </row>
    <row r="2016" spans="1:4" x14ac:dyDescent="0.2">
      <c r="A2016" s="672" t="str">
        <f t="shared" si="31"/>
        <v>191</v>
      </c>
      <c r="B2016" s="672">
        <v>19141</v>
      </c>
      <c r="C2016" s="673" t="s">
        <v>16</v>
      </c>
      <c r="D2016" s="672" t="s">
        <v>17</v>
      </c>
    </row>
    <row r="2017" spans="1:4" x14ac:dyDescent="0.2">
      <c r="A2017" s="672" t="str">
        <f t="shared" si="31"/>
        <v>191</v>
      </c>
      <c r="B2017" s="672">
        <v>19142</v>
      </c>
      <c r="C2017" s="673" t="s">
        <v>16</v>
      </c>
      <c r="D2017" s="672" t="s">
        <v>17</v>
      </c>
    </row>
    <row r="2018" spans="1:4" x14ac:dyDescent="0.2">
      <c r="A2018" s="672" t="str">
        <f t="shared" si="31"/>
        <v>191</v>
      </c>
      <c r="B2018" s="672">
        <v>19143</v>
      </c>
      <c r="C2018" s="673" t="s">
        <v>16</v>
      </c>
      <c r="D2018" s="672" t="s">
        <v>17</v>
      </c>
    </row>
    <row r="2019" spans="1:4" x14ac:dyDescent="0.2">
      <c r="A2019" s="672" t="str">
        <f t="shared" si="31"/>
        <v>191</v>
      </c>
      <c r="B2019" s="672">
        <v>19144</v>
      </c>
      <c r="C2019" s="673" t="s">
        <v>16</v>
      </c>
      <c r="D2019" s="672" t="s">
        <v>17</v>
      </c>
    </row>
    <row r="2020" spans="1:4" x14ac:dyDescent="0.2">
      <c r="A2020" s="672" t="str">
        <f t="shared" si="31"/>
        <v>191</v>
      </c>
      <c r="B2020" s="672">
        <v>19145</v>
      </c>
      <c r="C2020" s="673" t="s">
        <v>16</v>
      </c>
      <c r="D2020" s="672" t="s">
        <v>17</v>
      </c>
    </row>
    <row r="2021" spans="1:4" x14ac:dyDescent="0.2">
      <c r="A2021" s="672" t="str">
        <f t="shared" si="31"/>
        <v>191</v>
      </c>
      <c r="B2021" s="672">
        <v>19146</v>
      </c>
      <c r="C2021" s="673" t="s">
        <v>16</v>
      </c>
      <c r="D2021" s="672" t="s">
        <v>17</v>
      </c>
    </row>
    <row r="2022" spans="1:4" x14ac:dyDescent="0.2">
      <c r="A2022" s="672" t="str">
        <f t="shared" si="31"/>
        <v>191</v>
      </c>
      <c r="B2022" s="672">
        <v>19147</v>
      </c>
      <c r="C2022" s="673" t="s">
        <v>16</v>
      </c>
      <c r="D2022" s="672" t="s">
        <v>17</v>
      </c>
    </row>
    <row r="2023" spans="1:4" x14ac:dyDescent="0.2">
      <c r="A2023" s="672" t="str">
        <f t="shared" si="31"/>
        <v>191</v>
      </c>
      <c r="B2023" s="672">
        <v>19148</v>
      </c>
      <c r="C2023" s="673" t="s">
        <v>16</v>
      </c>
      <c r="D2023" s="672" t="s">
        <v>17</v>
      </c>
    </row>
    <row r="2024" spans="1:4" x14ac:dyDescent="0.2">
      <c r="A2024" s="672" t="str">
        <f t="shared" si="31"/>
        <v>191</v>
      </c>
      <c r="B2024" s="672">
        <v>19149</v>
      </c>
      <c r="C2024" s="673" t="s">
        <v>16</v>
      </c>
      <c r="D2024" s="672" t="s">
        <v>17</v>
      </c>
    </row>
    <row r="2025" spans="1:4" x14ac:dyDescent="0.2">
      <c r="A2025" s="672" t="str">
        <f t="shared" si="31"/>
        <v>191</v>
      </c>
      <c r="B2025" s="672">
        <v>19150</v>
      </c>
      <c r="C2025" s="673" t="s">
        <v>16</v>
      </c>
      <c r="D2025" s="672" t="s">
        <v>17</v>
      </c>
    </row>
    <row r="2026" spans="1:4" x14ac:dyDescent="0.2">
      <c r="A2026" s="672" t="str">
        <f t="shared" si="31"/>
        <v>191</v>
      </c>
      <c r="B2026" s="672">
        <v>19151</v>
      </c>
      <c r="C2026" s="673" t="s">
        <v>16</v>
      </c>
      <c r="D2026" s="672" t="s">
        <v>17</v>
      </c>
    </row>
    <row r="2027" spans="1:4" x14ac:dyDescent="0.2">
      <c r="A2027" s="672" t="str">
        <f t="shared" si="31"/>
        <v>191</v>
      </c>
      <c r="B2027" s="672">
        <v>19152</v>
      </c>
      <c r="C2027" s="673" t="s">
        <v>16</v>
      </c>
      <c r="D2027" s="672" t="s">
        <v>17</v>
      </c>
    </row>
    <row r="2028" spans="1:4" x14ac:dyDescent="0.2">
      <c r="A2028" s="672" t="str">
        <f t="shared" si="31"/>
        <v>191</v>
      </c>
      <c r="B2028" s="672">
        <v>19153</v>
      </c>
      <c r="C2028" s="673" t="s">
        <v>16</v>
      </c>
      <c r="D2028" s="672" t="s">
        <v>17</v>
      </c>
    </row>
    <row r="2029" spans="1:4" x14ac:dyDescent="0.2">
      <c r="A2029" s="672" t="str">
        <f t="shared" si="31"/>
        <v>191</v>
      </c>
      <c r="B2029" s="672">
        <v>19154</v>
      </c>
      <c r="C2029" s="673" t="s">
        <v>16</v>
      </c>
      <c r="D2029" s="672" t="s">
        <v>17</v>
      </c>
    </row>
    <row r="2030" spans="1:4" x14ac:dyDescent="0.2">
      <c r="A2030" s="672" t="str">
        <f t="shared" si="31"/>
        <v>191</v>
      </c>
      <c r="B2030" s="672">
        <v>19155</v>
      </c>
      <c r="C2030" s="673" t="s">
        <v>16</v>
      </c>
      <c r="D2030" s="672" t="s">
        <v>17</v>
      </c>
    </row>
    <row r="2031" spans="1:4" x14ac:dyDescent="0.2">
      <c r="A2031" s="672" t="str">
        <f t="shared" si="31"/>
        <v>191</v>
      </c>
      <c r="B2031" s="672">
        <v>19160</v>
      </c>
      <c r="C2031" s="673" t="s">
        <v>16</v>
      </c>
      <c r="D2031" s="672" t="s">
        <v>17</v>
      </c>
    </row>
    <row r="2032" spans="1:4" x14ac:dyDescent="0.2">
      <c r="A2032" s="672" t="str">
        <f t="shared" si="31"/>
        <v>191</v>
      </c>
      <c r="B2032" s="672">
        <v>19161</v>
      </c>
      <c r="C2032" s="673" t="s">
        <v>16</v>
      </c>
      <c r="D2032" s="672" t="s">
        <v>17</v>
      </c>
    </row>
    <row r="2033" spans="1:4" x14ac:dyDescent="0.2">
      <c r="A2033" s="672" t="str">
        <f t="shared" si="31"/>
        <v>191</v>
      </c>
      <c r="B2033" s="672">
        <v>19162</v>
      </c>
      <c r="C2033" s="673" t="s">
        <v>16</v>
      </c>
      <c r="D2033" s="672" t="s">
        <v>17</v>
      </c>
    </row>
    <row r="2034" spans="1:4" x14ac:dyDescent="0.2">
      <c r="A2034" s="672" t="str">
        <f t="shared" si="31"/>
        <v>191</v>
      </c>
      <c r="B2034" s="672">
        <v>19170</v>
      </c>
      <c r="C2034" s="673" t="s">
        <v>16</v>
      </c>
      <c r="D2034" s="672" t="s">
        <v>17</v>
      </c>
    </row>
    <row r="2035" spans="1:4" x14ac:dyDescent="0.2">
      <c r="A2035" s="672" t="str">
        <f t="shared" si="31"/>
        <v>191</v>
      </c>
      <c r="B2035" s="672">
        <v>19171</v>
      </c>
      <c r="C2035" s="673" t="s">
        <v>16</v>
      </c>
      <c r="D2035" s="672" t="s">
        <v>17</v>
      </c>
    </row>
    <row r="2036" spans="1:4" x14ac:dyDescent="0.2">
      <c r="A2036" s="672" t="str">
        <f t="shared" si="31"/>
        <v>191</v>
      </c>
      <c r="B2036" s="672">
        <v>19172</v>
      </c>
      <c r="C2036" s="673" t="s">
        <v>16</v>
      </c>
      <c r="D2036" s="672" t="s">
        <v>17</v>
      </c>
    </row>
    <row r="2037" spans="1:4" x14ac:dyDescent="0.2">
      <c r="A2037" s="672" t="str">
        <f t="shared" si="31"/>
        <v>191</v>
      </c>
      <c r="B2037" s="672">
        <v>19173</v>
      </c>
      <c r="C2037" s="673" t="s">
        <v>16</v>
      </c>
      <c r="D2037" s="672" t="s">
        <v>17</v>
      </c>
    </row>
    <row r="2038" spans="1:4" x14ac:dyDescent="0.2">
      <c r="A2038" s="672" t="str">
        <f t="shared" si="31"/>
        <v>191</v>
      </c>
      <c r="B2038" s="672">
        <v>19175</v>
      </c>
      <c r="C2038" s="673" t="s">
        <v>16</v>
      </c>
      <c r="D2038" s="672" t="s">
        <v>17</v>
      </c>
    </row>
    <row r="2039" spans="1:4" x14ac:dyDescent="0.2">
      <c r="A2039" s="672" t="str">
        <f t="shared" si="31"/>
        <v>191</v>
      </c>
      <c r="B2039" s="672">
        <v>19176</v>
      </c>
      <c r="C2039" s="673" t="s">
        <v>16</v>
      </c>
      <c r="D2039" s="672" t="s">
        <v>17</v>
      </c>
    </row>
    <row r="2040" spans="1:4" x14ac:dyDescent="0.2">
      <c r="A2040" s="672" t="str">
        <f t="shared" si="31"/>
        <v>191</v>
      </c>
      <c r="B2040" s="672">
        <v>19177</v>
      </c>
      <c r="C2040" s="673" t="s">
        <v>16</v>
      </c>
      <c r="D2040" s="672" t="s">
        <v>17</v>
      </c>
    </row>
    <row r="2041" spans="1:4" x14ac:dyDescent="0.2">
      <c r="A2041" s="672" t="str">
        <f t="shared" si="31"/>
        <v>191</v>
      </c>
      <c r="B2041" s="672">
        <v>19178</v>
      </c>
      <c r="C2041" s="673" t="s">
        <v>16</v>
      </c>
      <c r="D2041" s="672" t="s">
        <v>17</v>
      </c>
    </row>
    <row r="2042" spans="1:4" x14ac:dyDescent="0.2">
      <c r="A2042" s="672" t="str">
        <f t="shared" si="31"/>
        <v>191</v>
      </c>
      <c r="B2042" s="672">
        <v>19179</v>
      </c>
      <c r="C2042" s="673" t="s">
        <v>16</v>
      </c>
      <c r="D2042" s="672" t="s">
        <v>17</v>
      </c>
    </row>
    <row r="2043" spans="1:4" x14ac:dyDescent="0.2">
      <c r="A2043" s="672" t="str">
        <f t="shared" si="31"/>
        <v>191</v>
      </c>
      <c r="B2043" s="672">
        <v>19181</v>
      </c>
      <c r="C2043" s="673" t="s">
        <v>16</v>
      </c>
      <c r="D2043" s="672" t="s">
        <v>17</v>
      </c>
    </row>
    <row r="2044" spans="1:4" x14ac:dyDescent="0.2">
      <c r="A2044" s="672" t="str">
        <f t="shared" si="31"/>
        <v>191</v>
      </c>
      <c r="B2044" s="672">
        <v>19182</v>
      </c>
      <c r="C2044" s="673" t="s">
        <v>16</v>
      </c>
      <c r="D2044" s="672" t="s">
        <v>17</v>
      </c>
    </row>
    <row r="2045" spans="1:4" x14ac:dyDescent="0.2">
      <c r="A2045" s="672" t="str">
        <f t="shared" si="31"/>
        <v>191</v>
      </c>
      <c r="B2045" s="672">
        <v>19183</v>
      </c>
      <c r="C2045" s="673" t="s">
        <v>16</v>
      </c>
      <c r="D2045" s="672" t="s">
        <v>17</v>
      </c>
    </row>
    <row r="2046" spans="1:4" x14ac:dyDescent="0.2">
      <c r="A2046" s="672" t="str">
        <f t="shared" si="31"/>
        <v>191</v>
      </c>
      <c r="B2046" s="672">
        <v>19184</v>
      </c>
      <c r="C2046" s="673" t="s">
        <v>16</v>
      </c>
      <c r="D2046" s="672" t="s">
        <v>17</v>
      </c>
    </row>
    <row r="2047" spans="1:4" x14ac:dyDescent="0.2">
      <c r="A2047" s="672" t="str">
        <f t="shared" si="31"/>
        <v>191</v>
      </c>
      <c r="B2047" s="672">
        <v>19185</v>
      </c>
      <c r="C2047" s="673" t="s">
        <v>16</v>
      </c>
      <c r="D2047" s="672" t="s">
        <v>17</v>
      </c>
    </row>
    <row r="2048" spans="1:4" x14ac:dyDescent="0.2">
      <c r="A2048" s="672" t="str">
        <f t="shared" si="31"/>
        <v>191</v>
      </c>
      <c r="B2048" s="672">
        <v>19187</v>
      </c>
      <c r="C2048" s="673" t="s">
        <v>16</v>
      </c>
      <c r="D2048" s="672" t="s">
        <v>17</v>
      </c>
    </row>
    <row r="2049" spans="1:4" x14ac:dyDescent="0.2">
      <c r="A2049" s="672" t="str">
        <f t="shared" si="31"/>
        <v>191</v>
      </c>
      <c r="B2049" s="672">
        <v>19188</v>
      </c>
      <c r="C2049" s="673" t="s">
        <v>16</v>
      </c>
      <c r="D2049" s="672" t="s">
        <v>17</v>
      </c>
    </row>
    <row r="2050" spans="1:4" x14ac:dyDescent="0.2">
      <c r="A2050" s="672" t="str">
        <f t="shared" ref="A2050:A2113" si="32">LEFT(B2050,3)</f>
        <v>191</v>
      </c>
      <c r="B2050" s="672">
        <v>19190</v>
      </c>
      <c r="C2050" s="673" t="s">
        <v>16</v>
      </c>
      <c r="D2050" s="672" t="s">
        <v>17</v>
      </c>
    </row>
    <row r="2051" spans="1:4" x14ac:dyDescent="0.2">
      <c r="A2051" s="672" t="str">
        <f t="shared" si="32"/>
        <v>191</v>
      </c>
      <c r="B2051" s="672">
        <v>19191</v>
      </c>
      <c r="C2051" s="673" t="s">
        <v>16</v>
      </c>
      <c r="D2051" s="672" t="s">
        <v>17</v>
      </c>
    </row>
    <row r="2052" spans="1:4" x14ac:dyDescent="0.2">
      <c r="A2052" s="672" t="str">
        <f t="shared" si="32"/>
        <v>191</v>
      </c>
      <c r="B2052" s="672">
        <v>19192</v>
      </c>
      <c r="C2052" s="673" t="s">
        <v>16</v>
      </c>
      <c r="D2052" s="672" t="s">
        <v>17</v>
      </c>
    </row>
    <row r="2053" spans="1:4" x14ac:dyDescent="0.2">
      <c r="A2053" s="672" t="str">
        <f t="shared" si="32"/>
        <v>191</v>
      </c>
      <c r="B2053" s="672">
        <v>19193</v>
      </c>
      <c r="C2053" s="673" t="s">
        <v>16</v>
      </c>
      <c r="D2053" s="672" t="s">
        <v>17</v>
      </c>
    </row>
    <row r="2054" spans="1:4" x14ac:dyDescent="0.2">
      <c r="A2054" s="672" t="str">
        <f t="shared" si="32"/>
        <v>191</v>
      </c>
      <c r="B2054" s="672">
        <v>19194</v>
      </c>
      <c r="C2054" s="673" t="s">
        <v>16</v>
      </c>
      <c r="D2054" s="672" t="s">
        <v>17</v>
      </c>
    </row>
    <row r="2055" spans="1:4" x14ac:dyDescent="0.2">
      <c r="A2055" s="672" t="str">
        <f t="shared" si="32"/>
        <v>191</v>
      </c>
      <c r="B2055" s="672">
        <v>19195</v>
      </c>
      <c r="C2055" s="673" t="s">
        <v>16</v>
      </c>
      <c r="D2055" s="672" t="s">
        <v>17</v>
      </c>
    </row>
    <row r="2056" spans="1:4" x14ac:dyDescent="0.2">
      <c r="A2056" s="672" t="str">
        <f t="shared" si="32"/>
        <v>191</v>
      </c>
      <c r="B2056" s="672">
        <v>19196</v>
      </c>
      <c r="C2056" s="673" t="s">
        <v>16</v>
      </c>
      <c r="D2056" s="672" t="s">
        <v>17</v>
      </c>
    </row>
    <row r="2057" spans="1:4" x14ac:dyDescent="0.2">
      <c r="A2057" s="672" t="str">
        <f t="shared" si="32"/>
        <v>191</v>
      </c>
      <c r="B2057" s="672">
        <v>19197</v>
      </c>
      <c r="C2057" s="673" t="s">
        <v>16</v>
      </c>
      <c r="D2057" s="672" t="s">
        <v>17</v>
      </c>
    </row>
    <row r="2058" spans="1:4" x14ac:dyDescent="0.2">
      <c r="A2058" s="672" t="str">
        <f t="shared" si="32"/>
        <v>192</v>
      </c>
      <c r="B2058" s="672">
        <v>19244</v>
      </c>
      <c r="C2058" s="673" t="s">
        <v>16</v>
      </c>
      <c r="D2058" s="672" t="s">
        <v>17</v>
      </c>
    </row>
    <row r="2059" spans="1:4" x14ac:dyDescent="0.2">
      <c r="A2059" s="672" t="str">
        <f t="shared" si="32"/>
        <v>192</v>
      </c>
      <c r="B2059" s="672">
        <v>19255</v>
      </c>
      <c r="C2059" s="673" t="s">
        <v>16</v>
      </c>
      <c r="D2059" s="672" t="s">
        <v>17</v>
      </c>
    </row>
    <row r="2060" spans="1:4" x14ac:dyDescent="0.2">
      <c r="A2060" s="672" t="str">
        <f t="shared" si="32"/>
        <v>193</v>
      </c>
      <c r="B2060" s="672">
        <v>19301</v>
      </c>
      <c r="C2060" s="673" t="s">
        <v>16</v>
      </c>
      <c r="D2060" s="672" t="s">
        <v>17</v>
      </c>
    </row>
    <row r="2061" spans="1:4" x14ac:dyDescent="0.2">
      <c r="A2061" s="672" t="str">
        <f t="shared" si="32"/>
        <v>193</v>
      </c>
      <c r="B2061" s="672">
        <v>19310</v>
      </c>
      <c r="C2061" s="673" t="s">
        <v>16</v>
      </c>
      <c r="D2061" s="672" t="s">
        <v>17</v>
      </c>
    </row>
    <row r="2062" spans="1:4" x14ac:dyDescent="0.2">
      <c r="A2062" s="672" t="str">
        <f t="shared" si="32"/>
        <v>193</v>
      </c>
      <c r="B2062" s="672">
        <v>19311</v>
      </c>
      <c r="C2062" s="673" t="s">
        <v>16</v>
      </c>
      <c r="D2062" s="672" t="s">
        <v>17</v>
      </c>
    </row>
    <row r="2063" spans="1:4" x14ac:dyDescent="0.2">
      <c r="A2063" s="672" t="str">
        <f t="shared" si="32"/>
        <v>193</v>
      </c>
      <c r="B2063" s="672">
        <v>19312</v>
      </c>
      <c r="C2063" s="673" t="s">
        <v>16</v>
      </c>
      <c r="D2063" s="672" t="s">
        <v>17</v>
      </c>
    </row>
    <row r="2064" spans="1:4" x14ac:dyDescent="0.2">
      <c r="A2064" s="672" t="str">
        <f t="shared" si="32"/>
        <v>193</v>
      </c>
      <c r="B2064" s="672">
        <v>19316</v>
      </c>
      <c r="C2064" s="673" t="s">
        <v>16</v>
      </c>
      <c r="D2064" s="672" t="s">
        <v>17</v>
      </c>
    </row>
    <row r="2065" spans="1:4" x14ac:dyDescent="0.2">
      <c r="A2065" s="672" t="str">
        <f t="shared" si="32"/>
        <v>193</v>
      </c>
      <c r="B2065" s="672">
        <v>19317</v>
      </c>
      <c r="C2065" s="673" t="s">
        <v>16</v>
      </c>
      <c r="D2065" s="672" t="s">
        <v>17</v>
      </c>
    </row>
    <row r="2066" spans="1:4" x14ac:dyDescent="0.2">
      <c r="A2066" s="672" t="str">
        <f t="shared" si="32"/>
        <v>193</v>
      </c>
      <c r="B2066" s="672">
        <v>19318</v>
      </c>
      <c r="C2066" s="673" t="s">
        <v>16</v>
      </c>
      <c r="D2066" s="672" t="s">
        <v>17</v>
      </c>
    </row>
    <row r="2067" spans="1:4" x14ac:dyDescent="0.2">
      <c r="A2067" s="672" t="str">
        <f t="shared" si="32"/>
        <v>193</v>
      </c>
      <c r="B2067" s="672">
        <v>19319</v>
      </c>
      <c r="C2067" s="673" t="s">
        <v>16</v>
      </c>
      <c r="D2067" s="672" t="s">
        <v>17</v>
      </c>
    </row>
    <row r="2068" spans="1:4" x14ac:dyDescent="0.2">
      <c r="A2068" s="672" t="str">
        <f t="shared" si="32"/>
        <v>193</v>
      </c>
      <c r="B2068" s="672">
        <v>19320</v>
      </c>
      <c r="C2068" s="673" t="s">
        <v>16</v>
      </c>
      <c r="D2068" s="672" t="s">
        <v>17</v>
      </c>
    </row>
    <row r="2069" spans="1:4" x14ac:dyDescent="0.2">
      <c r="A2069" s="672" t="str">
        <f t="shared" si="32"/>
        <v>193</v>
      </c>
      <c r="B2069" s="672">
        <v>19330</v>
      </c>
      <c r="C2069" s="673" t="s">
        <v>16</v>
      </c>
      <c r="D2069" s="672" t="s">
        <v>17</v>
      </c>
    </row>
    <row r="2070" spans="1:4" x14ac:dyDescent="0.2">
      <c r="A2070" s="672" t="str">
        <f t="shared" si="32"/>
        <v>193</v>
      </c>
      <c r="B2070" s="672">
        <v>19331</v>
      </c>
      <c r="C2070" s="673" t="s">
        <v>16</v>
      </c>
      <c r="D2070" s="672" t="s">
        <v>17</v>
      </c>
    </row>
    <row r="2071" spans="1:4" x14ac:dyDescent="0.2">
      <c r="A2071" s="672" t="str">
        <f t="shared" si="32"/>
        <v>193</v>
      </c>
      <c r="B2071" s="672">
        <v>19333</v>
      </c>
      <c r="C2071" s="673" t="s">
        <v>16</v>
      </c>
      <c r="D2071" s="672" t="s">
        <v>17</v>
      </c>
    </row>
    <row r="2072" spans="1:4" x14ac:dyDescent="0.2">
      <c r="A2072" s="672" t="str">
        <f t="shared" si="32"/>
        <v>193</v>
      </c>
      <c r="B2072" s="672">
        <v>19335</v>
      </c>
      <c r="C2072" s="673" t="s">
        <v>16</v>
      </c>
      <c r="D2072" s="672" t="s">
        <v>17</v>
      </c>
    </row>
    <row r="2073" spans="1:4" x14ac:dyDescent="0.2">
      <c r="A2073" s="672" t="str">
        <f t="shared" si="32"/>
        <v>193</v>
      </c>
      <c r="B2073" s="672">
        <v>19339</v>
      </c>
      <c r="C2073" s="673" t="s">
        <v>16</v>
      </c>
      <c r="D2073" s="672" t="s">
        <v>17</v>
      </c>
    </row>
    <row r="2074" spans="1:4" x14ac:dyDescent="0.2">
      <c r="A2074" s="672" t="str">
        <f t="shared" si="32"/>
        <v>193</v>
      </c>
      <c r="B2074" s="672">
        <v>19340</v>
      </c>
      <c r="C2074" s="673" t="s">
        <v>16</v>
      </c>
      <c r="D2074" s="672" t="s">
        <v>17</v>
      </c>
    </row>
    <row r="2075" spans="1:4" x14ac:dyDescent="0.2">
      <c r="A2075" s="672" t="str">
        <f t="shared" si="32"/>
        <v>193</v>
      </c>
      <c r="B2075" s="672">
        <v>19341</v>
      </c>
      <c r="C2075" s="673" t="s">
        <v>16</v>
      </c>
      <c r="D2075" s="672" t="s">
        <v>17</v>
      </c>
    </row>
    <row r="2076" spans="1:4" x14ac:dyDescent="0.2">
      <c r="A2076" s="672" t="str">
        <f t="shared" si="32"/>
        <v>193</v>
      </c>
      <c r="B2076" s="672">
        <v>19342</v>
      </c>
      <c r="C2076" s="673" t="s">
        <v>16</v>
      </c>
      <c r="D2076" s="672" t="s">
        <v>17</v>
      </c>
    </row>
    <row r="2077" spans="1:4" x14ac:dyDescent="0.2">
      <c r="A2077" s="672" t="str">
        <f t="shared" si="32"/>
        <v>193</v>
      </c>
      <c r="B2077" s="672">
        <v>19343</v>
      </c>
      <c r="C2077" s="673" t="s">
        <v>16</v>
      </c>
      <c r="D2077" s="672" t="s">
        <v>17</v>
      </c>
    </row>
    <row r="2078" spans="1:4" x14ac:dyDescent="0.2">
      <c r="A2078" s="672" t="str">
        <f t="shared" si="32"/>
        <v>193</v>
      </c>
      <c r="B2078" s="672">
        <v>19344</v>
      </c>
      <c r="C2078" s="673" t="s">
        <v>16</v>
      </c>
      <c r="D2078" s="672" t="s">
        <v>17</v>
      </c>
    </row>
    <row r="2079" spans="1:4" x14ac:dyDescent="0.2">
      <c r="A2079" s="672" t="str">
        <f t="shared" si="32"/>
        <v>193</v>
      </c>
      <c r="B2079" s="672">
        <v>19345</v>
      </c>
      <c r="C2079" s="673" t="s">
        <v>16</v>
      </c>
      <c r="D2079" s="672" t="s">
        <v>17</v>
      </c>
    </row>
    <row r="2080" spans="1:4" x14ac:dyDescent="0.2">
      <c r="A2080" s="672" t="str">
        <f t="shared" si="32"/>
        <v>193</v>
      </c>
      <c r="B2080" s="672">
        <v>19346</v>
      </c>
      <c r="C2080" s="673" t="s">
        <v>16</v>
      </c>
      <c r="D2080" s="672" t="s">
        <v>17</v>
      </c>
    </row>
    <row r="2081" spans="1:4" x14ac:dyDescent="0.2">
      <c r="A2081" s="672" t="str">
        <f t="shared" si="32"/>
        <v>193</v>
      </c>
      <c r="B2081" s="672">
        <v>19347</v>
      </c>
      <c r="C2081" s="673" t="s">
        <v>16</v>
      </c>
      <c r="D2081" s="672" t="s">
        <v>17</v>
      </c>
    </row>
    <row r="2082" spans="1:4" x14ac:dyDescent="0.2">
      <c r="A2082" s="672" t="str">
        <f t="shared" si="32"/>
        <v>193</v>
      </c>
      <c r="B2082" s="672">
        <v>19348</v>
      </c>
      <c r="C2082" s="673" t="s">
        <v>16</v>
      </c>
      <c r="D2082" s="672" t="s">
        <v>17</v>
      </c>
    </row>
    <row r="2083" spans="1:4" x14ac:dyDescent="0.2">
      <c r="A2083" s="672" t="str">
        <f t="shared" si="32"/>
        <v>193</v>
      </c>
      <c r="B2083" s="672">
        <v>19350</v>
      </c>
      <c r="C2083" s="673" t="s">
        <v>16</v>
      </c>
      <c r="D2083" s="672" t="s">
        <v>17</v>
      </c>
    </row>
    <row r="2084" spans="1:4" x14ac:dyDescent="0.2">
      <c r="A2084" s="672" t="str">
        <f t="shared" si="32"/>
        <v>193</v>
      </c>
      <c r="B2084" s="672">
        <v>19351</v>
      </c>
      <c r="C2084" s="673" t="s">
        <v>16</v>
      </c>
      <c r="D2084" s="672" t="s">
        <v>17</v>
      </c>
    </row>
    <row r="2085" spans="1:4" x14ac:dyDescent="0.2">
      <c r="A2085" s="672" t="str">
        <f t="shared" si="32"/>
        <v>193</v>
      </c>
      <c r="B2085" s="672">
        <v>19352</v>
      </c>
      <c r="C2085" s="673" t="s">
        <v>16</v>
      </c>
      <c r="D2085" s="672" t="s">
        <v>17</v>
      </c>
    </row>
    <row r="2086" spans="1:4" x14ac:dyDescent="0.2">
      <c r="A2086" s="672" t="str">
        <f t="shared" si="32"/>
        <v>193</v>
      </c>
      <c r="B2086" s="672">
        <v>19353</v>
      </c>
      <c r="C2086" s="673" t="s">
        <v>16</v>
      </c>
      <c r="D2086" s="672" t="s">
        <v>17</v>
      </c>
    </row>
    <row r="2087" spans="1:4" x14ac:dyDescent="0.2">
      <c r="A2087" s="672" t="str">
        <f t="shared" si="32"/>
        <v>193</v>
      </c>
      <c r="B2087" s="672">
        <v>19354</v>
      </c>
      <c r="C2087" s="673" t="s">
        <v>16</v>
      </c>
      <c r="D2087" s="672" t="s">
        <v>17</v>
      </c>
    </row>
    <row r="2088" spans="1:4" x14ac:dyDescent="0.2">
      <c r="A2088" s="672" t="str">
        <f t="shared" si="32"/>
        <v>193</v>
      </c>
      <c r="B2088" s="672">
        <v>19355</v>
      </c>
      <c r="C2088" s="673" t="s">
        <v>16</v>
      </c>
      <c r="D2088" s="672" t="s">
        <v>17</v>
      </c>
    </row>
    <row r="2089" spans="1:4" x14ac:dyDescent="0.2">
      <c r="A2089" s="672" t="str">
        <f t="shared" si="32"/>
        <v>193</v>
      </c>
      <c r="B2089" s="672">
        <v>19357</v>
      </c>
      <c r="C2089" s="673" t="s">
        <v>16</v>
      </c>
      <c r="D2089" s="672" t="s">
        <v>17</v>
      </c>
    </row>
    <row r="2090" spans="1:4" x14ac:dyDescent="0.2">
      <c r="A2090" s="672" t="str">
        <f t="shared" si="32"/>
        <v>193</v>
      </c>
      <c r="B2090" s="672">
        <v>19358</v>
      </c>
      <c r="C2090" s="673" t="s">
        <v>16</v>
      </c>
      <c r="D2090" s="672" t="s">
        <v>17</v>
      </c>
    </row>
    <row r="2091" spans="1:4" x14ac:dyDescent="0.2">
      <c r="A2091" s="672" t="str">
        <f t="shared" si="32"/>
        <v>193</v>
      </c>
      <c r="B2091" s="672">
        <v>19360</v>
      </c>
      <c r="C2091" s="673" t="s">
        <v>16</v>
      </c>
      <c r="D2091" s="672" t="s">
        <v>17</v>
      </c>
    </row>
    <row r="2092" spans="1:4" x14ac:dyDescent="0.2">
      <c r="A2092" s="672" t="str">
        <f t="shared" si="32"/>
        <v>193</v>
      </c>
      <c r="B2092" s="672">
        <v>19362</v>
      </c>
      <c r="C2092" s="673" t="s">
        <v>16</v>
      </c>
      <c r="D2092" s="672" t="s">
        <v>17</v>
      </c>
    </row>
    <row r="2093" spans="1:4" x14ac:dyDescent="0.2">
      <c r="A2093" s="672" t="str">
        <f t="shared" si="32"/>
        <v>193</v>
      </c>
      <c r="B2093" s="672">
        <v>19363</v>
      </c>
      <c r="C2093" s="673" t="s">
        <v>16</v>
      </c>
      <c r="D2093" s="672" t="s">
        <v>17</v>
      </c>
    </row>
    <row r="2094" spans="1:4" x14ac:dyDescent="0.2">
      <c r="A2094" s="672" t="str">
        <f t="shared" si="32"/>
        <v>193</v>
      </c>
      <c r="B2094" s="672">
        <v>19365</v>
      </c>
      <c r="C2094" s="673" t="s">
        <v>16</v>
      </c>
      <c r="D2094" s="672" t="s">
        <v>17</v>
      </c>
    </row>
    <row r="2095" spans="1:4" x14ac:dyDescent="0.2">
      <c r="A2095" s="672" t="str">
        <f t="shared" si="32"/>
        <v>193</v>
      </c>
      <c r="B2095" s="672">
        <v>19366</v>
      </c>
      <c r="C2095" s="673" t="s">
        <v>16</v>
      </c>
      <c r="D2095" s="672" t="s">
        <v>17</v>
      </c>
    </row>
    <row r="2096" spans="1:4" x14ac:dyDescent="0.2">
      <c r="A2096" s="672" t="str">
        <f t="shared" si="32"/>
        <v>193</v>
      </c>
      <c r="B2096" s="672">
        <v>19367</v>
      </c>
      <c r="C2096" s="673" t="s">
        <v>16</v>
      </c>
      <c r="D2096" s="672" t="s">
        <v>17</v>
      </c>
    </row>
    <row r="2097" spans="1:4" x14ac:dyDescent="0.2">
      <c r="A2097" s="672" t="str">
        <f t="shared" si="32"/>
        <v>193</v>
      </c>
      <c r="B2097" s="672">
        <v>19369</v>
      </c>
      <c r="C2097" s="673" t="s">
        <v>16</v>
      </c>
      <c r="D2097" s="672" t="s">
        <v>17</v>
      </c>
    </row>
    <row r="2098" spans="1:4" x14ac:dyDescent="0.2">
      <c r="A2098" s="672" t="str">
        <f t="shared" si="32"/>
        <v>193</v>
      </c>
      <c r="B2098" s="672">
        <v>19370</v>
      </c>
      <c r="C2098" s="673" t="s">
        <v>16</v>
      </c>
      <c r="D2098" s="672" t="s">
        <v>17</v>
      </c>
    </row>
    <row r="2099" spans="1:4" x14ac:dyDescent="0.2">
      <c r="A2099" s="672" t="str">
        <f t="shared" si="32"/>
        <v>193</v>
      </c>
      <c r="B2099" s="672">
        <v>19371</v>
      </c>
      <c r="C2099" s="673" t="s">
        <v>16</v>
      </c>
      <c r="D2099" s="672" t="s">
        <v>17</v>
      </c>
    </row>
    <row r="2100" spans="1:4" x14ac:dyDescent="0.2">
      <c r="A2100" s="672" t="str">
        <f t="shared" si="32"/>
        <v>193</v>
      </c>
      <c r="B2100" s="672">
        <v>19372</v>
      </c>
      <c r="C2100" s="673" t="s">
        <v>16</v>
      </c>
      <c r="D2100" s="672" t="s">
        <v>17</v>
      </c>
    </row>
    <row r="2101" spans="1:4" x14ac:dyDescent="0.2">
      <c r="A2101" s="672" t="str">
        <f t="shared" si="32"/>
        <v>193</v>
      </c>
      <c r="B2101" s="672">
        <v>19373</v>
      </c>
      <c r="C2101" s="673" t="s">
        <v>16</v>
      </c>
      <c r="D2101" s="672" t="s">
        <v>17</v>
      </c>
    </row>
    <row r="2102" spans="1:4" x14ac:dyDescent="0.2">
      <c r="A2102" s="672" t="str">
        <f t="shared" si="32"/>
        <v>193</v>
      </c>
      <c r="B2102" s="672">
        <v>19374</v>
      </c>
      <c r="C2102" s="673" t="s">
        <v>16</v>
      </c>
      <c r="D2102" s="672" t="s">
        <v>17</v>
      </c>
    </row>
    <row r="2103" spans="1:4" x14ac:dyDescent="0.2">
      <c r="A2103" s="672" t="str">
        <f t="shared" si="32"/>
        <v>193</v>
      </c>
      <c r="B2103" s="672">
        <v>19375</v>
      </c>
      <c r="C2103" s="673" t="s">
        <v>16</v>
      </c>
      <c r="D2103" s="672" t="s">
        <v>17</v>
      </c>
    </row>
    <row r="2104" spans="1:4" x14ac:dyDescent="0.2">
      <c r="A2104" s="672" t="str">
        <f t="shared" si="32"/>
        <v>193</v>
      </c>
      <c r="B2104" s="672">
        <v>19376</v>
      </c>
      <c r="C2104" s="673" t="s">
        <v>16</v>
      </c>
      <c r="D2104" s="672" t="s">
        <v>17</v>
      </c>
    </row>
    <row r="2105" spans="1:4" x14ac:dyDescent="0.2">
      <c r="A2105" s="672" t="str">
        <f t="shared" si="32"/>
        <v>193</v>
      </c>
      <c r="B2105" s="672">
        <v>19380</v>
      </c>
      <c r="C2105" s="673" t="s">
        <v>16</v>
      </c>
      <c r="D2105" s="672" t="s">
        <v>17</v>
      </c>
    </row>
    <row r="2106" spans="1:4" x14ac:dyDescent="0.2">
      <c r="A2106" s="672" t="str">
        <f t="shared" si="32"/>
        <v>193</v>
      </c>
      <c r="B2106" s="672">
        <v>19381</v>
      </c>
      <c r="C2106" s="673" t="s">
        <v>16</v>
      </c>
      <c r="D2106" s="672" t="s">
        <v>17</v>
      </c>
    </row>
    <row r="2107" spans="1:4" x14ac:dyDescent="0.2">
      <c r="A2107" s="672" t="str">
        <f t="shared" si="32"/>
        <v>193</v>
      </c>
      <c r="B2107" s="672">
        <v>19382</v>
      </c>
      <c r="C2107" s="673" t="s">
        <v>16</v>
      </c>
      <c r="D2107" s="672" t="s">
        <v>17</v>
      </c>
    </row>
    <row r="2108" spans="1:4" x14ac:dyDescent="0.2">
      <c r="A2108" s="672" t="str">
        <f t="shared" si="32"/>
        <v>193</v>
      </c>
      <c r="B2108" s="672">
        <v>19383</v>
      </c>
      <c r="C2108" s="673" t="s">
        <v>16</v>
      </c>
      <c r="D2108" s="672" t="s">
        <v>17</v>
      </c>
    </row>
    <row r="2109" spans="1:4" x14ac:dyDescent="0.2">
      <c r="A2109" s="672" t="str">
        <f t="shared" si="32"/>
        <v>193</v>
      </c>
      <c r="B2109" s="672">
        <v>19388</v>
      </c>
      <c r="C2109" s="673" t="s">
        <v>16</v>
      </c>
      <c r="D2109" s="672" t="s">
        <v>17</v>
      </c>
    </row>
    <row r="2110" spans="1:4" x14ac:dyDescent="0.2">
      <c r="A2110" s="672" t="str">
        <f t="shared" si="32"/>
        <v>193</v>
      </c>
      <c r="B2110" s="672">
        <v>19390</v>
      </c>
      <c r="C2110" s="673" t="s">
        <v>16</v>
      </c>
      <c r="D2110" s="672" t="s">
        <v>17</v>
      </c>
    </row>
    <row r="2111" spans="1:4" x14ac:dyDescent="0.2">
      <c r="A2111" s="672" t="str">
        <f t="shared" si="32"/>
        <v>193</v>
      </c>
      <c r="B2111" s="672">
        <v>19395</v>
      </c>
      <c r="C2111" s="673" t="s">
        <v>16</v>
      </c>
      <c r="D2111" s="672" t="s">
        <v>17</v>
      </c>
    </row>
    <row r="2112" spans="1:4" x14ac:dyDescent="0.2">
      <c r="A2112" s="672" t="str">
        <f t="shared" si="32"/>
        <v>193</v>
      </c>
      <c r="B2112" s="672">
        <v>19397</v>
      </c>
      <c r="C2112" s="673" t="s">
        <v>16</v>
      </c>
      <c r="D2112" s="672" t="s">
        <v>17</v>
      </c>
    </row>
    <row r="2113" spans="1:4" x14ac:dyDescent="0.2">
      <c r="A2113" s="672" t="str">
        <f t="shared" si="32"/>
        <v>193</v>
      </c>
      <c r="B2113" s="672">
        <v>19398</v>
      </c>
      <c r="C2113" s="673" t="s">
        <v>16</v>
      </c>
      <c r="D2113" s="672" t="s">
        <v>17</v>
      </c>
    </row>
    <row r="2114" spans="1:4" x14ac:dyDescent="0.2">
      <c r="A2114" s="672" t="str">
        <f t="shared" ref="A2114:A2177" si="33">LEFT(B2114,3)</f>
        <v>193</v>
      </c>
      <c r="B2114" s="672">
        <v>19399</v>
      </c>
      <c r="C2114" s="673" t="s">
        <v>16</v>
      </c>
      <c r="D2114" s="672" t="s">
        <v>17</v>
      </c>
    </row>
    <row r="2115" spans="1:4" x14ac:dyDescent="0.2">
      <c r="A2115" s="672" t="str">
        <f t="shared" si="33"/>
        <v>194</v>
      </c>
      <c r="B2115" s="672">
        <v>19401</v>
      </c>
      <c r="C2115" s="673" t="s">
        <v>16</v>
      </c>
      <c r="D2115" s="672" t="s">
        <v>17</v>
      </c>
    </row>
    <row r="2116" spans="1:4" x14ac:dyDescent="0.2">
      <c r="A2116" s="672" t="str">
        <f t="shared" si="33"/>
        <v>194</v>
      </c>
      <c r="B2116" s="672">
        <v>19403</v>
      </c>
      <c r="C2116" s="673" t="s">
        <v>16</v>
      </c>
      <c r="D2116" s="672" t="s">
        <v>17</v>
      </c>
    </row>
    <row r="2117" spans="1:4" x14ac:dyDescent="0.2">
      <c r="A2117" s="672" t="str">
        <f t="shared" si="33"/>
        <v>194</v>
      </c>
      <c r="B2117" s="672">
        <v>19404</v>
      </c>
      <c r="C2117" s="673" t="s">
        <v>16</v>
      </c>
      <c r="D2117" s="672" t="s">
        <v>17</v>
      </c>
    </row>
    <row r="2118" spans="1:4" x14ac:dyDescent="0.2">
      <c r="A2118" s="672" t="str">
        <f t="shared" si="33"/>
        <v>194</v>
      </c>
      <c r="B2118" s="672">
        <v>19405</v>
      </c>
      <c r="C2118" s="673" t="s">
        <v>16</v>
      </c>
      <c r="D2118" s="672" t="s">
        <v>17</v>
      </c>
    </row>
    <row r="2119" spans="1:4" x14ac:dyDescent="0.2">
      <c r="A2119" s="672" t="str">
        <f t="shared" si="33"/>
        <v>194</v>
      </c>
      <c r="B2119" s="672">
        <v>19406</v>
      </c>
      <c r="C2119" s="673" t="s">
        <v>16</v>
      </c>
      <c r="D2119" s="672" t="s">
        <v>17</v>
      </c>
    </row>
    <row r="2120" spans="1:4" x14ac:dyDescent="0.2">
      <c r="A2120" s="672" t="str">
        <f t="shared" si="33"/>
        <v>194</v>
      </c>
      <c r="B2120" s="672">
        <v>19407</v>
      </c>
      <c r="C2120" s="673" t="s">
        <v>16</v>
      </c>
      <c r="D2120" s="672" t="s">
        <v>17</v>
      </c>
    </row>
    <row r="2121" spans="1:4" x14ac:dyDescent="0.2">
      <c r="A2121" s="672" t="str">
        <f t="shared" si="33"/>
        <v>194</v>
      </c>
      <c r="B2121" s="672">
        <v>19408</v>
      </c>
      <c r="C2121" s="673" t="s">
        <v>16</v>
      </c>
      <c r="D2121" s="672" t="s">
        <v>17</v>
      </c>
    </row>
    <row r="2122" spans="1:4" x14ac:dyDescent="0.2">
      <c r="A2122" s="672" t="str">
        <f t="shared" si="33"/>
        <v>194</v>
      </c>
      <c r="B2122" s="672">
        <v>19409</v>
      </c>
      <c r="C2122" s="673" t="s">
        <v>16</v>
      </c>
      <c r="D2122" s="672" t="s">
        <v>17</v>
      </c>
    </row>
    <row r="2123" spans="1:4" x14ac:dyDescent="0.2">
      <c r="A2123" s="672" t="str">
        <f t="shared" si="33"/>
        <v>194</v>
      </c>
      <c r="B2123" s="672">
        <v>19415</v>
      </c>
      <c r="C2123" s="673" t="s">
        <v>16</v>
      </c>
      <c r="D2123" s="672" t="s">
        <v>17</v>
      </c>
    </row>
    <row r="2124" spans="1:4" x14ac:dyDescent="0.2">
      <c r="A2124" s="672" t="str">
        <f t="shared" si="33"/>
        <v>194</v>
      </c>
      <c r="B2124" s="672">
        <v>19420</v>
      </c>
      <c r="C2124" s="673" t="s">
        <v>16</v>
      </c>
      <c r="D2124" s="672" t="s">
        <v>17</v>
      </c>
    </row>
    <row r="2125" spans="1:4" x14ac:dyDescent="0.2">
      <c r="A2125" s="672" t="str">
        <f t="shared" si="33"/>
        <v>194</v>
      </c>
      <c r="B2125" s="672">
        <v>19421</v>
      </c>
      <c r="C2125" s="673" t="s">
        <v>16</v>
      </c>
      <c r="D2125" s="672" t="s">
        <v>17</v>
      </c>
    </row>
    <row r="2126" spans="1:4" x14ac:dyDescent="0.2">
      <c r="A2126" s="672" t="str">
        <f t="shared" si="33"/>
        <v>194</v>
      </c>
      <c r="B2126" s="672">
        <v>19422</v>
      </c>
      <c r="C2126" s="673" t="s">
        <v>16</v>
      </c>
      <c r="D2126" s="672" t="s">
        <v>17</v>
      </c>
    </row>
    <row r="2127" spans="1:4" x14ac:dyDescent="0.2">
      <c r="A2127" s="672" t="str">
        <f t="shared" si="33"/>
        <v>194</v>
      </c>
      <c r="B2127" s="672">
        <v>19423</v>
      </c>
      <c r="C2127" s="673" t="s">
        <v>16</v>
      </c>
      <c r="D2127" s="672" t="s">
        <v>17</v>
      </c>
    </row>
    <row r="2128" spans="1:4" x14ac:dyDescent="0.2">
      <c r="A2128" s="672" t="str">
        <f t="shared" si="33"/>
        <v>194</v>
      </c>
      <c r="B2128" s="672">
        <v>19424</v>
      </c>
      <c r="C2128" s="673" t="s">
        <v>16</v>
      </c>
      <c r="D2128" s="672" t="s">
        <v>17</v>
      </c>
    </row>
    <row r="2129" spans="1:4" x14ac:dyDescent="0.2">
      <c r="A2129" s="672" t="str">
        <f t="shared" si="33"/>
        <v>194</v>
      </c>
      <c r="B2129" s="672">
        <v>19425</v>
      </c>
      <c r="C2129" s="673" t="s">
        <v>16</v>
      </c>
      <c r="D2129" s="672" t="s">
        <v>17</v>
      </c>
    </row>
    <row r="2130" spans="1:4" x14ac:dyDescent="0.2">
      <c r="A2130" s="672" t="str">
        <f t="shared" si="33"/>
        <v>194</v>
      </c>
      <c r="B2130" s="672">
        <v>19426</v>
      </c>
      <c r="C2130" s="673" t="s">
        <v>16</v>
      </c>
      <c r="D2130" s="672" t="s">
        <v>17</v>
      </c>
    </row>
    <row r="2131" spans="1:4" x14ac:dyDescent="0.2">
      <c r="A2131" s="672" t="str">
        <f t="shared" si="33"/>
        <v>194</v>
      </c>
      <c r="B2131" s="672">
        <v>19428</v>
      </c>
      <c r="C2131" s="673" t="s">
        <v>16</v>
      </c>
      <c r="D2131" s="672" t="s">
        <v>17</v>
      </c>
    </row>
    <row r="2132" spans="1:4" x14ac:dyDescent="0.2">
      <c r="A2132" s="672" t="str">
        <f t="shared" si="33"/>
        <v>194</v>
      </c>
      <c r="B2132" s="672">
        <v>19429</v>
      </c>
      <c r="C2132" s="673" t="s">
        <v>16</v>
      </c>
      <c r="D2132" s="672" t="s">
        <v>17</v>
      </c>
    </row>
    <row r="2133" spans="1:4" x14ac:dyDescent="0.2">
      <c r="A2133" s="672" t="str">
        <f t="shared" si="33"/>
        <v>194</v>
      </c>
      <c r="B2133" s="672">
        <v>19430</v>
      </c>
      <c r="C2133" s="673" t="s">
        <v>16</v>
      </c>
      <c r="D2133" s="672" t="s">
        <v>17</v>
      </c>
    </row>
    <row r="2134" spans="1:4" x14ac:dyDescent="0.2">
      <c r="A2134" s="672" t="str">
        <f t="shared" si="33"/>
        <v>194</v>
      </c>
      <c r="B2134" s="672">
        <v>19432</v>
      </c>
      <c r="C2134" s="673" t="s">
        <v>16</v>
      </c>
      <c r="D2134" s="672" t="s">
        <v>17</v>
      </c>
    </row>
    <row r="2135" spans="1:4" x14ac:dyDescent="0.2">
      <c r="A2135" s="672" t="str">
        <f t="shared" si="33"/>
        <v>194</v>
      </c>
      <c r="B2135" s="672">
        <v>19435</v>
      </c>
      <c r="C2135" s="673" t="s">
        <v>16</v>
      </c>
      <c r="D2135" s="672" t="s">
        <v>17</v>
      </c>
    </row>
    <row r="2136" spans="1:4" x14ac:dyDescent="0.2">
      <c r="A2136" s="672" t="str">
        <f t="shared" si="33"/>
        <v>194</v>
      </c>
      <c r="B2136" s="672">
        <v>19436</v>
      </c>
      <c r="C2136" s="673" t="s">
        <v>16</v>
      </c>
      <c r="D2136" s="672" t="s">
        <v>17</v>
      </c>
    </row>
    <row r="2137" spans="1:4" x14ac:dyDescent="0.2">
      <c r="A2137" s="672" t="str">
        <f t="shared" si="33"/>
        <v>194</v>
      </c>
      <c r="B2137" s="672">
        <v>19437</v>
      </c>
      <c r="C2137" s="673" t="s">
        <v>16</v>
      </c>
      <c r="D2137" s="672" t="s">
        <v>17</v>
      </c>
    </row>
    <row r="2138" spans="1:4" x14ac:dyDescent="0.2">
      <c r="A2138" s="672" t="str">
        <f t="shared" si="33"/>
        <v>194</v>
      </c>
      <c r="B2138" s="672">
        <v>19438</v>
      </c>
      <c r="C2138" s="673" t="s">
        <v>16</v>
      </c>
      <c r="D2138" s="672" t="s">
        <v>17</v>
      </c>
    </row>
    <row r="2139" spans="1:4" x14ac:dyDescent="0.2">
      <c r="A2139" s="672" t="str">
        <f t="shared" si="33"/>
        <v>194</v>
      </c>
      <c r="B2139" s="672">
        <v>19440</v>
      </c>
      <c r="C2139" s="673" t="s">
        <v>16</v>
      </c>
      <c r="D2139" s="672" t="s">
        <v>17</v>
      </c>
    </row>
    <row r="2140" spans="1:4" x14ac:dyDescent="0.2">
      <c r="A2140" s="672" t="str">
        <f t="shared" si="33"/>
        <v>194</v>
      </c>
      <c r="B2140" s="672">
        <v>19441</v>
      </c>
      <c r="C2140" s="673" t="s">
        <v>16</v>
      </c>
      <c r="D2140" s="672" t="s">
        <v>17</v>
      </c>
    </row>
    <row r="2141" spans="1:4" x14ac:dyDescent="0.2">
      <c r="A2141" s="672" t="str">
        <f t="shared" si="33"/>
        <v>194</v>
      </c>
      <c r="B2141" s="672">
        <v>19442</v>
      </c>
      <c r="C2141" s="673" t="s">
        <v>16</v>
      </c>
      <c r="D2141" s="672" t="s">
        <v>17</v>
      </c>
    </row>
    <row r="2142" spans="1:4" x14ac:dyDescent="0.2">
      <c r="A2142" s="672" t="str">
        <f t="shared" si="33"/>
        <v>194</v>
      </c>
      <c r="B2142" s="672">
        <v>19443</v>
      </c>
      <c r="C2142" s="673" t="s">
        <v>16</v>
      </c>
      <c r="D2142" s="672" t="s">
        <v>17</v>
      </c>
    </row>
    <row r="2143" spans="1:4" x14ac:dyDescent="0.2">
      <c r="A2143" s="672" t="str">
        <f t="shared" si="33"/>
        <v>194</v>
      </c>
      <c r="B2143" s="672">
        <v>19444</v>
      </c>
      <c r="C2143" s="673" t="s">
        <v>16</v>
      </c>
      <c r="D2143" s="672" t="s">
        <v>17</v>
      </c>
    </row>
    <row r="2144" spans="1:4" x14ac:dyDescent="0.2">
      <c r="A2144" s="672" t="str">
        <f t="shared" si="33"/>
        <v>194</v>
      </c>
      <c r="B2144" s="672">
        <v>19446</v>
      </c>
      <c r="C2144" s="673" t="s">
        <v>16</v>
      </c>
      <c r="D2144" s="672" t="s">
        <v>17</v>
      </c>
    </row>
    <row r="2145" spans="1:4" x14ac:dyDescent="0.2">
      <c r="A2145" s="672" t="str">
        <f t="shared" si="33"/>
        <v>194</v>
      </c>
      <c r="B2145" s="672">
        <v>19450</v>
      </c>
      <c r="C2145" s="673" t="s">
        <v>16</v>
      </c>
      <c r="D2145" s="672" t="s">
        <v>17</v>
      </c>
    </row>
    <row r="2146" spans="1:4" x14ac:dyDescent="0.2">
      <c r="A2146" s="672" t="str">
        <f t="shared" si="33"/>
        <v>194</v>
      </c>
      <c r="B2146" s="672">
        <v>19451</v>
      </c>
      <c r="C2146" s="673" t="s">
        <v>16</v>
      </c>
      <c r="D2146" s="672" t="s">
        <v>17</v>
      </c>
    </row>
    <row r="2147" spans="1:4" x14ac:dyDescent="0.2">
      <c r="A2147" s="672" t="str">
        <f t="shared" si="33"/>
        <v>194</v>
      </c>
      <c r="B2147" s="672">
        <v>19452</v>
      </c>
      <c r="C2147" s="673" t="s">
        <v>16</v>
      </c>
      <c r="D2147" s="672" t="s">
        <v>17</v>
      </c>
    </row>
    <row r="2148" spans="1:4" x14ac:dyDescent="0.2">
      <c r="A2148" s="672" t="str">
        <f t="shared" si="33"/>
        <v>194</v>
      </c>
      <c r="B2148" s="672">
        <v>19453</v>
      </c>
      <c r="C2148" s="673" t="s">
        <v>16</v>
      </c>
      <c r="D2148" s="672" t="s">
        <v>17</v>
      </c>
    </row>
    <row r="2149" spans="1:4" x14ac:dyDescent="0.2">
      <c r="A2149" s="672" t="str">
        <f t="shared" si="33"/>
        <v>194</v>
      </c>
      <c r="B2149" s="672">
        <v>19454</v>
      </c>
      <c r="C2149" s="673" t="s">
        <v>16</v>
      </c>
      <c r="D2149" s="672" t="s">
        <v>17</v>
      </c>
    </row>
    <row r="2150" spans="1:4" x14ac:dyDescent="0.2">
      <c r="A2150" s="672" t="str">
        <f t="shared" si="33"/>
        <v>194</v>
      </c>
      <c r="B2150" s="672">
        <v>19455</v>
      </c>
      <c r="C2150" s="673" t="s">
        <v>16</v>
      </c>
      <c r="D2150" s="672" t="s">
        <v>17</v>
      </c>
    </row>
    <row r="2151" spans="1:4" x14ac:dyDescent="0.2">
      <c r="A2151" s="672" t="str">
        <f t="shared" si="33"/>
        <v>194</v>
      </c>
      <c r="B2151" s="672">
        <v>19456</v>
      </c>
      <c r="C2151" s="673" t="s">
        <v>16</v>
      </c>
      <c r="D2151" s="672" t="s">
        <v>17</v>
      </c>
    </row>
    <row r="2152" spans="1:4" x14ac:dyDescent="0.2">
      <c r="A2152" s="672" t="str">
        <f t="shared" si="33"/>
        <v>194</v>
      </c>
      <c r="B2152" s="672">
        <v>19457</v>
      </c>
      <c r="C2152" s="673" t="s">
        <v>16</v>
      </c>
      <c r="D2152" s="672" t="s">
        <v>17</v>
      </c>
    </row>
    <row r="2153" spans="1:4" x14ac:dyDescent="0.2">
      <c r="A2153" s="672" t="str">
        <f t="shared" si="33"/>
        <v>194</v>
      </c>
      <c r="B2153" s="672">
        <v>19460</v>
      </c>
      <c r="C2153" s="673" t="s">
        <v>16</v>
      </c>
      <c r="D2153" s="672" t="s">
        <v>17</v>
      </c>
    </row>
    <row r="2154" spans="1:4" x14ac:dyDescent="0.2">
      <c r="A2154" s="672" t="str">
        <f t="shared" si="33"/>
        <v>194</v>
      </c>
      <c r="B2154" s="672">
        <v>19462</v>
      </c>
      <c r="C2154" s="673" t="s">
        <v>16</v>
      </c>
      <c r="D2154" s="672" t="s">
        <v>17</v>
      </c>
    </row>
    <row r="2155" spans="1:4" x14ac:dyDescent="0.2">
      <c r="A2155" s="672" t="str">
        <f t="shared" si="33"/>
        <v>194</v>
      </c>
      <c r="B2155" s="672">
        <v>19464</v>
      </c>
      <c r="C2155" s="673" t="s">
        <v>16</v>
      </c>
      <c r="D2155" s="672" t="s">
        <v>17</v>
      </c>
    </row>
    <row r="2156" spans="1:4" x14ac:dyDescent="0.2">
      <c r="A2156" s="672" t="str">
        <f t="shared" si="33"/>
        <v>194</v>
      </c>
      <c r="B2156" s="672">
        <v>19465</v>
      </c>
      <c r="C2156" s="673" t="s">
        <v>16</v>
      </c>
      <c r="D2156" s="672" t="s">
        <v>17</v>
      </c>
    </row>
    <row r="2157" spans="1:4" x14ac:dyDescent="0.2">
      <c r="A2157" s="672" t="str">
        <f t="shared" si="33"/>
        <v>194</v>
      </c>
      <c r="B2157" s="672">
        <v>19468</v>
      </c>
      <c r="C2157" s="673" t="s">
        <v>16</v>
      </c>
      <c r="D2157" s="672" t="s">
        <v>17</v>
      </c>
    </row>
    <row r="2158" spans="1:4" x14ac:dyDescent="0.2">
      <c r="A2158" s="672" t="str">
        <f t="shared" si="33"/>
        <v>194</v>
      </c>
      <c r="B2158" s="672">
        <v>19470</v>
      </c>
      <c r="C2158" s="673" t="s">
        <v>16</v>
      </c>
      <c r="D2158" s="672" t="s">
        <v>17</v>
      </c>
    </row>
    <row r="2159" spans="1:4" x14ac:dyDescent="0.2">
      <c r="A2159" s="672" t="str">
        <f t="shared" si="33"/>
        <v>194</v>
      </c>
      <c r="B2159" s="672">
        <v>19472</v>
      </c>
      <c r="C2159" s="673" t="s">
        <v>16</v>
      </c>
      <c r="D2159" s="672" t="s">
        <v>17</v>
      </c>
    </row>
    <row r="2160" spans="1:4" x14ac:dyDescent="0.2">
      <c r="A2160" s="672" t="str">
        <f t="shared" si="33"/>
        <v>194</v>
      </c>
      <c r="B2160" s="672">
        <v>19473</v>
      </c>
      <c r="C2160" s="673" t="s">
        <v>16</v>
      </c>
      <c r="D2160" s="672" t="s">
        <v>17</v>
      </c>
    </row>
    <row r="2161" spans="1:4" x14ac:dyDescent="0.2">
      <c r="A2161" s="672" t="str">
        <f t="shared" si="33"/>
        <v>194</v>
      </c>
      <c r="B2161" s="672">
        <v>19474</v>
      </c>
      <c r="C2161" s="673" t="s">
        <v>16</v>
      </c>
      <c r="D2161" s="672" t="s">
        <v>17</v>
      </c>
    </row>
    <row r="2162" spans="1:4" x14ac:dyDescent="0.2">
      <c r="A2162" s="672" t="str">
        <f t="shared" si="33"/>
        <v>194</v>
      </c>
      <c r="B2162" s="672">
        <v>19475</v>
      </c>
      <c r="C2162" s="673" t="s">
        <v>16</v>
      </c>
      <c r="D2162" s="672" t="s">
        <v>17</v>
      </c>
    </row>
    <row r="2163" spans="1:4" x14ac:dyDescent="0.2">
      <c r="A2163" s="672" t="str">
        <f t="shared" si="33"/>
        <v>194</v>
      </c>
      <c r="B2163" s="672">
        <v>19477</v>
      </c>
      <c r="C2163" s="673" t="s">
        <v>16</v>
      </c>
      <c r="D2163" s="672" t="s">
        <v>17</v>
      </c>
    </row>
    <row r="2164" spans="1:4" x14ac:dyDescent="0.2">
      <c r="A2164" s="672" t="str">
        <f t="shared" si="33"/>
        <v>194</v>
      </c>
      <c r="B2164" s="672">
        <v>19478</v>
      </c>
      <c r="C2164" s="673" t="s">
        <v>16</v>
      </c>
      <c r="D2164" s="672" t="s">
        <v>17</v>
      </c>
    </row>
    <row r="2165" spans="1:4" x14ac:dyDescent="0.2">
      <c r="A2165" s="672" t="str">
        <f t="shared" si="33"/>
        <v>194</v>
      </c>
      <c r="B2165" s="672">
        <v>19480</v>
      </c>
      <c r="C2165" s="673" t="s">
        <v>16</v>
      </c>
      <c r="D2165" s="672" t="s">
        <v>17</v>
      </c>
    </row>
    <row r="2166" spans="1:4" x14ac:dyDescent="0.2">
      <c r="A2166" s="672" t="str">
        <f t="shared" si="33"/>
        <v>194</v>
      </c>
      <c r="B2166" s="672">
        <v>19481</v>
      </c>
      <c r="C2166" s="673" t="s">
        <v>16</v>
      </c>
      <c r="D2166" s="672" t="s">
        <v>17</v>
      </c>
    </row>
    <row r="2167" spans="1:4" x14ac:dyDescent="0.2">
      <c r="A2167" s="672" t="str">
        <f t="shared" si="33"/>
        <v>194</v>
      </c>
      <c r="B2167" s="672">
        <v>19482</v>
      </c>
      <c r="C2167" s="673" t="s">
        <v>16</v>
      </c>
      <c r="D2167" s="672" t="s">
        <v>17</v>
      </c>
    </row>
    <row r="2168" spans="1:4" x14ac:dyDescent="0.2">
      <c r="A2168" s="672" t="str">
        <f t="shared" si="33"/>
        <v>194</v>
      </c>
      <c r="B2168" s="672">
        <v>19483</v>
      </c>
      <c r="C2168" s="673" t="s">
        <v>16</v>
      </c>
      <c r="D2168" s="672" t="s">
        <v>17</v>
      </c>
    </row>
    <row r="2169" spans="1:4" x14ac:dyDescent="0.2">
      <c r="A2169" s="672" t="str">
        <f t="shared" si="33"/>
        <v>194</v>
      </c>
      <c r="B2169" s="672">
        <v>19484</v>
      </c>
      <c r="C2169" s="673" t="s">
        <v>16</v>
      </c>
      <c r="D2169" s="672" t="s">
        <v>17</v>
      </c>
    </row>
    <row r="2170" spans="1:4" x14ac:dyDescent="0.2">
      <c r="A2170" s="672" t="str">
        <f t="shared" si="33"/>
        <v>194</v>
      </c>
      <c r="B2170" s="672">
        <v>19485</v>
      </c>
      <c r="C2170" s="673" t="s">
        <v>16</v>
      </c>
      <c r="D2170" s="672" t="s">
        <v>17</v>
      </c>
    </row>
    <row r="2171" spans="1:4" x14ac:dyDescent="0.2">
      <c r="A2171" s="672" t="str">
        <f t="shared" si="33"/>
        <v>194</v>
      </c>
      <c r="B2171" s="672">
        <v>19486</v>
      </c>
      <c r="C2171" s="673" t="s">
        <v>16</v>
      </c>
      <c r="D2171" s="672" t="s">
        <v>17</v>
      </c>
    </row>
    <row r="2172" spans="1:4" x14ac:dyDescent="0.2">
      <c r="A2172" s="672" t="str">
        <f t="shared" si="33"/>
        <v>194</v>
      </c>
      <c r="B2172" s="672">
        <v>19487</v>
      </c>
      <c r="C2172" s="673" t="s">
        <v>16</v>
      </c>
      <c r="D2172" s="672" t="s">
        <v>17</v>
      </c>
    </row>
    <row r="2173" spans="1:4" x14ac:dyDescent="0.2">
      <c r="A2173" s="672" t="str">
        <f t="shared" si="33"/>
        <v>194</v>
      </c>
      <c r="B2173" s="672">
        <v>19488</v>
      </c>
      <c r="C2173" s="673" t="s">
        <v>16</v>
      </c>
      <c r="D2173" s="672" t="s">
        <v>17</v>
      </c>
    </row>
    <row r="2174" spans="1:4" x14ac:dyDescent="0.2">
      <c r="A2174" s="672" t="str">
        <f t="shared" si="33"/>
        <v>194</v>
      </c>
      <c r="B2174" s="672">
        <v>19489</v>
      </c>
      <c r="C2174" s="673" t="s">
        <v>16</v>
      </c>
      <c r="D2174" s="672" t="s">
        <v>17</v>
      </c>
    </row>
    <row r="2175" spans="1:4" x14ac:dyDescent="0.2">
      <c r="A2175" s="672" t="str">
        <f t="shared" si="33"/>
        <v>194</v>
      </c>
      <c r="B2175" s="672">
        <v>19490</v>
      </c>
      <c r="C2175" s="673" t="s">
        <v>16</v>
      </c>
      <c r="D2175" s="672" t="s">
        <v>17</v>
      </c>
    </row>
    <row r="2176" spans="1:4" x14ac:dyDescent="0.2">
      <c r="A2176" s="672" t="str">
        <f t="shared" si="33"/>
        <v>194</v>
      </c>
      <c r="B2176" s="672">
        <v>19492</v>
      </c>
      <c r="C2176" s="673" t="s">
        <v>16</v>
      </c>
      <c r="D2176" s="672" t="s">
        <v>17</v>
      </c>
    </row>
    <row r="2177" spans="1:4" x14ac:dyDescent="0.2">
      <c r="A2177" s="672" t="str">
        <f t="shared" si="33"/>
        <v>194</v>
      </c>
      <c r="B2177" s="672">
        <v>19493</v>
      </c>
      <c r="C2177" s="673" t="s">
        <v>16</v>
      </c>
      <c r="D2177" s="672" t="s">
        <v>17</v>
      </c>
    </row>
    <row r="2178" spans="1:4" x14ac:dyDescent="0.2">
      <c r="A2178" s="672" t="str">
        <f t="shared" ref="A2178:A2239" si="34">LEFT(B2178,3)</f>
        <v>194</v>
      </c>
      <c r="B2178" s="672">
        <v>19494</v>
      </c>
      <c r="C2178" s="673" t="s">
        <v>16</v>
      </c>
      <c r="D2178" s="672" t="s">
        <v>17</v>
      </c>
    </row>
    <row r="2179" spans="1:4" x14ac:dyDescent="0.2">
      <c r="A2179" s="672" t="str">
        <f t="shared" si="34"/>
        <v>194</v>
      </c>
      <c r="B2179" s="672">
        <v>19495</v>
      </c>
      <c r="C2179" s="673" t="s">
        <v>16</v>
      </c>
      <c r="D2179" s="672" t="s">
        <v>17</v>
      </c>
    </row>
    <row r="2180" spans="1:4" x14ac:dyDescent="0.2">
      <c r="A2180" s="672" t="str">
        <f t="shared" si="34"/>
        <v>194</v>
      </c>
      <c r="B2180" s="672">
        <v>19496</v>
      </c>
      <c r="C2180" s="673" t="s">
        <v>16</v>
      </c>
      <c r="D2180" s="672" t="s">
        <v>17</v>
      </c>
    </row>
    <row r="2181" spans="1:4" x14ac:dyDescent="0.2">
      <c r="A2181" s="672" t="str">
        <f t="shared" si="34"/>
        <v>195</v>
      </c>
      <c r="B2181" s="672">
        <v>19501</v>
      </c>
      <c r="C2181" s="673" t="s">
        <v>16</v>
      </c>
      <c r="D2181" s="672" t="s">
        <v>17</v>
      </c>
    </row>
    <row r="2182" spans="1:4" x14ac:dyDescent="0.2">
      <c r="A2182" s="672" t="str">
        <f t="shared" si="34"/>
        <v>195</v>
      </c>
      <c r="B2182" s="672">
        <v>19503</v>
      </c>
      <c r="C2182" s="673" t="s">
        <v>16</v>
      </c>
      <c r="D2182" s="672" t="s">
        <v>17</v>
      </c>
    </row>
    <row r="2183" spans="1:4" x14ac:dyDescent="0.2">
      <c r="A2183" s="672" t="str">
        <f t="shared" si="34"/>
        <v>195</v>
      </c>
      <c r="B2183" s="672">
        <v>19504</v>
      </c>
      <c r="C2183" s="673" t="s">
        <v>16</v>
      </c>
      <c r="D2183" s="672" t="s">
        <v>17</v>
      </c>
    </row>
    <row r="2184" spans="1:4" x14ac:dyDescent="0.2">
      <c r="A2184" s="672" t="str">
        <f t="shared" si="34"/>
        <v>195</v>
      </c>
      <c r="B2184" s="672">
        <v>19505</v>
      </c>
      <c r="C2184" s="673" t="s">
        <v>16</v>
      </c>
      <c r="D2184" s="672" t="s">
        <v>17</v>
      </c>
    </row>
    <row r="2185" spans="1:4" x14ac:dyDescent="0.2">
      <c r="A2185" s="672" t="str">
        <f t="shared" si="34"/>
        <v>195</v>
      </c>
      <c r="B2185" s="672">
        <v>19506</v>
      </c>
      <c r="C2185" s="673" t="s">
        <v>16</v>
      </c>
      <c r="D2185" s="672" t="s">
        <v>17</v>
      </c>
    </row>
    <row r="2186" spans="1:4" x14ac:dyDescent="0.2">
      <c r="A2186" s="672" t="str">
        <f t="shared" si="34"/>
        <v>195</v>
      </c>
      <c r="B2186" s="672">
        <v>19507</v>
      </c>
      <c r="C2186" s="673" t="s">
        <v>16</v>
      </c>
      <c r="D2186" s="672" t="s">
        <v>17</v>
      </c>
    </row>
    <row r="2187" spans="1:4" x14ac:dyDescent="0.2">
      <c r="A2187" s="672" t="str">
        <f t="shared" si="34"/>
        <v>195</v>
      </c>
      <c r="B2187" s="672">
        <v>19508</v>
      </c>
      <c r="C2187" s="673" t="s">
        <v>16</v>
      </c>
      <c r="D2187" s="672" t="s">
        <v>17</v>
      </c>
    </row>
    <row r="2188" spans="1:4" x14ac:dyDescent="0.2">
      <c r="A2188" s="672" t="str">
        <f t="shared" si="34"/>
        <v>195</v>
      </c>
      <c r="B2188" s="672">
        <v>19510</v>
      </c>
      <c r="C2188" s="673" t="s">
        <v>16</v>
      </c>
      <c r="D2188" s="672" t="s">
        <v>17</v>
      </c>
    </row>
    <row r="2189" spans="1:4" x14ac:dyDescent="0.2">
      <c r="A2189" s="672" t="str">
        <f t="shared" si="34"/>
        <v>195</v>
      </c>
      <c r="B2189" s="672">
        <v>19511</v>
      </c>
      <c r="C2189" s="673" t="s">
        <v>16</v>
      </c>
      <c r="D2189" s="672" t="s">
        <v>17</v>
      </c>
    </row>
    <row r="2190" spans="1:4" x14ac:dyDescent="0.2">
      <c r="A2190" s="672" t="str">
        <f t="shared" si="34"/>
        <v>195</v>
      </c>
      <c r="B2190" s="672">
        <v>19512</v>
      </c>
      <c r="C2190" s="673" t="s">
        <v>16</v>
      </c>
      <c r="D2190" s="672" t="s">
        <v>17</v>
      </c>
    </row>
    <row r="2191" spans="1:4" x14ac:dyDescent="0.2">
      <c r="A2191" s="672" t="str">
        <f t="shared" si="34"/>
        <v>195</v>
      </c>
      <c r="B2191" s="672">
        <v>19516</v>
      </c>
      <c r="C2191" s="673" t="s">
        <v>16</v>
      </c>
      <c r="D2191" s="672" t="s">
        <v>17</v>
      </c>
    </row>
    <row r="2192" spans="1:4" x14ac:dyDescent="0.2">
      <c r="A2192" s="672" t="str">
        <f t="shared" si="34"/>
        <v>195</v>
      </c>
      <c r="B2192" s="672">
        <v>19518</v>
      </c>
      <c r="C2192" s="673" t="s">
        <v>16</v>
      </c>
      <c r="D2192" s="672" t="s">
        <v>17</v>
      </c>
    </row>
    <row r="2193" spans="1:4" x14ac:dyDescent="0.2">
      <c r="A2193" s="672" t="str">
        <f t="shared" si="34"/>
        <v>195</v>
      </c>
      <c r="B2193" s="672">
        <v>19519</v>
      </c>
      <c r="C2193" s="673" t="s">
        <v>16</v>
      </c>
      <c r="D2193" s="672" t="s">
        <v>17</v>
      </c>
    </row>
    <row r="2194" spans="1:4" x14ac:dyDescent="0.2">
      <c r="A2194" s="672" t="str">
        <f t="shared" si="34"/>
        <v>195</v>
      </c>
      <c r="B2194" s="672">
        <v>19520</v>
      </c>
      <c r="C2194" s="673" t="s">
        <v>16</v>
      </c>
      <c r="D2194" s="672" t="s">
        <v>17</v>
      </c>
    </row>
    <row r="2195" spans="1:4" x14ac:dyDescent="0.2">
      <c r="A2195" s="672" t="str">
        <f t="shared" si="34"/>
        <v>195</v>
      </c>
      <c r="B2195" s="672">
        <v>19522</v>
      </c>
      <c r="C2195" s="673" t="s">
        <v>16</v>
      </c>
      <c r="D2195" s="672" t="s">
        <v>17</v>
      </c>
    </row>
    <row r="2196" spans="1:4" x14ac:dyDescent="0.2">
      <c r="A2196" s="672" t="str">
        <f t="shared" si="34"/>
        <v>195</v>
      </c>
      <c r="B2196" s="672">
        <v>19523</v>
      </c>
      <c r="C2196" s="673" t="s">
        <v>16</v>
      </c>
      <c r="D2196" s="672" t="s">
        <v>17</v>
      </c>
    </row>
    <row r="2197" spans="1:4" x14ac:dyDescent="0.2">
      <c r="A2197" s="672" t="str">
        <f t="shared" si="34"/>
        <v>195</v>
      </c>
      <c r="B2197" s="672">
        <v>19525</v>
      </c>
      <c r="C2197" s="673" t="s">
        <v>16</v>
      </c>
      <c r="D2197" s="672" t="s">
        <v>17</v>
      </c>
    </row>
    <row r="2198" spans="1:4" x14ac:dyDescent="0.2">
      <c r="A2198" s="672" t="str">
        <f t="shared" si="34"/>
        <v>195</v>
      </c>
      <c r="B2198" s="672">
        <v>19526</v>
      </c>
      <c r="C2198" s="673" t="s">
        <v>16</v>
      </c>
      <c r="D2198" s="672" t="s">
        <v>17</v>
      </c>
    </row>
    <row r="2199" spans="1:4" x14ac:dyDescent="0.2">
      <c r="A2199" s="672" t="str">
        <f t="shared" si="34"/>
        <v>195</v>
      </c>
      <c r="B2199" s="672">
        <v>19529</v>
      </c>
      <c r="C2199" s="673" t="s">
        <v>16</v>
      </c>
      <c r="D2199" s="672" t="s">
        <v>17</v>
      </c>
    </row>
    <row r="2200" spans="1:4" x14ac:dyDescent="0.2">
      <c r="A2200" s="672" t="str">
        <f t="shared" si="34"/>
        <v>195</v>
      </c>
      <c r="B2200" s="672">
        <v>19530</v>
      </c>
      <c r="C2200" s="673" t="s">
        <v>16</v>
      </c>
      <c r="D2200" s="672" t="s">
        <v>17</v>
      </c>
    </row>
    <row r="2201" spans="1:4" x14ac:dyDescent="0.2">
      <c r="A2201" s="672" t="str">
        <f t="shared" si="34"/>
        <v>195</v>
      </c>
      <c r="B2201" s="672">
        <v>19533</v>
      </c>
      <c r="C2201" s="673" t="s">
        <v>16</v>
      </c>
      <c r="D2201" s="672" t="s">
        <v>17</v>
      </c>
    </row>
    <row r="2202" spans="1:4" x14ac:dyDescent="0.2">
      <c r="A2202" s="672" t="str">
        <f t="shared" si="34"/>
        <v>195</v>
      </c>
      <c r="B2202" s="672">
        <v>19534</v>
      </c>
      <c r="C2202" s="673" t="s">
        <v>16</v>
      </c>
      <c r="D2202" s="672" t="s">
        <v>17</v>
      </c>
    </row>
    <row r="2203" spans="1:4" x14ac:dyDescent="0.2">
      <c r="A2203" s="672" t="str">
        <f t="shared" si="34"/>
        <v>195</v>
      </c>
      <c r="B2203" s="672">
        <v>19535</v>
      </c>
      <c r="C2203" s="673" t="s">
        <v>16</v>
      </c>
      <c r="D2203" s="672" t="s">
        <v>17</v>
      </c>
    </row>
    <row r="2204" spans="1:4" x14ac:dyDescent="0.2">
      <c r="A2204" s="672" t="str">
        <f t="shared" si="34"/>
        <v>195</v>
      </c>
      <c r="B2204" s="672">
        <v>19536</v>
      </c>
      <c r="C2204" s="673" t="s">
        <v>16</v>
      </c>
      <c r="D2204" s="672" t="s">
        <v>17</v>
      </c>
    </row>
    <row r="2205" spans="1:4" x14ac:dyDescent="0.2">
      <c r="A2205" s="672" t="str">
        <f t="shared" si="34"/>
        <v>195</v>
      </c>
      <c r="B2205" s="672">
        <v>19538</v>
      </c>
      <c r="C2205" s="673" t="s">
        <v>16</v>
      </c>
      <c r="D2205" s="672" t="s">
        <v>17</v>
      </c>
    </row>
    <row r="2206" spans="1:4" x14ac:dyDescent="0.2">
      <c r="A2206" s="672" t="str">
        <f t="shared" si="34"/>
        <v>195</v>
      </c>
      <c r="B2206" s="672">
        <v>19539</v>
      </c>
      <c r="C2206" s="673" t="s">
        <v>16</v>
      </c>
      <c r="D2206" s="672" t="s">
        <v>17</v>
      </c>
    </row>
    <row r="2207" spans="1:4" x14ac:dyDescent="0.2">
      <c r="A2207" s="672" t="str">
        <f t="shared" si="34"/>
        <v>195</v>
      </c>
      <c r="B2207" s="672">
        <v>19540</v>
      </c>
      <c r="C2207" s="673" t="s">
        <v>16</v>
      </c>
      <c r="D2207" s="672" t="s">
        <v>17</v>
      </c>
    </row>
    <row r="2208" spans="1:4" x14ac:dyDescent="0.2">
      <c r="A2208" s="672" t="str">
        <f t="shared" si="34"/>
        <v>195</v>
      </c>
      <c r="B2208" s="672">
        <v>19541</v>
      </c>
      <c r="C2208" s="673" t="s">
        <v>16</v>
      </c>
      <c r="D2208" s="672" t="s">
        <v>17</v>
      </c>
    </row>
    <row r="2209" spans="1:4" x14ac:dyDescent="0.2">
      <c r="A2209" s="672" t="str">
        <f t="shared" si="34"/>
        <v>195</v>
      </c>
      <c r="B2209" s="672">
        <v>19542</v>
      </c>
      <c r="C2209" s="673" t="s">
        <v>16</v>
      </c>
      <c r="D2209" s="672" t="s">
        <v>17</v>
      </c>
    </row>
    <row r="2210" spans="1:4" x14ac:dyDescent="0.2">
      <c r="A2210" s="672" t="str">
        <f t="shared" si="34"/>
        <v>195</v>
      </c>
      <c r="B2210" s="672">
        <v>19543</v>
      </c>
      <c r="C2210" s="673" t="s">
        <v>16</v>
      </c>
      <c r="D2210" s="672" t="s">
        <v>17</v>
      </c>
    </row>
    <row r="2211" spans="1:4" x14ac:dyDescent="0.2">
      <c r="A2211" s="672" t="str">
        <f t="shared" si="34"/>
        <v>195</v>
      </c>
      <c r="B2211" s="672">
        <v>19544</v>
      </c>
      <c r="C2211" s="673" t="s">
        <v>16</v>
      </c>
      <c r="D2211" s="672" t="s">
        <v>17</v>
      </c>
    </row>
    <row r="2212" spans="1:4" x14ac:dyDescent="0.2">
      <c r="A2212" s="672" t="str">
        <f t="shared" si="34"/>
        <v>195</v>
      </c>
      <c r="B2212" s="672">
        <v>19545</v>
      </c>
      <c r="C2212" s="673" t="s">
        <v>16</v>
      </c>
      <c r="D2212" s="672" t="s">
        <v>17</v>
      </c>
    </row>
    <row r="2213" spans="1:4" x14ac:dyDescent="0.2">
      <c r="A2213" s="672" t="str">
        <f t="shared" si="34"/>
        <v>195</v>
      </c>
      <c r="B2213" s="672">
        <v>19547</v>
      </c>
      <c r="C2213" s="673" t="s">
        <v>16</v>
      </c>
      <c r="D2213" s="672" t="s">
        <v>17</v>
      </c>
    </row>
    <row r="2214" spans="1:4" x14ac:dyDescent="0.2">
      <c r="A2214" s="672" t="str">
        <f t="shared" si="34"/>
        <v>195</v>
      </c>
      <c r="B2214" s="672">
        <v>19548</v>
      </c>
      <c r="C2214" s="673" t="s">
        <v>16</v>
      </c>
      <c r="D2214" s="672" t="s">
        <v>17</v>
      </c>
    </row>
    <row r="2215" spans="1:4" x14ac:dyDescent="0.2">
      <c r="A2215" s="672" t="str">
        <f t="shared" si="34"/>
        <v>195</v>
      </c>
      <c r="B2215" s="672">
        <v>19549</v>
      </c>
      <c r="C2215" s="673" t="s">
        <v>18</v>
      </c>
      <c r="D2215" s="672" t="s">
        <v>19</v>
      </c>
    </row>
    <row r="2216" spans="1:4" x14ac:dyDescent="0.2">
      <c r="A2216" s="672" t="str">
        <f t="shared" si="34"/>
        <v>195</v>
      </c>
      <c r="B2216" s="672">
        <v>19550</v>
      </c>
      <c r="C2216" s="673" t="s">
        <v>16</v>
      </c>
      <c r="D2216" s="672" t="s">
        <v>17</v>
      </c>
    </row>
    <row r="2217" spans="1:4" x14ac:dyDescent="0.2">
      <c r="A2217" s="672" t="str">
        <f t="shared" si="34"/>
        <v>195</v>
      </c>
      <c r="B2217" s="672">
        <v>19551</v>
      </c>
      <c r="C2217" s="673" t="s">
        <v>16</v>
      </c>
      <c r="D2217" s="672" t="s">
        <v>17</v>
      </c>
    </row>
    <row r="2218" spans="1:4" x14ac:dyDescent="0.2">
      <c r="A2218" s="672" t="str">
        <f t="shared" si="34"/>
        <v>195</v>
      </c>
      <c r="B2218" s="672">
        <v>19554</v>
      </c>
      <c r="C2218" s="673" t="s">
        <v>16</v>
      </c>
      <c r="D2218" s="672" t="s">
        <v>17</v>
      </c>
    </row>
    <row r="2219" spans="1:4" x14ac:dyDescent="0.2">
      <c r="A2219" s="672" t="str">
        <f t="shared" si="34"/>
        <v>195</v>
      </c>
      <c r="B2219" s="672">
        <v>19555</v>
      </c>
      <c r="C2219" s="673" t="s">
        <v>16</v>
      </c>
      <c r="D2219" s="672" t="s">
        <v>17</v>
      </c>
    </row>
    <row r="2220" spans="1:4" x14ac:dyDescent="0.2">
      <c r="A2220" s="672" t="str">
        <f t="shared" si="34"/>
        <v>195</v>
      </c>
      <c r="B2220" s="672">
        <v>19557</v>
      </c>
      <c r="C2220" s="673" t="s">
        <v>16</v>
      </c>
      <c r="D2220" s="672" t="s">
        <v>17</v>
      </c>
    </row>
    <row r="2221" spans="1:4" x14ac:dyDescent="0.2">
      <c r="A2221" s="672" t="str">
        <f t="shared" si="34"/>
        <v>195</v>
      </c>
      <c r="B2221" s="672">
        <v>19559</v>
      </c>
      <c r="C2221" s="673" t="s">
        <v>16</v>
      </c>
      <c r="D2221" s="672" t="s">
        <v>17</v>
      </c>
    </row>
    <row r="2222" spans="1:4" x14ac:dyDescent="0.2">
      <c r="A2222" s="672" t="str">
        <f t="shared" si="34"/>
        <v>195</v>
      </c>
      <c r="B2222" s="672">
        <v>19560</v>
      </c>
      <c r="C2222" s="673" t="s">
        <v>16</v>
      </c>
      <c r="D2222" s="672" t="s">
        <v>17</v>
      </c>
    </row>
    <row r="2223" spans="1:4" x14ac:dyDescent="0.2">
      <c r="A2223" s="672" t="str">
        <f t="shared" si="34"/>
        <v>195</v>
      </c>
      <c r="B2223" s="672">
        <v>19562</v>
      </c>
      <c r="C2223" s="673" t="s">
        <v>16</v>
      </c>
      <c r="D2223" s="672" t="s">
        <v>17</v>
      </c>
    </row>
    <row r="2224" spans="1:4" x14ac:dyDescent="0.2">
      <c r="A2224" s="672" t="str">
        <f t="shared" si="34"/>
        <v>195</v>
      </c>
      <c r="B2224" s="672">
        <v>19564</v>
      </c>
      <c r="C2224" s="673" t="s">
        <v>16</v>
      </c>
      <c r="D2224" s="672" t="s">
        <v>17</v>
      </c>
    </row>
    <row r="2225" spans="1:4" x14ac:dyDescent="0.2">
      <c r="A2225" s="672" t="str">
        <f t="shared" si="34"/>
        <v>195</v>
      </c>
      <c r="B2225" s="672">
        <v>19565</v>
      </c>
      <c r="C2225" s="673" t="s">
        <v>16</v>
      </c>
      <c r="D2225" s="672" t="s">
        <v>17</v>
      </c>
    </row>
    <row r="2226" spans="1:4" x14ac:dyDescent="0.2">
      <c r="A2226" s="672" t="str">
        <f t="shared" si="34"/>
        <v>195</v>
      </c>
      <c r="B2226" s="672">
        <v>19567</v>
      </c>
      <c r="C2226" s="673" t="s">
        <v>16</v>
      </c>
      <c r="D2226" s="672" t="s">
        <v>17</v>
      </c>
    </row>
    <row r="2227" spans="1:4" x14ac:dyDescent="0.2">
      <c r="A2227" s="672" t="str">
        <f t="shared" si="34"/>
        <v>196</v>
      </c>
      <c r="B2227" s="672">
        <v>19601</v>
      </c>
      <c r="C2227" s="673" t="s">
        <v>16</v>
      </c>
      <c r="D2227" s="672" t="s">
        <v>17</v>
      </c>
    </row>
    <row r="2228" spans="1:4" x14ac:dyDescent="0.2">
      <c r="A2228" s="672" t="str">
        <f t="shared" si="34"/>
        <v>196</v>
      </c>
      <c r="B2228" s="672">
        <v>19602</v>
      </c>
      <c r="C2228" s="673" t="s">
        <v>16</v>
      </c>
      <c r="D2228" s="672" t="s">
        <v>17</v>
      </c>
    </row>
    <row r="2229" spans="1:4" x14ac:dyDescent="0.2">
      <c r="A2229" s="672" t="str">
        <f t="shared" si="34"/>
        <v>196</v>
      </c>
      <c r="B2229" s="672">
        <v>19603</v>
      </c>
      <c r="C2229" s="673" t="s">
        <v>16</v>
      </c>
      <c r="D2229" s="672" t="s">
        <v>17</v>
      </c>
    </row>
    <row r="2230" spans="1:4" x14ac:dyDescent="0.2">
      <c r="A2230" s="672" t="str">
        <f t="shared" si="34"/>
        <v>196</v>
      </c>
      <c r="B2230" s="672">
        <v>19604</v>
      </c>
      <c r="C2230" s="673" t="s">
        <v>16</v>
      </c>
      <c r="D2230" s="672" t="s">
        <v>17</v>
      </c>
    </row>
    <row r="2231" spans="1:4" x14ac:dyDescent="0.2">
      <c r="A2231" s="672" t="str">
        <f t="shared" si="34"/>
        <v>196</v>
      </c>
      <c r="B2231" s="672">
        <v>19605</v>
      </c>
      <c r="C2231" s="673" t="s">
        <v>16</v>
      </c>
      <c r="D2231" s="672" t="s">
        <v>17</v>
      </c>
    </row>
    <row r="2232" spans="1:4" x14ac:dyDescent="0.2">
      <c r="A2232" s="672" t="str">
        <f t="shared" si="34"/>
        <v>196</v>
      </c>
      <c r="B2232" s="672">
        <v>19606</v>
      </c>
      <c r="C2232" s="673" t="s">
        <v>16</v>
      </c>
      <c r="D2232" s="672" t="s">
        <v>17</v>
      </c>
    </row>
    <row r="2233" spans="1:4" x14ac:dyDescent="0.2">
      <c r="A2233" s="672" t="str">
        <f t="shared" si="34"/>
        <v>196</v>
      </c>
      <c r="B2233" s="672">
        <v>19607</v>
      </c>
      <c r="C2233" s="673" t="s">
        <v>16</v>
      </c>
      <c r="D2233" s="672" t="s">
        <v>17</v>
      </c>
    </row>
    <row r="2234" spans="1:4" x14ac:dyDescent="0.2">
      <c r="A2234" s="672" t="str">
        <f t="shared" si="34"/>
        <v>196</v>
      </c>
      <c r="B2234" s="672">
        <v>19608</v>
      </c>
      <c r="C2234" s="673" t="s">
        <v>16</v>
      </c>
      <c r="D2234" s="672" t="s">
        <v>17</v>
      </c>
    </row>
    <row r="2235" spans="1:4" x14ac:dyDescent="0.2">
      <c r="A2235" s="672" t="str">
        <f t="shared" si="34"/>
        <v>196</v>
      </c>
      <c r="B2235" s="672">
        <v>19609</v>
      </c>
      <c r="C2235" s="673" t="s">
        <v>16</v>
      </c>
      <c r="D2235" s="672" t="s">
        <v>17</v>
      </c>
    </row>
    <row r="2236" spans="1:4" x14ac:dyDescent="0.2">
      <c r="A2236" s="672" t="str">
        <f t="shared" si="34"/>
        <v>196</v>
      </c>
      <c r="B2236" s="672">
        <v>19610</v>
      </c>
      <c r="C2236" s="673" t="s">
        <v>16</v>
      </c>
      <c r="D2236" s="672" t="s">
        <v>17</v>
      </c>
    </row>
    <row r="2237" spans="1:4" x14ac:dyDescent="0.2">
      <c r="A2237" s="672" t="str">
        <f t="shared" si="34"/>
        <v>196</v>
      </c>
      <c r="B2237" s="672">
        <v>19611</v>
      </c>
      <c r="C2237" s="673" t="s">
        <v>16</v>
      </c>
      <c r="D2237" s="672" t="s">
        <v>17</v>
      </c>
    </row>
    <row r="2238" spans="1:4" x14ac:dyDescent="0.2">
      <c r="A2238" s="672" t="str">
        <f t="shared" si="34"/>
        <v>196</v>
      </c>
      <c r="B2238" s="672">
        <v>19612</v>
      </c>
      <c r="C2238" s="673" t="s">
        <v>16</v>
      </c>
      <c r="D2238" s="672" t="s">
        <v>17</v>
      </c>
    </row>
    <row r="2239" spans="1:4" x14ac:dyDescent="0.2">
      <c r="A2239" s="672" t="str">
        <f t="shared" si="34"/>
        <v>196</v>
      </c>
      <c r="B2239" s="672">
        <v>19640</v>
      </c>
      <c r="C2239" s="673" t="s">
        <v>16</v>
      </c>
      <c r="D2239" s="672" t="s">
        <v>17</v>
      </c>
    </row>
  </sheetData>
  <autoFilter ref="B1:D2223" xr:uid="{0602C3E1-DF06-4A15-BDD3-61715F332FD9}"/>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68800-8476-41BC-8BF7-7E1D7FBB4C19}">
  <sheetPr>
    <tabColor rgb="FFC00000"/>
  </sheetPr>
  <dimension ref="A1:Z37"/>
  <sheetViews>
    <sheetView showGridLines="0" zoomScale="85" zoomScaleNormal="85" workbookViewId="0">
      <selection activeCell="F3" sqref="F3"/>
    </sheetView>
  </sheetViews>
  <sheetFormatPr defaultRowHeight="14.25" x14ac:dyDescent="0.2"/>
  <cols>
    <col min="1" max="1" width="3.375" customWidth="1"/>
    <col min="2" max="2" width="15.125" customWidth="1"/>
    <col min="4" max="4" width="16.875" customWidth="1"/>
    <col min="5" max="5" width="12.625" customWidth="1"/>
    <col min="6" max="6" width="21.75" customWidth="1"/>
    <col min="7" max="7" width="3.5" customWidth="1"/>
    <col min="13" max="13" width="2.5" customWidth="1"/>
    <col min="14" max="14" width="2.75" customWidth="1"/>
    <col min="20" max="20" width="3.125" customWidth="1"/>
  </cols>
  <sheetData>
    <row r="1" spans="1:26" ht="46.5" customHeight="1" x14ac:dyDescent="0.2">
      <c r="A1" s="852"/>
      <c r="B1" s="852"/>
      <c r="C1" s="852"/>
      <c r="D1" s="852"/>
      <c r="E1" s="852"/>
      <c r="F1" s="852"/>
      <c r="G1" s="852"/>
      <c r="H1" s="852"/>
      <c r="I1" s="852"/>
      <c r="J1" s="852"/>
      <c r="K1" s="852"/>
      <c r="L1" s="852"/>
      <c r="M1" s="852"/>
      <c r="N1" s="852"/>
      <c r="O1" s="852"/>
      <c r="P1" s="852"/>
      <c r="Q1" s="852"/>
      <c r="R1" s="852"/>
      <c r="S1" s="852"/>
      <c r="T1" s="852"/>
      <c r="U1" s="852"/>
      <c r="V1" s="852"/>
      <c r="W1" s="852"/>
      <c r="X1" s="852"/>
      <c r="Y1" s="852"/>
      <c r="Z1" s="852"/>
    </row>
    <row r="2" spans="1:26" ht="15.75" thickBot="1" x14ac:dyDescent="0.3">
      <c r="H2" s="674"/>
    </row>
    <row r="3" spans="1:26" ht="20.45" customHeight="1" thickBot="1" x14ac:dyDescent="0.3">
      <c r="B3" s="853" t="s">
        <v>373</v>
      </c>
      <c r="C3" s="854"/>
      <c r="D3" s="855"/>
      <c r="E3" s="675" t="s">
        <v>374</v>
      </c>
      <c r="F3" s="674" t="str">
        <f>_xlfn.XLOOKUP(CR_Utility,B7:B9,F7:F9,0)</f>
        <v>PPL Electric</v>
      </c>
      <c r="G3" s="674"/>
      <c r="H3" s="674"/>
    </row>
    <row r="4" spans="1:26" ht="15.75" thickBot="1" x14ac:dyDescent="0.3">
      <c r="G4" s="676"/>
      <c r="H4" s="677"/>
      <c r="I4" s="678"/>
      <c r="J4" s="678"/>
      <c r="K4" s="678"/>
      <c r="L4" s="678"/>
      <c r="M4" s="678"/>
      <c r="N4" s="676"/>
      <c r="O4" s="678"/>
      <c r="P4" s="678"/>
      <c r="Q4" s="678"/>
      <c r="R4" s="678"/>
      <c r="S4" s="678"/>
      <c r="T4" s="679"/>
    </row>
    <row r="5" spans="1:26" ht="15" x14ac:dyDescent="0.25">
      <c r="B5" s="857" t="s">
        <v>375</v>
      </c>
      <c r="C5" s="858"/>
      <c r="D5" s="858"/>
      <c r="E5" s="859"/>
      <c r="G5" s="680"/>
      <c r="H5" s="856" t="s">
        <v>376</v>
      </c>
      <c r="I5" s="856"/>
      <c r="J5" s="856"/>
      <c r="K5" s="856"/>
      <c r="L5" s="856"/>
      <c r="N5" s="680"/>
      <c r="O5" s="856" t="s">
        <v>377</v>
      </c>
      <c r="P5" s="856"/>
      <c r="Q5" s="856"/>
      <c r="R5" s="856"/>
      <c r="S5" s="856"/>
      <c r="T5" s="681"/>
    </row>
    <row r="6" spans="1:26" ht="15.75" thickBot="1" x14ac:dyDescent="0.3">
      <c r="B6" s="716" t="s">
        <v>378</v>
      </c>
      <c r="C6" s="717" t="s">
        <v>379</v>
      </c>
      <c r="D6" s="717" t="s">
        <v>380</v>
      </c>
      <c r="E6" s="718" t="s">
        <v>381</v>
      </c>
      <c r="G6" s="680"/>
      <c r="H6" s="674" t="s">
        <v>382</v>
      </c>
      <c r="M6" s="674"/>
      <c r="N6" s="682"/>
      <c r="O6" s="674" t="s">
        <v>382</v>
      </c>
      <c r="T6" s="681"/>
    </row>
    <row r="7" spans="1:26" x14ac:dyDescent="0.2">
      <c r="B7" s="683" t="s">
        <v>374</v>
      </c>
      <c r="C7" s="684">
        <v>0.1</v>
      </c>
      <c r="D7" s="685">
        <v>0</v>
      </c>
      <c r="E7" s="685">
        <v>0.5</v>
      </c>
      <c r="F7" t="s">
        <v>889</v>
      </c>
      <c r="G7" s="680"/>
      <c r="H7" s="724"/>
      <c r="I7" s="724"/>
      <c r="J7" s="724"/>
      <c r="K7" s="724"/>
      <c r="L7" s="724"/>
      <c r="N7" s="680"/>
      <c r="T7" s="681"/>
    </row>
    <row r="8" spans="1:26" x14ac:dyDescent="0.2">
      <c r="B8" s="683" t="s">
        <v>383</v>
      </c>
      <c r="C8" s="686"/>
      <c r="D8" s="687"/>
      <c r="E8" s="687"/>
      <c r="F8" t="s">
        <v>383</v>
      </c>
      <c r="G8" s="680"/>
      <c r="H8" s="724"/>
      <c r="I8" s="724"/>
      <c r="J8" s="724"/>
      <c r="K8" s="724"/>
      <c r="L8" s="724"/>
      <c r="N8" s="680"/>
      <c r="T8" s="681"/>
    </row>
    <row r="9" spans="1:26" ht="15" thickBot="1" x14ac:dyDescent="0.25">
      <c r="B9" s="688" t="s">
        <v>384</v>
      </c>
      <c r="C9" s="689"/>
      <c r="D9" s="690"/>
      <c r="E9" s="690"/>
      <c r="F9" t="s">
        <v>890</v>
      </c>
      <c r="G9" s="680"/>
      <c r="H9" s="724"/>
      <c r="I9" s="724"/>
      <c r="J9" s="724"/>
      <c r="K9" s="724"/>
      <c r="L9" s="724"/>
      <c r="N9" s="680"/>
      <c r="T9" s="681"/>
    </row>
    <row r="10" spans="1:26" x14ac:dyDescent="0.2">
      <c r="G10" s="680"/>
      <c r="H10" s="724"/>
      <c r="I10" s="724"/>
      <c r="J10" s="724"/>
      <c r="K10" s="724"/>
      <c r="L10" s="724"/>
      <c r="N10" s="680"/>
      <c r="T10" s="681"/>
    </row>
    <row r="11" spans="1:26" x14ac:dyDescent="0.2">
      <c r="G11" s="680"/>
      <c r="H11" s="724"/>
      <c r="I11" s="724"/>
      <c r="J11" s="724"/>
      <c r="K11" s="724"/>
      <c r="L11" s="724"/>
      <c r="N11" s="680"/>
      <c r="T11" s="681"/>
    </row>
    <row r="12" spans="1:26" x14ac:dyDescent="0.2">
      <c r="G12" s="680"/>
      <c r="H12" s="724"/>
      <c r="I12" s="724"/>
      <c r="J12" s="724"/>
      <c r="K12" s="724"/>
      <c r="L12" s="724"/>
      <c r="N12" s="680"/>
      <c r="T12" s="681"/>
    </row>
    <row r="13" spans="1:26" x14ac:dyDescent="0.2">
      <c r="G13" s="680"/>
      <c r="H13" s="724"/>
      <c r="I13" s="724"/>
      <c r="J13" s="724"/>
      <c r="K13" s="724"/>
      <c r="L13" s="724"/>
      <c r="N13" s="680"/>
      <c r="T13" s="681"/>
    </row>
    <row r="14" spans="1:26" x14ac:dyDescent="0.2">
      <c r="G14" s="680"/>
      <c r="H14" s="724"/>
      <c r="I14" s="724"/>
      <c r="J14" s="724"/>
      <c r="K14" s="724"/>
      <c r="L14" s="724"/>
      <c r="N14" s="680"/>
      <c r="T14" s="681"/>
    </row>
    <row r="15" spans="1:26" x14ac:dyDescent="0.2">
      <c r="G15" s="680"/>
      <c r="H15" s="724"/>
      <c r="I15" s="724"/>
      <c r="J15" s="724"/>
      <c r="K15" s="724"/>
      <c r="L15" s="724"/>
      <c r="N15" s="680"/>
      <c r="T15" s="681"/>
    </row>
    <row r="16" spans="1:26" ht="15" x14ac:dyDescent="0.25">
      <c r="G16" s="680"/>
      <c r="H16" s="674" t="s">
        <v>385</v>
      </c>
      <c r="N16" s="680"/>
      <c r="O16" s="674" t="s">
        <v>385</v>
      </c>
      <c r="T16" s="681"/>
    </row>
    <row r="17" spans="7:20" x14ac:dyDescent="0.2">
      <c r="G17" s="680"/>
      <c r="H17" s="691"/>
      <c r="I17" s="691"/>
      <c r="J17" s="691"/>
      <c r="K17" s="691"/>
      <c r="L17" s="691"/>
      <c r="N17" s="680"/>
      <c r="T17" s="681"/>
    </row>
    <row r="18" spans="7:20" x14ac:dyDescent="0.2">
      <c r="G18" s="680"/>
      <c r="H18" s="691"/>
      <c r="I18" s="691"/>
      <c r="J18" s="691"/>
      <c r="K18" s="691"/>
      <c r="L18" s="691"/>
      <c r="N18" s="680"/>
      <c r="T18" s="681"/>
    </row>
    <row r="19" spans="7:20" x14ac:dyDescent="0.2">
      <c r="G19" s="680"/>
      <c r="H19" s="691"/>
      <c r="I19" s="691"/>
      <c r="J19" s="691"/>
      <c r="K19" s="691"/>
      <c r="L19" s="691"/>
      <c r="N19" s="680"/>
      <c r="T19" s="681"/>
    </row>
    <row r="20" spans="7:20" x14ac:dyDescent="0.2">
      <c r="G20" s="680"/>
      <c r="H20" s="691"/>
      <c r="I20" s="691"/>
      <c r="J20" s="691"/>
      <c r="K20" s="691"/>
      <c r="L20" s="691"/>
      <c r="N20" s="680"/>
      <c r="T20" s="681"/>
    </row>
    <row r="21" spans="7:20" x14ac:dyDescent="0.2">
      <c r="G21" s="680"/>
      <c r="H21" s="691"/>
      <c r="I21" s="691"/>
      <c r="J21" s="691"/>
      <c r="K21" s="691"/>
      <c r="L21" s="691"/>
      <c r="N21" s="680"/>
      <c r="T21" s="681"/>
    </row>
    <row r="22" spans="7:20" x14ac:dyDescent="0.2">
      <c r="G22" s="680"/>
      <c r="H22" s="691"/>
      <c r="I22" s="691"/>
      <c r="J22" s="691"/>
      <c r="K22" s="691"/>
      <c r="L22" s="691"/>
      <c r="N22" s="680"/>
      <c r="T22" s="681"/>
    </row>
    <row r="23" spans="7:20" x14ac:dyDescent="0.2">
      <c r="G23" s="680"/>
      <c r="H23" s="691"/>
      <c r="I23" s="691"/>
      <c r="J23" s="691"/>
      <c r="K23" s="691"/>
      <c r="L23" s="691"/>
      <c r="N23" s="680"/>
      <c r="T23" s="681"/>
    </row>
    <row r="24" spans="7:20" x14ac:dyDescent="0.2">
      <c r="G24" s="680"/>
      <c r="H24" s="691"/>
      <c r="I24" s="691"/>
      <c r="J24" s="691"/>
      <c r="K24" s="691"/>
      <c r="L24" s="691"/>
      <c r="N24" s="680"/>
      <c r="T24" s="681"/>
    </row>
    <row r="25" spans="7:20" x14ac:dyDescent="0.2">
      <c r="G25" s="680"/>
      <c r="H25" s="691"/>
      <c r="I25" s="691"/>
      <c r="J25" s="691"/>
      <c r="K25" s="691"/>
      <c r="L25" s="691"/>
      <c r="N25" s="680"/>
      <c r="T25" s="681"/>
    </row>
    <row r="26" spans="7:20" ht="15" x14ac:dyDescent="0.25">
      <c r="G26" s="680"/>
      <c r="H26" s="674" t="s">
        <v>386</v>
      </c>
      <c r="N26" s="680"/>
      <c r="O26" s="674" t="s">
        <v>386</v>
      </c>
      <c r="T26" s="681"/>
    </row>
    <row r="27" spans="7:20" x14ac:dyDescent="0.2">
      <c r="G27" s="680"/>
      <c r="H27" s="692"/>
      <c r="I27" s="692"/>
      <c r="J27" s="692"/>
      <c r="K27" s="692"/>
      <c r="L27" s="692"/>
      <c r="N27" s="680"/>
      <c r="T27" s="681"/>
    </row>
    <row r="28" spans="7:20" x14ac:dyDescent="0.2">
      <c r="G28" s="680"/>
      <c r="H28" s="692"/>
      <c r="I28" s="692"/>
      <c r="J28" s="692"/>
      <c r="K28" s="692"/>
      <c r="L28" s="692"/>
      <c r="N28" s="680"/>
      <c r="T28" s="681"/>
    </row>
    <row r="29" spans="7:20" x14ac:dyDescent="0.2">
      <c r="G29" s="680"/>
      <c r="H29" s="692"/>
      <c r="I29" s="692"/>
      <c r="J29" s="692"/>
      <c r="K29" s="692"/>
      <c r="L29" s="692"/>
      <c r="N29" s="680"/>
      <c r="T29" s="681"/>
    </row>
    <row r="30" spans="7:20" x14ac:dyDescent="0.2">
      <c r="G30" s="680"/>
      <c r="H30" s="692"/>
      <c r="I30" s="692"/>
      <c r="J30" s="692"/>
      <c r="K30" s="692"/>
      <c r="L30" s="692"/>
      <c r="N30" s="680"/>
      <c r="T30" s="681"/>
    </row>
    <row r="31" spans="7:20" x14ac:dyDescent="0.2">
      <c r="G31" s="680"/>
      <c r="H31" s="692"/>
      <c r="I31" s="692"/>
      <c r="J31" s="692"/>
      <c r="K31" s="692"/>
      <c r="L31" s="692"/>
      <c r="N31" s="680"/>
      <c r="T31" s="681"/>
    </row>
    <row r="32" spans="7:20" x14ac:dyDescent="0.2">
      <c r="G32" s="680"/>
      <c r="H32" s="692"/>
      <c r="I32" s="692"/>
      <c r="J32" s="692"/>
      <c r="K32" s="692"/>
      <c r="L32" s="692"/>
      <c r="N32" s="680"/>
      <c r="T32" s="681"/>
    </row>
    <row r="33" spans="7:20" x14ac:dyDescent="0.2">
      <c r="G33" s="680"/>
      <c r="H33" s="692"/>
      <c r="I33" s="692"/>
      <c r="J33" s="692"/>
      <c r="K33" s="692"/>
      <c r="L33" s="692"/>
      <c r="N33" s="680"/>
      <c r="T33" s="681"/>
    </row>
    <row r="34" spans="7:20" x14ac:dyDescent="0.2">
      <c r="G34" s="680"/>
      <c r="H34" s="692"/>
      <c r="I34" s="692"/>
      <c r="J34" s="692"/>
      <c r="K34" s="692"/>
      <c r="L34" s="692"/>
      <c r="N34" s="680"/>
      <c r="T34" s="681"/>
    </row>
    <row r="35" spans="7:20" x14ac:dyDescent="0.2">
      <c r="G35" s="680"/>
      <c r="H35" s="692"/>
      <c r="I35" s="692"/>
      <c r="J35" s="692"/>
      <c r="K35" s="692"/>
      <c r="L35" s="692"/>
      <c r="N35" s="680"/>
      <c r="T35" s="681"/>
    </row>
    <row r="36" spans="7:20" ht="9" customHeight="1" x14ac:dyDescent="0.2">
      <c r="G36" s="680"/>
      <c r="N36" s="680"/>
      <c r="T36" s="681"/>
    </row>
    <row r="37" spans="7:20" ht="6.6" customHeight="1" x14ac:dyDescent="0.2">
      <c r="G37" s="693"/>
      <c r="H37" s="694"/>
      <c r="I37" s="694"/>
      <c r="J37" s="694"/>
      <c r="K37" s="694"/>
      <c r="L37" s="694"/>
      <c r="M37" s="694"/>
      <c r="N37" s="693"/>
      <c r="O37" s="694"/>
      <c r="P37" s="694"/>
      <c r="Q37" s="694"/>
      <c r="R37" s="694"/>
      <c r="S37" s="694"/>
      <c r="T37" s="695"/>
    </row>
  </sheetData>
  <mergeCells count="9">
    <mergeCell ref="V1:Z1"/>
    <mergeCell ref="B3:D3"/>
    <mergeCell ref="H5:L5"/>
    <mergeCell ref="O5:S5"/>
    <mergeCell ref="A1:E1"/>
    <mergeCell ref="F1:J1"/>
    <mergeCell ref="K1:P1"/>
    <mergeCell ref="Q1:U1"/>
    <mergeCell ref="B5:E5"/>
  </mergeCells>
  <conditionalFormatting sqref="A1:Z1">
    <cfRule type="expression" dxfId="31" priority="1">
      <formula>$E$3="First Energy"</formula>
    </cfRule>
    <cfRule type="expression" dxfId="30" priority="2">
      <formula>$E$3="PECO"</formula>
    </cfRule>
    <cfRule type="expression" dxfId="29" priority="3">
      <formula>$E$3="PPL"</formula>
    </cfRule>
  </conditionalFormatting>
  <dataValidations count="2">
    <dataValidation type="list" allowBlank="1" showInputMessage="1" showErrorMessage="1" sqref="E3" xr:uid="{43E567A4-95F0-47E1-BB64-CBB8476A7357}">
      <formula1>"PPL, PECO, First Energy"</formula1>
    </dataValidation>
    <dataValidation allowBlank="1" showInputMessage="1" showErrorMessage="1" prompt="Incentives are referenced on the inventory tab, in column AF" sqref="B5" xr:uid="{F7C78A4C-D7B1-4038-9426-2CBF0FB23867}"/>
  </dataValidation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24A5F-DDD5-470E-87B0-549388C357EC}">
  <sheetPr>
    <tabColor rgb="FF92D050"/>
  </sheetPr>
  <dimension ref="B1:AY181"/>
  <sheetViews>
    <sheetView zoomScale="70" zoomScaleNormal="70" workbookViewId="0">
      <selection activeCell="G9" sqref="G9"/>
    </sheetView>
  </sheetViews>
  <sheetFormatPr defaultColWidth="9" defaultRowHeight="14.25" x14ac:dyDescent="0.2"/>
  <cols>
    <col min="1" max="1" width="6.125" style="1" customWidth="1"/>
    <col min="2" max="2" width="14.625" style="1" bestFit="1" customWidth="1"/>
    <col min="3" max="3" width="24.625" style="1" bestFit="1" customWidth="1"/>
    <col min="4" max="4" width="15.125" style="1" customWidth="1"/>
    <col min="5" max="5" width="12.5" style="1" bestFit="1" customWidth="1"/>
    <col min="6" max="6" width="17.625" style="1" customWidth="1"/>
    <col min="7" max="7" width="19.625" style="1" customWidth="1"/>
    <col min="8" max="9" width="17.625" style="1" customWidth="1"/>
    <col min="10" max="10" width="28.125" style="1" bestFit="1" customWidth="1"/>
    <col min="11" max="11" width="12.625" style="1" customWidth="1"/>
    <col min="12" max="12" width="12.125" style="1" customWidth="1"/>
    <col min="13" max="13" width="13.125" style="1" customWidth="1"/>
    <col min="14" max="14" width="11" style="1" customWidth="1"/>
    <col min="15" max="15" width="11.625" style="1" customWidth="1"/>
    <col min="16" max="16" width="12.625" style="1" customWidth="1"/>
    <col min="17" max="17" width="7.125" style="1" customWidth="1"/>
    <col min="18" max="19" width="10.125" style="1" bestFit="1" customWidth="1"/>
    <col min="20" max="20" width="10.625" style="1" bestFit="1" customWidth="1"/>
    <col min="21" max="23" width="10.125" style="1" bestFit="1" customWidth="1"/>
    <col min="24" max="25" width="9" style="1"/>
    <col min="26" max="27" width="10.125" style="1" bestFit="1" customWidth="1"/>
    <col min="28" max="29" width="9" style="1"/>
    <col min="30" max="31" width="10.125" style="1" bestFit="1" customWidth="1"/>
    <col min="32" max="40" width="9" style="1"/>
    <col min="41" max="41" width="12.625" style="1" customWidth="1"/>
    <col min="42" max="42" width="34.125" style="1" customWidth="1"/>
    <col min="43" max="43" width="29.625" style="1" customWidth="1"/>
    <col min="44" max="44" width="64.625" style="1" customWidth="1"/>
    <col min="45" max="45" width="27.625" style="1" customWidth="1"/>
    <col min="46" max="46" width="9" style="1"/>
    <col min="47" max="47" width="33.625" style="1" customWidth="1"/>
    <col min="48" max="50" width="9.625" style="1" customWidth="1"/>
    <col min="51" max="51" width="16.625" style="1" customWidth="1"/>
    <col min="52" max="52" width="64.5" style="1" customWidth="1"/>
    <col min="53" max="53" width="22.625" style="1" customWidth="1"/>
    <col min="54" max="16384" width="9" style="1"/>
  </cols>
  <sheetData>
    <row r="1" spans="2:47" ht="26.85" customHeight="1" x14ac:dyDescent="0.2"/>
    <row r="2" spans="2:47" ht="26.85" customHeight="1" x14ac:dyDescent="0.25">
      <c r="B2" s="7"/>
      <c r="D2" s="7"/>
      <c r="F2" s="7"/>
      <c r="H2" s="7"/>
      <c r="I2" s="7"/>
      <c r="J2" s="7"/>
      <c r="K2" s="7"/>
      <c r="L2" s="7"/>
      <c r="M2" s="7"/>
      <c r="N2" s="7"/>
      <c r="O2" s="7"/>
      <c r="P2" s="7"/>
      <c r="S2" s="7"/>
      <c r="T2" s="7"/>
      <c r="U2" s="7"/>
      <c r="V2" s="7"/>
      <c r="W2" s="7"/>
      <c r="X2" s="7"/>
      <c r="Y2" s="7"/>
      <c r="Z2" s="7"/>
      <c r="AA2" s="7"/>
      <c r="AB2" s="7"/>
      <c r="AC2" s="7"/>
      <c r="AD2" s="7"/>
      <c r="AE2" s="7"/>
      <c r="AF2" s="7"/>
      <c r="AG2" s="7"/>
      <c r="AH2" s="7"/>
      <c r="AI2" s="7"/>
      <c r="AJ2" s="7"/>
      <c r="AK2" s="7"/>
      <c r="AL2" s="7"/>
      <c r="AM2" s="7"/>
      <c r="AN2" s="7"/>
      <c r="AQ2" s="434"/>
      <c r="AR2" s="434"/>
      <c r="AS2" s="435"/>
      <c r="AT2" s="436"/>
      <c r="AU2" s="434"/>
    </row>
    <row r="3" spans="2:47" ht="26.85" customHeight="1" x14ac:dyDescent="0.25">
      <c r="B3" s="310" t="s">
        <v>387</v>
      </c>
      <c r="C3" s="312" t="s">
        <v>388</v>
      </c>
      <c r="D3" s="149"/>
      <c r="E3" s="149"/>
      <c r="F3" s="149" t="s">
        <v>389</v>
      </c>
      <c r="G3" s="149" t="s">
        <v>388</v>
      </c>
      <c r="H3" s="149"/>
      <c r="I3" s="149"/>
      <c r="J3" s="437"/>
      <c r="K3" s="437"/>
      <c r="L3" s="437"/>
      <c r="S3" s="437"/>
      <c r="T3" s="437"/>
      <c r="U3" s="437"/>
      <c r="V3" s="437"/>
      <c r="W3" s="437"/>
      <c r="X3" s="437"/>
      <c r="Y3" s="437"/>
      <c r="Z3" s="437"/>
      <c r="AA3" s="437"/>
      <c r="AB3" s="437"/>
      <c r="AC3" s="437"/>
      <c r="AD3" s="437"/>
      <c r="AE3" s="437"/>
      <c r="AF3" s="437"/>
      <c r="AG3" s="437"/>
      <c r="AH3" s="437"/>
      <c r="AI3" s="437"/>
      <c r="AJ3" s="437"/>
      <c r="AK3" s="437"/>
      <c r="AL3" s="437"/>
      <c r="AM3" s="437"/>
      <c r="AN3" s="437"/>
      <c r="AQ3" s="434"/>
      <c r="AR3" s="434"/>
      <c r="AS3" s="435"/>
      <c r="AT3" s="434"/>
      <c r="AU3" s="434"/>
    </row>
    <row r="4" spans="2:47" ht="26.85" customHeight="1" x14ac:dyDescent="0.25">
      <c r="B4" s="310" t="s">
        <v>390</v>
      </c>
      <c r="C4" s="313">
        <f>INDEX(F4:G4,MATCH($C$3,$F$3:$G$3,0))</f>
        <v>0.1</v>
      </c>
      <c r="D4" s="149"/>
      <c r="E4" s="314" t="s">
        <v>194</v>
      </c>
      <c r="F4" s="311">
        <v>0.2</v>
      </c>
      <c r="G4" s="311">
        <v>0.1</v>
      </c>
      <c r="H4" s="377"/>
      <c r="I4" s="311"/>
      <c r="J4" s="437"/>
      <c r="K4" s="437"/>
      <c r="L4" s="437"/>
      <c r="M4" s="437"/>
      <c r="N4" s="437"/>
      <c r="O4" s="437"/>
      <c r="P4" s="437"/>
      <c r="Q4" s="437"/>
      <c r="S4" s="437"/>
      <c r="T4" s="437"/>
      <c r="U4" s="437"/>
      <c r="V4" s="437"/>
      <c r="W4" s="437"/>
      <c r="X4" s="437"/>
      <c r="Y4" s="437"/>
      <c r="Z4" s="437"/>
      <c r="AA4" s="437"/>
      <c r="AB4" s="437"/>
      <c r="AC4" s="437"/>
      <c r="AD4" s="437"/>
      <c r="AE4" s="437"/>
      <c r="AF4" s="437"/>
      <c r="AG4" s="437"/>
      <c r="AH4" s="437"/>
      <c r="AI4" s="437"/>
      <c r="AJ4" s="437"/>
      <c r="AK4" s="437"/>
      <c r="AL4" s="437"/>
      <c r="AM4" s="437"/>
      <c r="AN4" s="437"/>
      <c r="AQ4" s="434"/>
      <c r="AR4" s="434"/>
      <c r="AS4" s="435"/>
      <c r="AT4" s="434"/>
      <c r="AU4" s="434"/>
    </row>
    <row r="5" spans="2:47" ht="26.85" customHeight="1" x14ac:dyDescent="0.25">
      <c r="B5" s="310" t="s">
        <v>391</v>
      </c>
      <c r="C5" s="313">
        <f>INDEX(F5:G5,MATCH($C$3,$F$3:$G$3,0))</f>
        <v>0</v>
      </c>
      <c r="D5" s="149"/>
      <c r="E5" s="314" t="s">
        <v>392</v>
      </c>
      <c r="F5" s="311">
        <v>0</v>
      </c>
      <c r="G5" s="311">
        <v>0</v>
      </c>
      <c r="H5" s="377"/>
      <c r="I5" s="311"/>
      <c r="S5" s="437"/>
      <c r="T5" s="437"/>
      <c r="U5" s="437"/>
      <c r="V5" s="437"/>
      <c r="W5" s="437"/>
      <c r="X5" s="437"/>
      <c r="Y5" s="437"/>
      <c r="Z5" s="437"/>
      <c r="AA5" s="437"/>
      <c r="AB5" s="437"/>
      <c r="AC5" s="430"/>
      <c r="AD5" s="437"/>
      <c r="AE5" s="437"/>
      <c r="AF5" s="437"/>
      <c r="AG5" s="437"/>
      <c r="AH5" s="437"/>
      <c r="AI5" s="437"/>
      <c r="AJ5" s="437"/>
      <c r="AK5" s="437"/>
      <c r="AL5" s="437"/>
      <c r="AM5" s="437"/>
      <c r="AN5" s="437"/>
      <c r="AQ5" s="434"/>
      <c r="AR5" s="434"/>
      <c r="AS5" s="435"/>
      <c r="AT5" s="434"/>
      <c r="AU5" s="434"/>
    </row>
    <row r="6" spans="2:47" ht="26.85" customHeight="1" x14ac:dyDescent="0.25">
      <c r="B6" s="310" t="s">
        <v>393</v>
      </c>
      <c r="C6" s="334">
        <f>INDEX(F6:G6,MATCH($C$3,$F$3:$G$3,0))</f>
        <v>0.5</v>
      </c>
      <c r="D6" s="149"/>
      <c r="E6" s="314" t="s">
        <v>394</v>
      </c>
      <c r="F6" s="378">
        <v>0.8</v>
      </c>
      <c r="G6" s="378">
        <v>0.5</v>
      </c>
      <c r="H6" s="378"/>
      <c r="I6" s="378"/>
      <c r="AC6" s="430"/>
      <c r="AQ6" s="434"/>
      <c r="AR6" s="434"/>
      <c r="AS6" s="435"/>
      <c r="AT6" s="434"/>
      <c r="AU6" s="434"/>
    </row>
    <row r="7" spans="2:47" ht="26.85" customHeight="1" x14ac:dyDescent="0.25">
      <c r="AC7" s="430"/>
      <c r="AQ7" s="434"/>
      <c r="AR7" s="434"/>
      <c r="AS7" s="435"/>
      <c r="AT7" s="434"/>
      <c r="AU7" s="434"/>
    </row>
    <row r="8" spans="2:47" ht="26.85" customHeight="1" x14ac:dyDescent="0.25">
      <c r="B8" s="7"/>
      <c r="E8" s="7"/>
      <c r="AC8" s="430"/>
      <c r="AQ8" s="434"/>
      <c r="AR8" s="434"/>
      <c r="AS8" s="435"/>
      <c r="AT8" s="434"/>
      <c r="AU8" s="434"/>
    </row>
    <row r="9" spans="2:47" ht="26.85" customHeight="1" x14ac:dyDescent="0.25">
      <c r="AC9" s="430"/>
      <c r="AQ9" s="434"/>
      <c r="AR9" s="434"/>
      <c r="AS9" s="435"/>
      <c r="AT9" s="434"/>
      <c r="AU9" s="434"/>
    </row>
    <row r="10" spans="2:47" ht="26.85" customHeight="1" x14ac:dyDescent="0.25">
      <c r="AC10" s="430"/>
      <c r="AQ10" s="434"/>
      <c r="AR10" s="434"/>
      <c r="AS10" s="435"/>
      <c r="AT10" s="434"/>
      <c r="AU10" s="434"/>
    </row>
    <row r="11" spans="2:47" ht="26.85" customHeight="1" x14ac:dyDescent="0.25">
      <c r="AC11" s="430"/>
      <c r="AQ11" s="434"/>
      <c r="AR11" s="434"/>
      <c r="AS11" s="435"/>
      <c r="AT11" s="434"/>
      <c r="AU11" s="434"/>
    </row>
    <row r="12" spans="2:47" ht="15" x14ac:dyDescent="0.25">
      <c r="AC12" s="430"/>
      <c r="AQ12" s="434"/>
      <c r="AR12" s="434"/>
      <c r="AS12" s="435"/>
      <c r="AT12" s="434"/>
      <c r="AU12" s="434"/>
    </row>
    <row r="13" spans="2:47" ht="15" x14ac:dyDescent="0.25">
      <c r="AC13" s="430"/>
      <c r="AQ13" s="434"/>
      <c r="AR13" s="434"/>
      <c r="AS13" s="435"/>
      <c r="AT13" s="434"/>
      <c r="AU13" s="434"/>
    </row>
    <row r="14" spans="2:47" ht="15" x14ac:dyDescent="0.25">
      <c r="AC14" s="430"/>
      <c r="AQ14" s="434"/>
      <c r="AR14" s="434"/>
      <c r="AS14" s="435"/>
      <c r="AT14" s="434"/>
      <c r="AU14" s="434"/>
    </row>
    <row r="15" spans="2:47" ht="15" x14ac:dyDescent="0.25">
      <c r="AC15" s="430"/>
      <c r="AQ15" s="434"/>
      <c r="AR15" s="434"/>
      <c r="AS15" s="435"/>
      <c r="AT15" s="434"/>
      <c r="AU15" s="434"/>
    </row>
    <row r="16" spans="2:47" ht="15" x14ac:dyDescent="0.25">
      <c r="AQ16" s="434"/>
      <c r="AR16" s="434"/>
      <c r="AS16" s="435"/>
      <c r="AT16" s="434"/>
      <c r="AU16" s="434"/>
    </row>
    <row r="17" spans="2:51" ht="18" x14ac:dyDescent="0.25">
      <c r="B17" s="7"/>
      <c r="C17" s="7"/>
      <c r="D17" s="7"/>
      <c r="E17" s="7"/>
      <c r="F17" s="7"/>
      <c r="G17" s="7"/>
      <c r="H17" s="7"/>
      <c r="I17" s="7"/>
      <c r="J17" s="7"/>
      <c r="K17" s="7"/>
      <c r="L17" s="7"/>
      <c r="M17" s="7"/>
      <c r="N17" s="7"/>
      <c r="O17" s="7"/>
      <c r="P17" s="7"/>
      <c r="Q17" s="7"/>
      <c r="R17" s="7"/>
      <c r="S17" s="7"/>
      <c r="T17" s="7"/>
      <c r="U17" s="7"/>
      <c r="V17" s="7"/>
      <c r="W17" s="7"/>
      <c r="X17" s="7"/>
      <c r="Y17" s="7"/>
      <c r="Z17" s="7"/>
      <c r="AA17" s="7"/>
      <c r="AU17" s="434"/>
      <c r="AV17" s="434"/>
      <c r="AW17" s="435"/>
      <c r="AX17" s="434"/>
      <c r="AY17" s="434"/>
    </row>
    <row r="18" spans="2:51" ht="15" x14ac:dyDescent="0.25">
      <c r="B18" s="438"/>
      <c r="C18" s="438"/>
      <c r="D18" s="438"/>
      <c r="E18" s="438"/>
      <c r="F18" s="438"/>
      <c r="G18" s="438"/>
      <c r="H18" s="438"/>
      <c r="I18" s="438"/>
      <c r="J18" s="438"/>
      <c r="K18" s="438"/>
      <c r="L18" s="437"/>
      <c r="M18" s="437"/>
      <c r="N18" s="437"/>
      <c r="O18" s="437"/>
      <c r="P18" s="437"/>
      <c r="Q18" s="437"/>
      <c r="R18" s="437"/>
      <c r="S18" s="437"/>
      <c r="T18" s="437"/>
      <c r="U18" s="437"/>
      <c r="V18" s="437"/>
      <c r="W18" s="437"/>
      <c r="X18" s="437"/>
      <c r="Y18" s="437"/>
      <c r="Z18" s="437"/>
      <c r="AA18" s="437"/>
      <c r="AU18" s="434"/>
      <c r="AV18" s="434"/>
      <c r="AW18" s="435"/>
      <c r="AX18" s="434"/>
      <c r="AY18" s="434"/>
    </row>
    <row r="19" spans="2:51" ht="15" x14ac:dyDescent="0.25">
      <c r="B19" s="438"/>
      <c r="C19" s="438"/>
      <c r="D19" s="438"/>
      <c r="E19" s="438"/>
      <c r="F19" s="438"/>
      <c r="G19" s="438"/>
      <c r="H19" s="438"/>
      <c r="I19" s="438"/>
      <c r="J19" s="438"/>
      <c r="K19" s="438"/>
      <c r="L19" s="437"/>
      <c r="M19" s="437"/>
      <c r="N19" s="437"/>
      <c r="O19" s="437"/>
      <c r="P19" s="437"/>
      <c r="Q19" s="437"/>
      <c r="R19" s="437"/>
      <c r="S19" s="437"/>
      <c r="T19" s="437"/>
      <c r="U19" s="437"/>
      <c r="V19" s="437"/>
      <c r="W19" s="437"/>
      <c r="X19" s="437"/>
      <c r="Y19" s="437"/>
      <c r="Z19" s="437"/>
      <c r="AA19" s="437"/>
      <c r="AU19" s="434"/>
      <c r="AV19" s="434"/>
      <c r="AW19" s="435"/>
      <c r="AX19" s="434"/>
      <c r="AY19" s="434"/>
    </row>
    <row r="20" spans="2:51" ht="15" x14ac:dyDescent="0.25">
      <c r="B20" s="437"/>
      <c r="C20" s="437"/>
      <c r="D20" s="437"/>
      <c r="E20" s="437"/>
      <c r="F20" s="437"/>
      <c r="G20" s="437"/>
      <c r="H20" s="437"/>
      <c r="I20" s="437"/>
      <c r="J20" s="437"/>
      <c r="K20" s="437"/>
      <c r="L20" s="437"/>
      <c r="M20" s="437"/>
      <c r="N20" s="437"/>
      <c r="O20" s="437"/>
      <c r="P20" s="437"/>
      <c r="Q20" s="437"/>
      <c r="R20" s="437"/>
      <c r="S20" s="437"/>
      <c r="T20" s="437"/>
      <c r="U20" s="437"/>
      <c r="V20" s="437"/>
      <c r="W20" s="437"/>
      <c r="X20" s="437"/>
      <c r="Y20" s="437"/>
      <c r="Z20" s="437"/>
      <c r="AA20" s="437"/>
      <c r="AU20" s="434"/>
      <c r="AV20" s="434"/>
      <c r="AW20" s="435"/>
      <c r="AX20" s="434"/>
      <c r="AY20" s="434"/>
    </row>
    <row r="21" spans="2:51" ht="15" x14ac:dyDescent="0.25">
      <c r="AU21" s="434"/>
      <c r="AV21" s="434"/>
      <c r="AW21" s="435"/>
      <c r="AX21" s="434"/>
      <c r="AY21" s="434"/>
    </row>
    <row r="22" spans="2:51" ht="15" x14ac:dyDescent="0.25">
      <c r="AU22" s="434"/>
      <c r="AV22" s="434"/>
      <c r="AW22" s="435"/>
      <c r="AX22" s="434"/>
      <c r="AY22" s="434"/>
    </row>
    <row r="23" spans="2:51" ht="15" x14ac:dyDescent="0.25">
      <c r="AU23" s="434"/>
      <c r="AV23" s="434"/>
      <c r="AW23" s="435"/>
      <c r="AX23" s="434"/>
      <c r="AY23" s="434"/>
    </row>
    <row r="24" spans="2:51" ht="15" x14ac:dyDescent="0.25">
      <c r="AU24" s="434"/>
      <c r="AV24" s="434"/>
      <c r="AW24" s="435"/>
      <c r="AX24" s="434"/>
      <c r="AY24" s="434"/>
    </row>
    <row r="25" spans="2:51" ht="15" x14ac:dyDescent="0.25">
      <c r="AU25" s="434"/>
      <c r="AV25" s="434"/>
      <c r="AW25" s="435"/>
      <c r="AX25" s="434"/>
      <c r="AY25" s="434"/>
    </row>
    <row r="26" spans="2:51" ht="15" x14ac:dyDescent="0.25">
      <c r="AU26" s="434"/>
      <c r="AV26" s="434"/>
      <c r="AW26" s="435"/>
      <c r="AX26" s="434"/>
      <c r="AY26" s="434"/>
    </row>
    <row r="27" spans="2:51" ht="15" x14ac:dyDescent="0.25">
      <c r="AU27" s="434"/>
      <c r="AV27" s="434"/>
      <c r="AW27" s="435"/>
      <c r="AX27" s="434"/>
      <c r="AY27" s="434"/>
    </row>
    <row r="28" spans="2:51" ht="15" x14ac:dyDescent="0.25">
      <c r="AU28" s="434"/>
      <c r="AV28" s="434"/>
      <c r="AW28" s="435"/>
      <c r="AX28" s="434"/>
      <c r="AY28" s="434"/>
    </row>
    <row r="29" spans="2:51" ht="15" x14ac:dyDescent="0.25">
      <c r="AU29" s="434"/>
      <c r="AV29" s="434"/>
      <c r="AW29" s="435"/>
      <c r="AX29" s="434"/>
      <c r="AY29" s="434"/>
    </row>
    <row r="30" spans="2:51" ht="15" x14ac:dyDescent="0.25">
      <c r="AU30" s="434"/>
      <c r="AV30" s="434"/>
      <c r="AW30" s="435"/>
      <c r="AX30" s="434"/>
      <c r="AY30" s="434"/>
    </row>
    <row r="31" spans="2:51" ht="15" x14ac:dyDescent="0.25">
      <c r="AR31" s="434"/>
      <c r="AS31" s="434"/>
      <c r="AT31" s="435"/>
      <c r="AU31" s="434"/>
      <c r="AV31" s="434"/>
    </row>
    <row r="32" spans="2:51" ht="18" x14ac:dyDescent="0.25">
      <c r="B32" s="7"/>
      <c r="C32" s="7"/>
      <c r="D32" s="7"/>
      <c r="F32" s="7"/>
      <c r="AO32" s="434"/>
      <c r="AP32" s="434"/>
      <c r="AQ32" s="435"/>
      <c r="AR32" s="434"/>
      <c r="AS32" s="434"/>
    </row>
    <row r="33" spans="2:45" ht="15" x14ac:dyDescent="0.25">
      <c r="D33" s="429"/>
      <c r="AO33" s="434"/>
      <c r="AP33" s="434"/>
      <c r="AQ33" s="435"/>
      <c r="AR33" s="434"/>
      <c r="AS33" s="434"/>
    </row>
    <row r="34" spans="2:45" ht="15" x14ac:dyDescent="0.25">
      <c r="AO34" s="434"/>
      <c r="AP34" s="434"/>
      <c r="AQ34" s="435"/>
      <c r="AR34" s="434"/>
      <c r="AS34" s="434"/>
    </row>
    <row r="35" spans="2:45" ht="15" x14ac:dyDescent="0.25">
      <c r="AO35" s="434"/>
      <c r="AP35" s="434"/>
      <c r="AQ35" s="435"/>
      <c r="AR35" s="434"/>
      <c r="AS35" s="434"/>
    </row>
    <row r="36" spans="2:45" ht="15" x14ac:dyDescent="0.25">
      <c r="AO36" s="434"/>
      <c r="AP36" s="434"/>
      <c r="AQ36" s="435"/>
      <c r="AR36" s="434"/>
      <c r="AS36" s="434"/>
    </row>
    <row r="37" spans="2:45" ht="15" x14ac:dyDescent="0.25">
      <c r="AO37" s="434"/>
      <c r="AP37" s="434"/>
      <c r="AQ37" s="435"/>
      <c r="AR37" s="434"/>
      <c r="AS37" s="434"/>
    </row>
    <row r="38" spans="2:45" ht="18" x14ac:dyDescent="0.25">
      <c r="B38" s="7"/>
      <c r="C38" s="7"/>
      <c r="D38" s="7"/>
      <c r="F38" s="7"/>
      <c r="G38" s="7"/>
      <c r="H38" s="7"/>
      <c r="J38" s="7"/>
      <c r="K38" s="7"/>
      <c r="L38" s="7"/>
      <c r="N38" s="7"/>
      <c r="O38" s="7"/>
      <c r="P38" s="7"/>
      <c r="R38" s="7"/>
      <c r="S38" s="7"/>
      <c r="T38" s="7"/>
      <c r="AO38" s="434"/>
      <c r="AP38" s="434"/>
      <c r="AQ38" s="435"/>
      <c r="AR38" s="434"/>
      <c r="AS38" s="434"/>
    </row>
    <row r="39" spans="2:45" ht="15" x14ac:dyDescent="0.25">
      <c r="T39" s="430"/>
      <c r="AO39" s="434"/>
      <c r="AP39" s="434"/>
      <c r="AQ39" s="435"/>
      <c r="AR39" s="434"/>
      <c r="AS39" s="434"/>
    </row>
    <row r="40" spans="2:45" ht="15" x14ac:dyDescent="0.25">
      <c r="S40" s="431"/>
      <c r="T40" s="430"/>
      <c r="AO40" s="434"/>
      <c r="AP40" s="434"/>
      <c r="AQ40" s="435"/>
      <c r="AR40" s="434"/>
      <c r="AS40" s="434"/>
    </row>
    <row r="41" spans="2:45" ht="15" x14ac:dyDescent="0.25">
      <c r="S41" s="431"/>
      <c r="T41" s="430"/>
      <c r="AO41" s="434"/>
      <c r="AP41" s="434"/>
      <c r="AQ41" s="435"/>
      <c r="AR41" s="434"/>
      <c r="AS41" s="434"/>
    </row>
    <row r="42" spans="2:45" ht="15" x14ac:dyDescent="0.25">
      <c r="S42" s="431"/>
      <c r="T42" s="430"/>
      <c r="AO42" s="434"/>
      <c r="AP42" s="434"/>
      <c r="AQ42" s="440"/>
      <c r="AR42" s="441"/>
      <c r="AS42" s="441"/>
    </row>
    <row r="43" spans="2:45" ht="15" x14ac:dyDescent="0.25">
      <c r="AO43" s="434"/>
      <c r="AP43" s="434"/>
      <c r="AQ43" s="440"/>
      <c r="AR43" s="441"/>
      <c r="AS43" s="441"/>
    </row>
    <row r="44" spans="2:45" ht="15" x14ac:dyDescent="0.25">
      <c r="AO44" s="434"/>
      <c r="AP44" s="434"/>
      <c r="AQ44" s="442"/>
      <c r="AR44" s="441"/>
      <c r="AS44" s="441"/>
    </row>
    <row r="45" spans="2:45" ht="18" x14ac:dyDescent="0.25">
      <c r="B45" s="7"/>
      <c r="C45" s="7"/>
      <c r="D45" s="7"/>
      <c r="F45" s="7"/>
      <c r="G45" s="7"/>
      <c r="H45" s="7"/>
      <c r="J45" s="7"/>
      <c r="K45" s="7"/>
      <c r="L45" s="7"/>
      <c r="N45" s="7"/>
      <c r="O45" s="7"/>
      <c r="P45" s="7"/>
      <c r="AO45" s="434"/>
      <c r="AP45" s="434"/>
      <c r="AQ45" s="440"/>
      <c r="AR45" s="441"/>
      <c r="AS45" s="441"/>
    </row>
    <row r="46" spans="2:45" ht="15" x14ac:dyDescent="0.25">
      <c r="AO46" s="434"/>
      <c r="AP46" s="434"/>
      <c r="AQ46" s="435"/>
      <c r="AR46" s="434"/>
      <c r="AS46" s="434"/>
    </row>
    <row r="47" spans="2:45" ht="15" x14ac:dyDescent="0.25">
      <c r="AO47" s="434"/>
      <c r="AP47" s="434"/>
      <c r="AQ47" s="435"/>
      <c r="AR47" s="434"/>
      <c r="AS47" s="434"/>
    </row>
    <row r="48" spans="2:45" ht="15" x14ac:dyDescent="0.25">
      <c r="AO48" s="434"/>
      <c r="AP48" s="434"/>
      <c r="AQ48" s="435"/>
      <c r="AR48" s="434"/>
      <c r="AS48" s="434"/>
    </row>
    <row r="49" spans="2:45" ht="15" x14ac:dyDescent="0.25">
      <c r="AO49" s="434"/>
      <c r="AP49" s="434"/>
      <c r="AQ49" s="435"/>
      <c r="AR49" s="434"/>
      <c r="AS49" s="434"/>
    </row>
    <row r="50" spans="2:45" ht="15" x14ac:dyDescent="0.25">
      <c r="AO50" s="434"/>
      <c r="AP50" s="434"/>
      <c r="AQ50" s="435"/>
      <c r="AR50" s="434"/>
      <c r="AS50" s="434"/>
    </row>
    <row r="51" spans="2:45" ht="15" x14ac:dyDescent="0.25">
      <c r="AO51" s="434"/>
      <c r="AP51" s="434"/>
      <c r="AQ51" s="435"/>
      <c r="AR51" s="434"/>
      <c r="AS51" s="434"/>
    </row>
    <row r="52" spans="2:45" ht="18" x14ac:dyDescent="0.25">
      <c r="B52" s="7"/>
      <c r="C52" s="7"/>
      <c r="E52" s="7"/>
      <c r="G52" s="7"/>
      <c r="I52" s="7"/>
      <c r="J52" s="7"/>
      <c r="AO52" s="434"/>
      <c r="AP52" s="434"/>
      <c r="AQ52" s="435"/>
      <c r="AR52" s="434"/>
      <c r="AS52" s="434"/>
    </row>
    <row r="53" spans="2:45" ht="15" x14ac:dyDescent="0.25">
      <c r="G53" s="443"/>
      <c r="AO53" s="434"/>
      <c r="AP53" s="434"/>
      <c r="AQ53" s="435"/>
      <c r="AR53" s="434"/>
      <c r="AS53" s="434"/>
    </row>
    <row r="54" spans="2:45" ht="15" x14ac:dyDescent="0.25">
      <c r="G54" s="443"/>
      <c r="AO54" s="434"/>
      <c r="AP54" s="434"/>
      <c r="AQ54" s="435"/>
      <c r="AR54" s="434"/>
      <c r="AS54" s="434"/>
    </row>
    <row r="55" spans="2:45" ht="15" x14ac:dyDescent="0.25">
      <c r="G55" s="443"/>
      <c r="AO55" s="434"/>
      <c r="AP55" s="434"/>
      <c r="AQ55" s="435"/>
      <c r="AR55" s="434"/>
      <c r="AS55" s="434"/>
    </row>
    <row r="56" spans="2:45" ht="15" x14ac:dyDescent="0.25">
      <c r="G56" s="443"/>
      <c r="AO56" s="434"/>
      <c r="AP56" s="434"/>
      <c r="AQ56" s="435"/>
      <c r="AR56" s="434"/>
      <c r="AS56" s="434"/>
    </row>
    <row r="57" spans="2:45" ht="15" x14ac:dyDescent="0.25">
      <c r="G57" s="443"/>
      <c r="AO57" s="434"/>
      <c r="AP57" s="434"/>
      <c r="AQ57" s="435"/>
      <c r="AR57" s="434"/>
      <c r="AS57" s="434"/>
    </row>
    <row r="58" spans="2:45" ht="15" x14ac:dyDescent="0.25">
      <c r="G58" s="443"/>
      <c r="AO58" s="434"/>
      <c r="AP58" s="434"/>
      <c r="AQ58" s="435"/>
      <c r="AR58" s="434"/>
      <c r="AS58" s="434"/>
    </row>
    <row r="59" spans="2:45" ht="18" x14ac:dyDescent="0.25">
      <c r="B59" s="7"/>
      <c r="C59" s="7"/>
      <c r="G59" s="443"/>
      <c r="AO59" s="434"/>
      <c r="AP59" s="434"/>
      <c r="AQ59" s="435"/>
      <c r="AR59" s="436"/>
      <c r="AS59" s="434"/>
    </row>
    <row r="60" spans="2:45" ht="15" x14ac:dyDescent="0.25">
      <c r="G60" s="443"/>
      <c r="AO60" s="434"/>
      <c r="AP60" s="434"/>
      <c r="AQ60" s="435"/>
      <c r="AR60" s="434"/>
      <c r="AS60" s="434"/>
    </row>
    <row r="61" spans="2:45" ht="15" x14ac:dyDescent="0.25">
      <c r="G61" s="443"/>
      <c r="AO61" s="434"/>
      <c r="AP61" s="434"/>
      <c r="AQ61" s="435"/>
      <c r="AR61" s="434"/>
      <c r="AS61" s="434"/>
    </row>
    <row r="62" spans="2:45" ht="15" x14ac:dyDescent="0.25">
      <c r="G62" s="443"/>
      <c r="AO62" s="434"/>
      <c r="AP62" s="434"/>
      <c r="AQ62" s="435"/>
      <c r="AR62" s="434"/>
      <c r="AS62" s="434"/>
    </row>
    <row r="63" spans="2:45" ht="15" x14ac:dyDescent="0.25">
      <c r="G63" s="443"/>
      <c r="AO63" s="434"/>
      <c r="AP63" s="434"/>
      <c r="AQ63" s="435"/>
      <c r="AR63" s="436"/>
      <c r="AS63" s="434"/>
    </row>
    <row r="64" spans="2:45" ht="18" x14ac:dyDescent="0.25">
      <c r="G64" s="443"/>
      <c r="I64" s="7"/>
      <c r="J64" s="7"/>
      <c r="K64" s="7"/>
      <c r="L64" s="7"/>
      <c r="M64" s="7"/>
      <c r="AO64" s="434"/>
      <c r="AP64" s="434"/>
      <c r="AQ64" s="435"/>
      <c r="AR64" s="434"/>
      <c r="AS64" s="434"/>
    </row>
    <row r="65" spans="2:45" ht="18" x14ac:dyDescent="0.25">
      <c r="G65" s="443"/>
      <c r="I65" s="7"/>
      <c r="J65" s="7"/>
      <c r="K65" s="7"/>
      <c r="L65" s="7"/>
      <c r="M65" s="7"/>
      <c r="AO65" s="434"/>
      <c r="AP65" s="434"/>
      <c r="AQ65" s="435"/>
      <c r="AR65" s="434"/>
      <c r="AS65" s="434"/>
    </row>
    <row r="66" spans="2:45" ht="18" x14ac:dyDescent="0.25">
      <c r="G66" s="443"/>
      <c r="I66" s="7"/>
      <c r="J66" s="7"/>
      <c r="K66" s="7"/>
      <c r="L66" s="7"/>
      <c r="M66" s="7"/>
      <c r="AO66" s="434"/>
      <c r="AP66" s="434"/>
      <c r="AQ66" s="435"/>
      <c r="AR66" s="434"/>
      <c r="AS66" s="434"/>
    </row>
    <row r="67" spans="2:45" ht="18" x14ac:dyDescent="0.25">
      <c r="B67" s="7"/>
      <c r="AO67" s="434"/>
      <c r="AP67" s="434"/>
      <c r="AQ67" s="435"/>
      <c r="AR67" s="434"/>
      <c r="AS67" s="434"/>
    </row>
    <row r="68" spans="2:45" ht="15" x14ac:dyDescent="0.25">
      <c r="AO68" s="434"/>
      <c r="AP68" s="434"/>
      <c r="AQ68" s="435"/>
      <c r="AR68" s="434"/>
      <c r="AS68" s="434"/>
    </row>
    <row r="69" spans="2:45" ht="15" x14ac:dyDescent="0.25">
      <c r="AO69" s="434"/>
      <c r="AP69" s="434"/>
      <c r="AQ69" s="435"/>
      <c r="AR69" s="434"/>
      <c r="AS69" s="434"/>
    </row>
    <row r="70" spans="2:45" ht="15" x14ac:dyDescent="0.25">
      <c r="AO70" s="434"/>
      <c r="AP70" s="434"/>
      <c r="AQ70" s="435"/>
      <c r="AR70" s="434"/>
      <c r="AS70" s="434"/>
    </row>
    <row r="71" spans="2:45" ht="15" x14ac:dyDescent="0.25">
      <c r="AO71" s="434"/>
      <c r="AP71" s="434"/>
      <c r="AQ71" s="435"/>
      <c r="AR71" s="434"/>
      <c r="AS71" s="434"/>
    </row>
    <row r="72" spans="2:45" ht="18" x14ac:dyDescent="0.25">
      <c r="B72" s="439"/>
      <c r="C72" s="439"/>
      <c r="D72" s="439"/>
      <c r="E72" s="439"/>
      <c r="F72" s="439"/>
      <c r="AO72" s="434"/>
      <c r="AP72" s="434"/>
      <c r="AQ72" s="435"/>
      <c r="AR72" s="434"/>
      <c r="AS72" s="434"/>
    </row>
    <row r="73" spans="2:45" ht="15" x14ac:dyDescent="0.25">
      <c r="AO73" s="434"/>
      <c r="AP73" s="434"/>
      <c r="AQ73" s="435"/>
      <c r="AR73" s="434"/>
      <c r="AS73" s="444"/>
    </row>
    <row r="74" spans="2:45" ht="15" x14ac:dyDescent="0.25">
      <c r="AO74" s="434"/>
      <c r="AP74" s="434"/>
      <c r="AQ74" s="435"/>
      <c r="AR74" s="434"/>
      <c r="AS74" s="434"/>
    </row>
    <row r="75" spans="2:45" ht="18" x14ac:dyDescent="0.25">
      <c r="H75" s="7"/>
      <c r="I75" s="7"/>
      <c r="J75" s="7"/>
      <c r="K75" s="7"/>
      <c r="L75" s="7"/>
      <c r="M75" s="7"/>
      <c r="O75" s="7"/>
      <c r="P75" s="7"/>
      <c r="AO75" s="434"/>
      <c r="AP75" s="434"/>
      <c r="AQ75" s="435"/>
      <c r="AR75" s="434"/>
      <c r="AS75" s="434"/>
    </row>
    <row r="76" spans="2:45" ht="15" x14ac:dyDescent="0.25">
      <c r="AO76" s="434"/>
      <c r="AP76" s="434"/>
      <c r="AQ76" s="435"/>
      <c r="AR76" s="434"/>
      <c r="AS76" s="434"/>
    </row>
    <row r="77" spans="2:45" ht="15" x14ac:dyDescent="0.25">
      <c r="K77" s="116"/>
      <c r="AO77" s="434"/>
      <c r="AP77" s="434"/>
      <c r="AQ77" s="435"/>
      <c r="AR77" s="434"/>
      <c r="AS77" s="434"/>
    </row>
    <row r="78" spans="2:45" ht="15" x14ac:dyDescent="0.25">
      <c r="AO78" s="434"/>
      <c r="AP78" s="434"/>
      <c r="AQ78" s="435"/>
      <c r="AR78" s="434"/>
      <c r="AS78" s="434"/>
    </row>
    <row r="82" spans="2:18" x14ac:dyDescent="0.2">
      <c r="R82" s="116"/>
    </row>
    <row r="83" spans="2:18" x14ac:dyDescent="0.2">
      <c r="R83" s="116"/>
    </row>
    <row r="84" spans="2:18" x14ac:dyDescent="0.2">
      <c r="R84" s="116"/>
    </row>
    <row r="85" spans="2:18" ht="18" x14ac:dyDescent="0.25">
      <c r="B85" s="7"/>
      <c r="C85" s="7"/>
      <c r="D85" s="7"/>
      <c r="F85" s="7"/>
      <c r="G85" s="7"/>
      <c r="H85" s="7"/>
      <c r="I85" s="7"/>
      <c r="J85" s="7"/>
      <c r="K85" s="7"/>
    </row>
    <row r="95" spans="2:18" ht="18" x14ac:dyDescent="0.25">
      <c r="B95" s="7"/>
      <c r="C95" s="7"/>
      <c r="D95" s="7"/>
      <c r="F95" s="7"/>
      <c r="G95" s="7"/>
      <c r="H95" s="7"/>
    </row>
    <row r="106" spans="2:4" ht="18" x14ac:dyDescent="0.25">
      <c r="B106" s="7"/>
      <c r="C106" s="7"/>
      <c r="D106" s="7"/>
    </row>
    <row r="108" spans="2:4" x14ac:dyDescent="0.2">
      <c r="C108" s="432"/>
    </row>
    <row r="109" spans="2:4" x14ac:dyDescent="0.2">
      <c r="C109" s="432"/>
    </row>
    <row r="113" spans="2:13" ht="18" x14ac:dyDescent="0.25">
      <c r="B113" s="453"/>
      <c r="C113" s="453"/>
      <c r="D113" s="453"/>
    </row>
    <row r="114" spans="2:13" ht="15" x14ac:dyDescent="0.25">
      <c r="B114" s="11"/>
      <c r="C114" s="11"/>
      <c r="D114" s="11"/>
      <c r="E114" s="11"/>
      <c r="F114" s="11"/>
      <c r="H114" s="11"/>
      <c r="I114" s="11"/>
      <c r="J114" s="11"/>
      <c r="K114" s="11"/>
      <c r="L114" s="11"/>
      <c r="M114" s="11"/>
    </row>
    <row r="115" spans="2:13" x14ac:dyDescent="0.2">
      <c r="J115" s="432"/>
    </row>
    <row r="116" spans="2:13" x14ac:dyDescent="0.2">
      <c r="J116" s="432"/>
    </row>
    <row r="117" spans="2:13" x14ac:dyDescent="0.2">
      <c r="J117" s="432"/>
    </row>
    <row r="118" spans="2:13" x14ac:dyDescent="0.2">
      <c r="J118" s="432"/>
    </row>
    <row r="119" spans="2:13" x14ac:dyDescent="0.2">
      <c r="J119" s="432"/>
    </row>
    <row r="120" spans="2:13" x14ac:dyDescent="0.2">
      <c r="J120" s="432"/>
    </row>
    <row r="121" spans="2:13" x14ac:dyDescent="0.2">
      <c r="J121" s="432"/>
    </row>
    <row r="122" spans="2:13" x14ac:dyDescent="0.2">
      <c r="J122" s="432"/>
    </row>
    <row r="123" spans="2:13" x14ac:dyDescent="0.2">
      <c r="J123" s="432"/>
    </row>
    <row r="124" spans="2:13" x14ac:dyDescent="0.2">
      <c r="J124" s="432"/>
    </row>
    <row r="127" spans="2:13" ht="18" x14ac:dyDescent="0.25">
      <c r="B127" s="7"/>
      <c r="C127" s="7"/>
      <c r="D127" s="7"/>
    </row>
    <row r="128" spans="2:13" ht="15" x14ac:dyDescent="0.25">
      <c r="B128" s="11"/>
      <c r="C128" s="11"/>
      <c r="D128" s="11"/>
      <c r="E128" s="11"/>
      <c r="F128" s="11"/>
      <c r="G128" s="11"/>
      <c r="H128" s="11"/>
      <c r="I128" s="11"/>
      <c r="J128" s="11"/>
      <c r="K128" s="445"/>
      <c r="L128" s="11"/>
      <c r="M128" s="445"/>
    </row>
    <row r="129" spans="2:13" x14ac:dyDescent="0.2">
      <c r="F129" s="433"/>
      <c r="G129" s="433"/>
      <c r="K129" s="430"/>
      <c r="M129" s="430"/>
    </row>
    <row r="130" spans="2:13" x14ac:dyDescent="0.2">
      <c r="F130" s="433"/>
      <c r="G130" s="433"/>
      <c r="K130" s="430"/>
      <c r="M130" s="430"/>
    </row>
    <row r="131" spans="2:13" x14ac:dyDescent="0.2">
      <c r="F131" s="433"/>
      <c r="G131" s="433"/>
      <c r="K131" s="430"/>
      <c r="M131" s="430"/>
    </row>
    <row r="132" spans="2:13" x14ac:dyDescent="0.2">
      <c r="F132" s="433"/>
      <c r="G132" s="433"/>
      <c r="K132" s="430"/>
      <c r="M132" s="430"/>
    </row>
    <row r="133" spans="2:13" x14ac:dyDescent="0.2">
      <c r="F133" s="433"/>
      <c r="G133" s="433"/>
      <c r="K133" s="430"/>
      <c r="M133" s="430"/>
    </row>
    <row r="134" spans="2:13" x14ac:dyDescent="0.2">
      <c r="F134" s="433"/>
      <c r="G134" s="433"/>
      <c r="K134" s="430"/>
      <c r="M134" s="430"/>
    </row>
    <row r="135" spans="2:13" x14ac:dyDescent="0.2">
      <c r="F135" s="433"/>
      <c r="G135" s="433"/>
      <c r="K135" s="430"/>
      <c r="M135" s="430"/>
    </row>
    <row r="136" spans="2:13" x14ac:dyDescent="0.2">
      <c r="F136" s="433"/>
      <c r="G136" s="433"/>
      <c r="K136" s="430"/>
      <c r="M136" s="430"/>
    </row>
    <row r="137" spans="2:13" x14ac:dyDescent="0.2">
      <c r="F137" s="433"/>
      <c r="G137" s="433"/>
      <c r="K137" s="430"/>
      <c r="M137" s="430"/>
    </row>
    <row r="138" spans="2:13" x14ac:dyDescent="0.2">
      <c r="F138" s="433"/>
      <c r="G138" s="433"/>
      <c r="K138" s="430"/>
      <c r="M138" s="430"/>
    </row>
    <row r="140" spans="2:13" ht="18" x14ac:dyDescent="0.25">
      <c r="B140" s="7"/>
      <c r="C140" s="7"/>
      <c r="D140" s="7"/>
    </row>
    <row r="141" spans="2:13" ht="15" x14ac:dyDescent="0.25">
      <c r="B141" s="11"/>
      <c r="C141" s="446"/>
      <c r="D141" s="446"/>
    </row>
    <row r="142" spans="2:13" x14ac:dyDescent="0.2">
      <c r="B142" s="443"/>
      <c r="C142" s="447"/>
      <c r="D142" s="448"/>
    </row>
    <row r="143" spans="2:13" x14ac:dyDescent="0.2">
      <c r="B143" s="443"/>
      <c r="C143" s="447"/>
      <c r="D143" s="448"/>
    </row>
    <row r="144" spans="2:13" x14ac:dyDescent="0.2">
      <c r="B144" s="443"/>
      <c r="C144" s="447"/>
      <c r="D144" s="448"/>
    </row>
    <row r="145" spans="2:8" x14ac:dyDescent="0.2">
      <c r="B145" s="443"/>
      <c r="C145" s="447"/>
      <c r="D145" s="448"/>
    </row>
    <row r="146" spans="2:8" x14ac:dyDescent="0.2">
      <c r="B146" s="443"/>
      <c r="C146" s="449"/>
      <c r="D146" s="450"/>
    </row>
    <row r="147" spans="2:8" x14ac:dyDescent="0.2">
      <c r="C147" s="449"/>
      <c r="D147" s="450"/>
    </row>
    <row r="148" spans="2:8" x14ac:dyDescent="0.2">
      <c r="B148" s="443"/>
      <c r="C148" s="449"/>
      <c r="D148" s="450"/>
    </row>
    <row r="149" spans="2:8" x14ac:dyDescent="0.2">
      <c r="B149" s="443"/>
      <c r="C149" s="449"/>
      <c r="D149" s="450"/>
    </row>
    <row r="150" spans="2:8" x14ac:dyDescent="0.2">
      <c r="B150" s="443"/>
      <c r="C150" s="449"/>
      <c r="D150" s="450"/>
    </row>
    <row r="151" spans="2:8" x14ac:dyDescent="0.2">
      <c r="B151" s="443"/>
      <c r="C151" s="449"/>
      <c r="D151" s="450"/>
    </row>
    <row r="152" spans="2:8" ht="18" x14ac:dyDescent="0.25">
      <c r="B152" s="7"/>
      <c r="C152" s="7"/>
      <c r="D152" s="7"/>
    </row>
    <row r="153" spans="2:8" ht="15.75" customHeight="1" x14ac:dyDescent="0.25">
      <c r="B153" s="11"/>
      <c r="C153" s="11"/>
      <c r="D153" s="11"/>
      <c r="E153" s="11"/>
      <c r="F153" s="11"/>
    </row>
    <row r="154" spans="2:8" ht="15" x14ac:dyDescent="0.25">
      <c r="B154" s="11"/>
      <c r="C154" s="11"/>
      <c r="D154" s="11"/>
      <c r="E154" s="11"/>
      <c r="F154" s="11"/>
    </row>
    <row r="155" spans="2:8" ht="15" x14ac:dyDescent="0.25">
      <c r="B155" s="451"/>
      <c r="C155" s="449"/>
      <c r="D155" s="450"/>
      <c r="E155" s="450"/>
      <c r="F155" s="450"/>
      <c r="H155" s="11"/>
    </row>
    <row r="156" spans="2:8" x14ac:dyDescent="0.2">
      <c r="B156" s="451"/>
      <c r="C156" s="449"/>
      <c r="D156" s="449"/>
      <c r="E156" s="450"/>
      <c r="F156" s="450"/>
    </row>
    <row r="157" spans="2:8" x14ac:dyDescent="0.2">
      <c r="B157" s="451"/>
      <c r="C157" s="449"/>
      <c r="D157" s="449"/>
      <c r="E157" s="449"/>
      <c r="F157" s="449"/>
    </row>
    <row r="158" spans="2:8" x14ac:dyDescent="0.2">
      <c r="B158" s="451"/>
      <c r="C158" s="449"/>
      <c r="D158" s="450"/>
      <c r="E158" s="450"/>
      <c r="F158" s="450"/>
    </row>
    <row r="159" spans="2:8" x14ac:dyDescent="0.2">
      <c r="B159" s="451"/>
      <c r="C159" s="449"/>
      <c r="D159" s="450"/>
      <c r="E159" s="450"/>
      <c r="F159" s="450"/>
    </row>
    <row r="160" spans="2:8" x14ac:dyDescent="0.2">
      <c r="C160" s="449"/>
      <c r="D160" s="450"/>
      <c r="E160" s="450"/>
      <c r="F160" s="450"/>
    </row>
    <row r="161" spans="2:7" x14ac:dyDescent="0.2">
      <c r="B161" s="451"/>
      <c r="C161" s="449"/>
      <c r="D161" s="450"/>
      <c r="E161" s="450"/>
      <c r="F161" s="450"/>
    </row>
    <row r="162" spans="2:7" x14ac:dyDescent="0.2">
      <c r="B162" s="451"/>
      <c r="C162" s="449"/>
      <c r="D162" s="450"/>
      <c r="E162" s="450"/>
      <c r="F162" s="450"/>
    </row>
    <row r="163" spans="2:7" x14ac:dyDescent="0.2">
      <c r="B163" s="451"/>
      <c r="C163" s="449"/>
      <c r="D163" s="450"/>
      <c r="E163" s="450"/>
      <c r="F163" s="450"/>
    </row>
    <row r="165" spans="2:7" ht="18" x14ac:dyDescent="0.25">
      <c r="B165" s="454"/>
      <c r="C165" s="454"/>
    </row>
    <row r="166" spans="2:7" x14ac:dyDescent="0.2">
      <c r="B166" s="430"/>
      <c r="C166" s="430"/>
    </row>
    <row r="167" spans="2:7" x14ac:dyDescent="0.2">
      <c r="B167" s="430"/>
      <c r="C167" s="430"/>
    </row>
    <row r="170" spans="2:7" ht="18" x14ac:dyDescent="0.2">
      <c r="B170" s="455"/>
      <c r="C170" s="455"/>
      <c r="D170" s="455"/>
      <c r="E170" s="455"/>
      <c r="F170" s="455"/>
      <c r="G170" s="455"/>
    </row>
    <row r="171" spans="2:7" ht="15" x14ac:dyDescent="0.25">
      <c r="B171" s="456"/>
      <c r="C171" s="456"/>
      <c r="D171" s="446"/>
      <c r="E171" s="446"/>
      <c r="F171" s="446"/>
      <c r="G171" s="446"/>
    </row>
    <row r="172" spans="2:7" ht="15" x14ac:dyDescent="0.2">
      <c r="B172" s="456"/>
      <c r="C172" s="456"/>
      <c r="D172" s="452"/>
      <c r="E172" s="452"/>
      <c r="F172" s="452"/>
      <c r="G172" s="452"/>
    </row>
    <row r="173" spans="2:7" x14ac:dyDescent="0.2">
      <c r="B173" s="448"/>
      <c r="C173" s="443"/>
      <c r="D173" s="447"/>
      <c r="E173" s="448"/>
      <c r="F173" s="447"/>
      <c r="G173" s="448"/>
    </row>
    <row r="174" spans="2:7" x14ac:dyDescent="0.2">
      <c r="B174" s="448"/>
      <c r="C174" s="443"/>
      <c r="D174" s="447"/>
      <c r="E174" s="448"/>
      <c r="F174" s="447"/>
      <c r="G174" s="448"/>
    </row>
    <row r="175" spans="2:7" x14ac:dyDescent="0.2">
      <c r="B175" s="448"/>
      <c r="C175" s="443"/>
      <c r="D175" s="447"/>
      <c r="E175" s="448"/>
      <c r="F175" s="447"/>
      <c r="G175" s="448"/>
    </row>
    <row r="176" spans="2:7" x14ac:dyDescent="0.2">
      <c r="B176" s="448"/>
      <c r="C176" s="443"/>
      <c r="D176" s="447"/>
      <c r="E176" s="448"/>
      <c r="F176" s="447"/>
      <c r="G176" s="448"/>
    </row>
    <row r="177" spans="2:7" x14ac:dyDescent="0.2">
      <c r="B177" s="448"/>
      <c r="C177" s="443"/>
      <c r="D177" s="449"/>
      <c r="E177" s="450"/>
      <c r="F177" s="449"/>
      <c r="G177" s="450"/>
    </row>
    <row r="178" spans="2:7" x14ac:dyDescent="0.2">
      <c r="B178" s="448"/>
      <c r="C178" s="443"/>
      <c r="D178" s="449"/>
      <c r="E178" s="450"/>
      <c r="F178" s="449"/>
      <c r="G178" s="450"/>
    </row>
    <row r="179" spans="2:7" x14ac:dyDescent="0.2">
      <c r="B179" s="448"/>
      <c r="C179" s="443"/>
      <c r="D179" s="447"/>
      <c r="E179" s="448"/>
      <c r="F179" s="447"/>
      <c r="G179" s="448"/>
    </row>
    <row r="180" spans="2:7" x14ac:dyDescent="0.2">
      <c r="B180" s="448"/>
      <c r="C180" s="443"/>
      <c r="D180" s="447"/>
      <c r="E180" s="448"/>
      <c r="F180" s="447"/>
      <c r="G180" s="448"/>
    </row>
    <row r="181" spans="2:7" x14ac:dyDescent="0.2">
      <c r="B181" s="448"/>
      <c r="C181" s="443"/>
      <c r="D181" s="447"/>
      <c r="E181" s="448"/>
      <c r="F181" s="447"/>
      <c r="G181" s="448"/>
    </row>
  </sheetData>
  <conditionalFormatting sqref="AT2 AR59 AR63">
    <cfRule type="expression" dxfId="28" priority="1">
      <formula>AND(#REF!&gt;0,#REF!=0)</formula>
    </cfRule>
    <cfRule type="expression" dxfId="27" priority="2">
      <formula>AND(LEN($C2&amp;#REF!&amp;$B2&amp;$J2)&gt;1,COUNTIFS($C$6:$C$10154,$C2,#REF!,#REF!,$B$6:$B$10154,$B2,$H$6:$H$10154,$J2)&gt;1)</formula>
    </cfRule>
  </conditionalFormatting>
  <dataValidations count="1">
    <dataValidation type="list" allowBlank="1" showInputMessage="1" showErrorMessage="1" sqref="C3" xr:uid="{334F4C52-4DDE-4EF7-9B7A-C206A1DB7D4A}">
      <formula1>"Direct Discount,Downstream,PY16 LCI Bonus,PY16 SCI Bonus"</formula1>
    </dataValidation>
  </dataValidation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FCB1C-28BD-4903-AD0B-55E660E99CBD}">
  <sheetPr codeName="Sheet23"/>
  <dimension ref="A1:BC346"/>
  <sheetViews>
    <sheetView zoomScale="80" zoomScaleNormal="80" workbookViewId="0">
      <selection activeCell="H129" sqref="H129"/>
    </sheetView>
  </sheetViews>
  <sheetFormatPr defaultColWidth="9" defaultRowHeight="14.25" x14ac:dyDescent="0.2"/>
  <cols>
    <col min="1" max="1" width="3.625" style="1" customWidth="1"/>
    <col min="2" max="2" width="37.125" style="1" bestFit="1" customWidth="1"/>
    <col min="3" max="3" width="24.625" style="1" bestFit="1" customWidth="1"/>
    <col min="4" max="4" width="29.125" style="1" customWidth="1"/>
    <col min="5" max="5" width="27.625" style="1" bestFit="1" customWidth="1"/>
    <col min="6" max="6" width="32.125" style="1" bestFit="1" customWidth="1"/>
    <col min="7" max="8" width="37" style="1" bestFit="1" customWidth="1"/>
    <col min="9" max="9" width="29.125" style="1" bestFit="1" customWidth="1"/>
    <col min="10" max="10" width="28.125" style="1" bestFit="1" customWidth="1"/>
    <col min="11" max="11" width="18.125" style="1" bestFit="1" customWidth="1"/>
    <col min="12" max="12" width="8.625" style="1" customWidth="1"/>
    <col min="13" max="14" width="20.625" style="1" bestFit="1" customWidth="1"/>
    <col min="15" max="15" width="18.625" style="1" customWidth="1"/>
    <col min="16" max="16" width="21.125" style="1" customWidth="1"/>
    <col min="17" max="17" width="7.125" style="1" customWidth="1"/>
    <col min="18" max="18" width="10.125" style="1" bestFit="1" customWidth="1"/>
    <col min="19" max="19" width="10.125" style="1" customWidth="1"/>
    <col min="20" max="20" width="10.625" style="1" bestFit="1" customWidth="1"/>
    <col min="21" max="21" width="10.125" style="1" bestFit="1" customWidth="1"/>
    <col min="22" max="22" width="12" style="1" bestFit="1" customWidth="1"/>
    <col min="23" max="23" width="10.125" style="1" bestFit="1" customWidth="1"/>
    <col min="24" max="25" width="9" style="1"/>
    <col min="26" max="27" width="10.125" style="1" bestFit="1" customWidth="1"/>
    <col min="28" max="29" width="9" style="1"/>
    <col min="30" max="31" width="10.125" style="1" bestFit="1" customWidth="1"/>
    <col min="32" max="40" width="9" style="1"/>
    <col min="41" max="41" width="12.625" style="1" customWidth="1"/>
    <col min="42" max="42" width="34.125" style="1" customWidth="1"/>
    <col min="43" max="43" width="29.625" style="1" customWidth="1"/>
    <col min="44" max="44" width="64.625" style="1" customWidth="1"/>
    <col min="45" max="45" width="27.625" style="1" customWidth="1"/>
    <col min="46" max="46" width="9" style="1"/>
    <col min="47" max="47" width="33.625" style="1" customWidth="1"/>
    <col min="48" max="50" width="9.625" style="1" customWidth="1"/>
    <col min="51" max="51" width="16.625" style="1" customWidth="1"/>
    <col min="52" max="52" width="64.5" style="1" customWidth="1"/>
    <col min="53" max="53" width="22.625" style="1" customWidth="1"/>
    <col min="54" max="16384" width="9" style="1"/>
  </cols>
  <sheetData>
    <row r="1" spans="2:55" ht="15" thickBot="1" x14ac:dyDescent="0.25"/>
    <row r="2" spans="2:55" ht="18.75" thickBot="1" x14ac:dyDescent="0.3">
      <c r="B2" s="48" t="s">
        <v>395</v>
      </c>
      <c r="D2" s="99" t="s">
        <v>396</v>
      </c>
      <c r="F2" s="48" t="s">
        <v>397</v>
      </c>
      <c r="H2" s="868" t="s">
        <v>398</v>
      </c>
      <c r="I2" s="869"/>
      <c r="J2" s="869"/>
      <c r="K2" s="869"/>
      <c r="L2" s="869"/>
      <c r="M2" s="869"/>
      <c r="N2" s="869"/>
      <c r="O2" s="870"/>
      <c r="P2" s="7"/>
      <c r="S2" s="865" t="s">
        <v>399</v>
      </c>
      <c r="T2" s="866"/>
      <c r="U2" s="866"/>
      <c r="V2" s="866"/>
      <c r="W2" s="866"/>
      <c r="X2" s="866"/>
      <c r="Y2" s="866"/>
      <c r="Z2" s="866"/>
      <c r="AA2" s="866"/>
      <c r="AB2" s="866"/>
      <c r="AC2" s="866"/>
      <c r="AD2" s="866"/>
      <c r="AE2" s="866"/>
      <c r="AF2" s="866"/>
      <c r="AG2" s="866"/>
      <c r="AH2" s="866"/>
      <c r="AI2" s="866"/>
      <c r="AJ2" s="866"/>
      <c r="AK2" s="866"/>
      <c r="AL2" s="866"/>
      <c r="AM2" s="866"/>
      <c r="AN2" s="871"/>
      <c r="AQ2" s="87" t="s">
        <v>400</v>
      </c>
      <c r="AR2" s="87" t="s">
        <v>401</v>
      </c>
      <c r="AS2" s="88" t="s">
        <v>402</v>
      </c>
      <c r="AT2" s="89" t="s">
        <v>403</v>
      </c>
      <c r="AU2" s="87" t="s">
        <v>402</v>
      </c>
    </row>
    <row r="3" spans="2:55" ht="15" x14ac:dyDescent="0.25">
      <c r="B3" s="38" t="s">
        <v>404</v>
      </c>
      <c r="D3" s="105" t="s">
        <v>405</v>
      </c>
      <c r="F3" s="38" t="s">
        <v>406</v>
      </c>
      <c r="H3" s="60"/>
      <c r="I3" s="62"/>
      <c r="J3" s="336" t="s">
        <v>407</v>
      </c>
      <c r="K3" s="61"/>
      <c r="L3" s="61" t="s">
        <v>408</v>
      </c>
      <c r="M3" s="337"/>
      <c r="N3" s="60" t="s">
        <v>409</v>
      </c>
      <c r="O3" s="62"/>
      <c r="P3" s="60" t="s">
        <v>410</v>
      </c>
      <c r="Q3" s="62"/>
      <c r="S3" s="342"/>
      <c r="T3" s="343"/>
      <c r="U3" s="68" t="s">
        <v>407</v>
      </c>
      <c r="V3" s="61"/>
      <c r="W3" s="61"/>
      <c r="X3" s="69"/>
      <c r="Y3" s="68" t="s">
        <v>407</v>
      </c>
      <c r="Z3" s="61"/>
      <c r="AA3" s="61"/>
      <c r="AB3" s="69"/>
      <c r="AC3" s="68" t="s">
        <v>408</v>
      </c>
      <c r="AD3" s="61"/>
      <c r="AE3" s="61"/>
      <c r="AF3" s="69"/>
      <c r="AG3" s="68" t="s">
        <v>408</v>
      </c>
      <c r="AH3" s="61"/>
      <c r="AI3" s="61"/>
      <c r="AJ3" s="69"/>
      <c r="AK3" s="66" t="s">
        <v>411</v>
      </c>
      <c r="AL3" s="49"/>
      <c r="AM3" s="49" t="s">
        <v>412</v>
      </c>
      <c r="AN3" s="50"/>
      <c r="AQ3" s="90" t="s">
        <v>400</v>
      </c>
      <c r="AR3" s="90" t="s">
        <v>401</v>
      </c>
      <c r="AS3" s="91" t="s">
        <v>413</v>
      </c>
      <c r="AT3" s="90" t="s">
        <v>414</v>
      </c>
      <c r="AU3" s="87" t="s">
        <v>402</v>
      </c>
      <c r="AV3" s="1">
        <v>1</v>
      </c>
      <c r="AW3" s="1" t="s">
        <v>415</v>
      </c>
      <c r="AX3" s="1" t="str">
        <f>IF('Evap Fan Motors'!G8="Walk In", "Walk-In", "Reach in")</f>
        <v>Reach in</v>
      </c>
      <c r="AY3" s="1">
        <f>IF('Evap Fan Motors'!H8="Refrigeration", "Cooler",'Evap Fan Motors'!H8)</f>
        <v>0</v>
      </c>
      <c r="AZ3" s="1">
        <f>'Evap Fan Motors'!I8</f>
        <v>0</v>
      </c>
      <c r="BA3" s="1" t="str">
        <f>IF('Evap Fan Motors'!K8='Look Up Tables'!$D$33,"&lt;14W",IF('Evap Fan Motors'!K8='Look Up Tables'!$D$34,"16W-36W",IF('Evap Fan Motors'!K8=$D$35,$D$35,IF('Evap Fan Motors'!K8=$D$36,$D$36,"&gt;36W"))))</f>
        <v>&gt;36W</v>
      </c>
      <c r="BB3" s="1" t="str">
        <f>CONCATENATE(AW3,AX3," ",AY3,","," ", AZ3," ", BA3)</f>
        <v>High-Efficiency Evaporator Fans-Reach in 0, 0 &gt;36W</v>
      </c>
      <c r="BC3" s="1" t="str">
        <f t="shared" ref="BC3:BC12" si="0">IFERROR(VLOOKUP(BB3,$AR$2:$AS$29,2,FALSE),$AU$2)</f>
        <v>HEEvapFanMotor</v>
      </c>
    </row>
    <row r="4" spans="2:55" ht="15.75" thickBot="1" x14ac:dyDescent="0.3">
      <c r="B4" s="39" t="s">
        <v>416</v>
      </c>
      <c r="D4" s="39" t="s">
        <v>400</v>
      </c>
      <c r="F4" s="40" t="s">
        <v>417</v>
      </c>
      <c r="H4" s="63" t="s">
        <v>275</v>
      </c>
      <c r="I4" s="65" t="s">
        <v>418</v>
      </c>
      <c r="J4" s="67" t="s">
        <v>419</v>
      </c>
      <c r="K4" s="64" t="s">
        <v>405</v>
      </c>
      <c r="L4" s="64" t="s">
        <v>419</v>
      </c>
      <c r="M4" s="338" t="s">
        <v>405</v>
      </c>
      <c r="N4" s="63" t="s">
        <v>419</v>
      </c>
      <c r="O4" s="65" t="s">
        <v>405</v>
      </c>
      <c r="P4" s="63" t="s">
        <v>419</v>
      </c>
      <c r="Q4" s="65" t="s">
        <v>405</v>
      </c>
      <c r="S4" s="344"/>
      <c r="T4" s="345"/>
      <c r="U4" s="344" t="s">
        <v>419</v>
      </c>
      <c r="V4" s="346"/>
      <c r="W4" s="346"/>
      <c r="X4" s="347"/>
      <c r="Y4" s="344" t="s">
        <v>405</v>
      </c>
      <c r="Z4" s="346"/>
      <c r="AA4" s="346"/>
      <c r="AB4" s="347"/>
      <c r="AC4" s="344" t="s">
        <v>419</v>
      </c>
      <c r="AD4" s="346"/>
      <c r="AE4" s="346"/>
      <c r="AF4" s="347"/>
      <c r="AG4" s="344" t="s">
        <v>405</v>
      </c>
      <c r="AH4" s="346"/>
      <c r="AI4" s="346"/>
      <c r="AJ4" s="347"/>
      <c r="AK4" s="348" t="s">
        <v>419</v>
      </c>
      <c r="AL4" s="346" t="s">
        <v>405</v>
      </c>
      <c r="AM4" s="346" t="s">
        <v>420</v>
      </c>
      <c r="AN4" s="347" t="s">
        <v>405</v>
      </c>
      <c r="AQ4" s="90" t="s">
        <v>400</v>
      </c>
      <c r="AR4" s="90" t="s">
        <v>401</v>
      </c>
      <c r="AS4" s="91" t="s">
        <v>421</v>
      </c>
      <c r="AT4" s="90" t="s">
        <v>422</v>
      </c>
      <c r="AU4" s="87" t="s">
        <v>402</v>
      </c>
      <c r="AV4" s="1">
        <v>2</v>
      </c>
      <c r="AW4" s="1" t="s">
        <v>415</v>
      </c>
      <c r="AX4" s="1" t="str">
        <f>IF('Evap Fan Motors'!G9="Walk In", "Walk-In", "Reach in")</f>
        <v>Reach in</v>
      </c>
      <c r="AY4" s="1">
        <f>IF('Evap Fan Motors'!H9="Refrigeration", "Cooler",'Evap Fan Motors'!H9)</f>
        <v>0</v>
      </c>
      <c r="AZ4" s="1">
        <f>'Evap Fan Motors'!I9</f>
        <v>0</v>
      </c>
      <c r="BA4" s="1" t="str">
        <f>IF('Evap Fan Motors'!K9='Look Up Tables'!$D$33,"&lt;14W",IF('Evap Fan Motors'!K9='Look Up Tables'!$D$34,"16W-36W",IF('Evap Fan Motors'!K9=$D$35,$D$35,IF('Evap Fan Motors'!K9=$D$36,$D$36,"&gt;36W"))))</f>
        <v>&gt;36W</v>
      </c>
      <c r="BB4" s="1" t="str">
        <f t="shared" ref="BB4:BB12" si="1">CONCATENATE(AW4,AX4," ",AY4,","," ", AZ4," ", BA4)</f>
        <v>High-Efficiency Evaporator Fans-Reach in 0, 0 &gt;36W</v>
      </c>
      <c r="BC4" s="1" t="str">
        <f t="shared" si="0"/>
        <v>HEEvapFanMotor</v>
      </c>
    </row>
    <row r="5" spans="2:55" ht="15.75" thickBot="1" x14ac:dyDescent="0.3">
      <c r="B5" s="39" t="s">
        <v>423</v>
      </c>
      <c r="D5" s="519" t="s">
        <v>424</v>
      </c>
      <c r="H5" s="75">
        <v>1</v>
      </c>
      <c r="I5" s="77">
        <f>'High Eff Ref Freeze'!K8</f>
        <v>0</v>
      </c>
      <c r="J5" s="73">
        <f>IF(I5=0,0,0.1*I5+0.86)</f>
        <v>0</v>
      </c>
      <c r="K5" s="58">
        <f>IF(I5=0,0,0.29*I5+2.95)</f>
        <v>0</v>
      </c>
      <c r="L5" s="58">
        <f>IF(I5=0,0,0.05*I5+1.36)</f>
        <v>0</v>
      </c>
      <c r="M5" s="339">
        <f>IF(I5=0,0,0.22*I5+1.38)</f>
        <v>0</v>
      </c>
      <c r="N5" s="57">
        <f>IF(I5=0,0,0.05*$I5+0.91)</f>
        <v>0</v>
      </c>
      <c r="O5" s="59">
        <f>IF(J5=0,0,0.06*$I5+1.12)</f>
        <v>0</v>
      </c>
      <c r="P5" s="57">
        <f>IF(K5=0,0,0.06*$I5+0.37)</f>
        <v>0</v>
      </c>
      <c r="Q5" s="59">
        <f>IF(L5=0,0,0.08*$I5+1.23)</f>
        <v>0</v>
      </c>
      <c r="S5" s="70" t="s">
        <v>275</v>
      </c>
      <c r="T5" s="349" t="s">
        <v>418</v>
      </c>
      <c r="U5" s="70" t="s">
        <v>404</v>
      </c>
      <c r="V5" s="72" t="s">
        <v>416</v>
      </c>
      <c r="W5" s="72" t="s">
        <v>423</v>
      </c>
      <c r="X5" s="71" t="s">
        <v>425</v>
      </c>
      <c r="Y5" s="70" t="s">
        <v>404</v>
      </c>
      <c r="Z5" s="72" t="s">
        <v>416</v>
      </c>
      <c r="AA5" s="72" t="s">
        <v>423</v>
      </c>
      <c r="AB5" s="71" t="s">
        <v>425</v>
      </c>
      <c r="AC5" s="418" t="s">
        <v>404</v>
      </c>
      <c r="AD5" s="72" t="s">
        <v>416</v>
      </c>
      <c r="AE5" s="72" t="s">
        <v>423</v>
      </c>
      <c r="AF5" s="71" t="s">
        <v>425</v>
      </c>
      <c r="AG5" s="70" t="s">
        <v>404</v>
      </c>
      <c r="AH5" s="72" t="s">
        <v>416</v>
      </c>
      <c r="AI5" s="72" t="s">
        <v>423</v>
      </c>
      <c r="AJ5" s="71" t="s">
        <v>425</v>
      </c>
      <c r="AK5" s="375" t="s">
        <v>426</v>
      </c>
      <c r="AL5" s="72"/>
      <c r="AM5" s="72"/>
      <c r="AN5" s="71"/>
      <c r="AQ5" s="90" t="s">
        <v>400</v>
      </c>
      <c r="AR5" s="90" t="s">
        <v>401</v>
      </c>
      <c r="AS5" s="91" t="s">
        <v>427</v>
      </c>
      <c r="AT5" s="90" t="s">
        <v>428</v>
      </c>
      <c r="AU5" s="87" t="s">
        <v>402</v>
      </c>
      <c r="AV5" s="1">
        <v>3</v>
      </c>
      <c r="AW5" s="1" t="s">
        <v>415</v>
      </c>
      <c r="AX5" s="1" t="str">
        <f>IF('Evap Fan Motors'!G10="Walk In", "Walk-In", "Reach in")</f>
        <v>Reach in</v>
      </c>
      <c r="AY5" s="1">
        <f>IF('Evap Fan Motors'!H10="Refrigeration", "Cooler",'Evap Fan Motors'!H10)</f>
        <v>0</v>
      </c>
      <c r="AZ5" s="1">
        <f>'Evap Fan Motors'!I10</f>
        <v>0</v>
      </c>
      <c r="BA5" s="1" t="str">
        <f>IF('Evap Fan Motors'!K10='Look Up Tables'!$D$33,"&lt;14W",IF('Evap Fan Motors'!K10='Look Up Tables'!$D$34,"16W-36W",IF('Evap Fan Motors'!K10=$D$35,$D$35,IF('Evap Fan Motors'!K10=$D$36,$D$36,"&gt;36W"))))</f>
        <v>&gt;36W</v>
      </c>
      <c r="BB5" s="1" t="str">
        <f t="shared" si="1"/>
        <v>High-Efficiency Evaporator Fans-Reach in 0, 0 &gt;36W</v>
      </c>
      <c r="BC5" s="1" t="str">
        <f t="shared" si="0"/>
        <v>HEEvapFanMotor</v>
      </c>
    </row>
    <row r="6" spans="2:55" ht="15.75" thickBot="1" x14ac:dyDescent="0.3">
      <c r="B6" s="40" t="s">
        <v>425</v>
      </c>
      <c r="H6" s="52">
        <v>2</v>
      </c>
      <c r="I6" s="53">
        <f>'High Eff Ref Freeze'!K9</f>
        <v>0</v>
      </c>
      <c r="J6" s="727">
        <f t="shared" ref="J6:J14" si="2">IF(I6=0,0,0.1*I6+0.86)</f>
        <v>0</v>
      </c>
      <c r="K6" s="51">
        <f t="shared" ref="K6:K14" si="3">IF(I6=0,0,0.29*I6+2.95)</f>
        <v>0</v>
      </c>
      <c r="L6" s="51">
        <f t="shared" ref="L6:L14" si="4">IF(I6=0,0,0.05*I6+1.36)</f>
        <v>0</v>
      </c>
      <c r="M6" s="340">
        <f t="shared" ref="M6:M14" si="5">IF(I6=0,0,0.22*I6+1.38)</f>
        <v>0</v>
      </c>
      <c r="N6" s="57">
        <f t="shared" ref="N6:N14" si="6">IF(I6=0,0,0.05*$I6+0.91)</f>
        <v>0</v>
      </c>
      <c r="O6" s="59">
        <f t="shared" ref="O6:O14" si="7">IF(J6=0,0,0.06*$I6+1.12)</f>
        <v>0</v>
      </c>
      <c r="P6" s="57">
        <f t="shared" ref="P6:P14" si="8">IF(K6=0,0,0.06*$I6+0.37)</f>
        <v>0</v>
      </c>
      <c r="Q6" s="59">
        <f t="shared" ref="Q6:Q14" si="9">IF(L6=0,0,0.08*$I6+1.23)</f>
        <v>0</v>
      </c>
      <c r="S6" s="57">
        <v>1</v>
      </c>
      <c r="T6" s="339">
        <f>'High Eff Ref Freeze'!K8</f>
        <v>0</v>
      </c>
      <c r="U6" s="57">
        <f t="shared" ref="U6:U15" si="10">0.095*$T6+0.445</f>
        <v>0.44500000000000001</v>
      </c>
      <c r="V6" s="58">
        <f t="shared" ref="V6:V15" si="11">0.05*$T6+1.12</f>
        <v>1.1200000000000001</v>
      </c>
      <c r="W6" s="58">
        <f t="shared" ref="W6:W15" si="12">0.076*$T6+0.34</f>
        <v>0.34</v>
      </c>
      <c r="X6" s="59">
        <f t="shared" ref="X6:X15" si="13">0.105*$T6-1.111</f>
        <v>-1.111</v>
      </c>
      <c r="Y6" s="57">
        <f t="shared" ref="Y6:AB15" si="14">0.232*$T6+2.36</f>
        <v>2.36</v>
      </c>
      <c r="Z6" s="58">
        <f t="shared" si="14"/>
        <v>2.36</v>
      </c>
      <c r="AA6" s="58">
        <f t="shared" si="14"/>
        <v>2.36</v>
      </c>
      <c r="AB6" s="59">
        <f t="shared" si="14"/>
        <v>2.36</v>
      </c>
      <c r="AC6" s="420">
        <f>0.026*$T6+0.8</f>
        <v>0.8</v>
      </c>
      <c r="AD6" s="76">
        <f t="shared" ref="AD6:AE15" si="15">0.05*$T6+0.45</f>
        <v>0.45</v>
      </c>
      <c r="AE6" s="76">
        <f t="shared" si="15"/>
        <v>0.45</v>
      </c>
      <c r="AF6" s="77">
        <f t="shared" ref="AF6:AF15" si="16">0.025*$T6+1.6991</f>
        <v>1.6991000000000001</v>
      </c>
      <c r="AG6" s="75">
        <f>0.21*$T6+0.9</f>
        <v>0.9</v>
      </c>
      <c r="AH6" s="76">
        <f t="shared" ref="AH6:AH15" si="17">0.12*$T6+2.248</f>
        <v>2.2480000000000002</v>
      </c>
      <c r="AI6" s="76">
        <f t="shared" ref="AI6:AI15" si="18">0.2578*$T6-1.8864</f>
        <v>-1.8864000000000001</v>
      </c>
      <c r="AJ6" s="77">
        <f t="shared" ref="AJ6:AJ15" si="19">0.14*$T6+4</f>
        <v>4</v>
      </c>
      <c r="AK6" s="422">
        <f t="shared" ref="AK6:AK15" si="20">0.05*$T6+0.28</f>
        <v>0.28000000000000003</v>
      </c>
      <c r="AL6" s="76">
        <f t="shared" ref="AL6:AL15" si="21">0.057*$T6+0.55</f>
        <v>0.55000000000000004</v>
      </c>
      <c r="AM6" s="76">
        <f t="shared" ref="AM6:AM15" si="22">0.05*$T6+0.28</f>
        <v>0.28000000000000003</v>
      </c>
      <c r="AN6" s="77">
        <f t="shared" ref="AN6:AN15" si="23">0.057*$T6+0.55</f>
        <v>0.55000000000000004</v>
      </c>
      <c r="AQ6" s="90" t="s">
        <v>400</v>
      </c>
      <c r="AR6" s="90" t="s">
        <v>401</v>
      </c>
      <c r="AS6" s="91" t="s">
        <v>429</v>
      </c>
      <c r="AT6" s="90" t="s">
        <v>430</v>
      </c>
      <c r="AU6" s="87" t="s">
        <v>402</v>
      </c>
      <c r="AV6" s="1">
        <v>4</v>
      </c>
      <c r="AW6" s="1" t="s">
        <v>415</v>
      </c>
      <c r="AX6" s="1" t="str">
        <f>IF('Evap Fan Motors'!G11="Walk In", "Walk-In", "Reach in")</f>
        <v>Reach in</v>
      </c>
      <c r="AY6" s="1">
        <f>IF('Evap Fan Motors'!H11="Refrigeration", "Cooler",'Evap Fan Motors'!H11)</f>
        <v>0</v>
      </c>
      <c r="AZ6" s="1">
        <f>'Evap Fan Motors'!I11</f>
        <v>0</v>
      </c>
      <c r="BA6" s="1" t="str">
        <f>IF('Evap Fan Motors'!K11='Look Up Tables'!$D$33,"&lt;14W",IF('Evap Fan Motors'!K11='Look Up Tables'!$D$34,"16W-36W",IF('Evap Fan Motors'!K11=$D$35,$D$35,IF('Evap Fan Motors'!K11=$D$36,$D$36,"&gt;36W"))))</f>
        <v>&gt;36W</v>
      </c>
      <c r="BB6" s="1" t="str">
        <f t="shared" si="1"/>
        <v>High-Efficiency Evaporator Fans-Reach in 0, 0 &gt;36W</v>
      </c>
      <c r="BC6" s="1" t="str">
        <f t="shared" si="0"/>
        <v>HEEvapFanMotor</v>
      </c>
    </row>
    <row r="7" spans="2:55" ht="15.75" thickBot="1" x14ac:dyDescent="0.3">
      <c r="H7" s="52">
        <v>3</v>
      </c>
      <c r="I7" s="53">
        <f>'High Eff Ref Freeze'!K10</f>
        <v>0</v>
      </c>
      <c r="J7" s="727">
        <f t="shared" si="2"/>
        <v>0</v>
      </c>
      <c r="K7" s="51">
        <f t="shared" si="3"/>
        <v>0</v>
      </c>
      <c r="L7" s="51">
        <f t="shared" si="4"/>
        <v>0</v>
      </c>
      <c r="M7" s="340">
        <f t="shared" si="5"/>
        <v>0</v>
      </c>
      <c r="N7" s="57">
        <f t="shared" si="6"/>
        <v>0</v>
      </c>
      <c r="O7" s="59">
        <f t="shared" si="7"/>
        <v>0</v>
      </c>
      <c r="P7" s="57">
        <f t="shared" si="8"/>
        <v>0</v>
      </c>
      <c r="Q7" s="59">
        <f t="shared" si="9"/>
        <v>0</v>
      </c>
      <c r="S7" s="52">
        <v>2</v>
      </c>
      <c r="T7" s="340">
        <f>'High Eff Ref Freeze'!K9</f>
        <v>0</v>
      </c>
      <c r="U7" s="52">
        <f t="shared" si="10"/>
        <v>0.44500000000000001</v>
      </c>
      <c r="V7" s="51">
        <f t="shared" si="11"/>
        <v>1.1200000000000001</v>
      </c>
      <c r="W7" s="51">
        <f t="shared" si="12"/>
        <v>0.34</v>
      </c>
      <c r="X7" s="53">
        <f t="shared" si="13"/>
        <v>-1.111</v>
      </c>
      <c r="Y7" s="52">
        <f t="shared" si="14"/>
        <v>2.36</v>
      </c>
      <c r="Z7" s="51">
        <f t="shared" si="14"/>
        <v>2.36</v>
      </c>
      <c r="AA7" s="51">
        <f t="shared" si="14"/>
        <v>2.36</v>
      </c>
      <c r="AB7" s="53">
        <f t="shared" si="14"/>
        <v>2.36</v>
      </c>
      <c r="AC7" s="419">
        <f t="shared" ref="AC7:AC15" si="24">0.026*$T7+0.8</f>
        <v>0.8</v>
      </c>
      <c r="AD7" s="51">
        <f t="shared" si="15"/>
        <v>0.45</v>
      </c>
      <c r="AE7" s="51">
        <f t="shared" si="15"/>
        <v>0.45</v>
      </c>
      <c r="AF7" s="53">
        <f t="shared" si="16"/>
        <v>1.6991000000000001</v>
      </c>
      <c r="AG7" s="57">
        <f t="shared" ref="AG7:AG15" si="25">0.21*$T7+0.9</f>
        <v>0.9</v>
      </c>
      <c r="AH7" s="51">
        <f t="shared" si="17"/>
        <v>2.2480000000000002</v>
      </c>
      <c r="AI7" s="51">
        <f t="shared" si="18"/>
        <v>-1.8864000000000001</v>
      </c>
      <c r="AJ7" s="53">
        <f t="shared" si="19"/>
        <v>4</v>
      </c>
      <c r="AK7" s="73">
        <f t="shared" si="20"/>
        <v>0.28000000000000003</v>
      </c>
      <c r="AL7" s="58">
        <f t="shared" si="21"/>
        <v>0.55000000000000004</v>
      </c>
      <c r="AM7" s="58">
        <f t="shared" si="22"/>
        <v>0.28000000000000003</v>
      </c>
      <c r="AN7" s="59">
        <f t="shared" si="23"/>
        <v>0.55000000000000004</v>
      </c>
      <c r="AQ7" s="90" t="s">
        <v>400</v>
      </c>
      <c r="AR7" s="90" t="s">
        <v>401</v>
      </c>
      <c r="AS7" s="91" t="s">
        <v>431</v>
      </c>
      <c r="AT7" s="90" t="s">
        <v>432</v>
      </c>
      <c r="AU7" s="87" t="s">
        <v>402</v>
      </c>
      <c r="AV7" s="1">
        <v>5</v>
      </c>
      <c r="AW7" s="1" t="s">
        <v>415</v>
      </c>
      <c r="AX7" s="1" t="str">
        <f>IF('Evap Fan Motors'!G12="Walk In", "Walk-In", "Reach in")</f>
        <v>Reach in</v>
      </c>
      <c r="AY7" s="1">
        <f>IF('Evap Fan Motors'!H12="Refrigeration", "Cooler",'Evap Fan Motors'!H12)</f>
        <v>0</v>
      </c>
      <c r="AZ7" s="1">
        <f>'Evap Fan Motors'!I12</f>
        <v>0</v>
      </c>
      <c r="BA7" s="1" t="str">
        <f>IF('Evap Fan Motors'!K12='Look Up Tables'!$D$33,"&lt;14W",IF('Evap Fan Motors'!K12='Look Up Tables'!$D$34,"16W-36W",IF('Evap Fan Motors'!K12=$D$35,$D$35,IF('Evap Fan Motors'!K12=$D$36,$D$36,"&gt;36W"))))</f>
        <v>&gt;36W</v>
      </c>
      <c r="BB7" s="1" t="str">
        <f t="shared" si="1"/>
        <v>High-Efficiency Evaporator Fans-Reach in 0, 0 &gt;36W</v>
      </c>
      <c r="BC7" s="1" t="str">
        <f t="shared" si="0"/>
        <v>HEEvapFanMotor</v>
      </c>
    </row>
    <row r="8" spans="2:55" ht="18.75" thickBot="1" x14ac:dyDescent="0.3">
      <c r="B8" s="48" t="s">
        <v>433</v>
      </c>
      <c r="D8" s="48" t="s">
        <v>434</v>
      </c>
      <c r="F8" s="48" t="s">
        <v>435</v>
      </c>
      <c r="H8" s="52">
        <v>4</v>
      </c>
      <c r="I8" s="53">
        <f>'High Eff Ref Freeze'!K11</f>
        <v>0</v>
      </c>
      <c r="J8" s="727">
        <f t="shared" si="2"/>
        <v>0</v>
      </c>
      <c r="K8" s="51">
        <f t="shared" si="3"/>
        <v>0</v>
      </c>
      <c r="L8" s="51">
        <f t="shared" si="4"/>
        <v>0</v>
      </c>
      <c r="M8" s="340">
        <f t="shared" si="5"/>
        <v>0</v>
      </c>
      <c r="N8" s="57">
        <f t="shared" si="6"/>
        <v>0</v>
      </c>
      <c r="O8" s="59">
        <f t="shared" si="7"/>
        <v>0</v>
      </c>
      <c r="P8" s="57">
        <f t="shared" si="8"/>
        <v>0</v>
      </c>
      <c r="Q8" s="59">
        <f t="shared" si="9"/>
        <v>0</v>
      </c>
      <c r="S8" s="52">
        <v>3</v>
      </c>
      <c r="T8" s="340">
        <f>'High Eff Ref Freeze'!K10</f>
        <v>0</v>
      </c>
      <c r="U8" s="52">
        <f t="shared" si="10"/>
        <v>0.44500000000000001</v>
      </c>
      <c r="V8" s="51">
        <f t="shared" si="11"/>
        <v>1.1200000000000001</v>
      </c>
      <c r="W8" s="51">
        <f t="shared" si="12"/>
        <v>0.34</v>
      </c>
      <c r="X8" s="53">
        <f t="shared" si="13"/>
        <v>-1.111</v>
      </c>
      <c r="Y8" s="52">
        <f t="shared" si="14"/>
        <v>2.36</v>
      </c>
      <c r="Z8" s="51">
        <f t="shared" si="14"/>
        <v>2.36</v>
      </c>
      <c r="AA8" s="51">
        <f t="shared" si="14"/>
        <v>2.36</v>
      </c>
      <c r="AB8" s="53">
        <f t="shared" si="14"/>
        <v>2.36</v>
      </c>
      <c r="AC8" s="419">
        <f t="shared" si="24"/>
        <v>0.8</v>
      </c>
      <c r="AD8" s="51">
        <f t="shared" si="15"/>
        <v>0.45</v>
      </c>
      <c r="AE8" s="51">
        <f t="shared" si="15"/>
        <v>0.45</v>
      </c>
      <c r="AF8" s="53">
        <f t="shared" si="16"/>
        <v>1.6991000000000001</v>
      </c>
      <c r="AG8" s="57">
        <f t="shared" si="25"/>
        <v>0.9</v>
      </c>
      <c r="AH8" s="51">
        <f t="shared" si="17"/>
        <v>2.2480000000000002</v>
      </c>
      <c r="AI8" s="51">
        <f t="shared" si="18"/>
        <v>-1.8864000000000001</v>
      </c>
      <c r="AJ8" s="53">
        <f t="shared" si="19"/>
        <v>4</v>
      </c>
      <c r="AK8" s="73">
        <f t="shared" si="20"/>
        <v>0.28000000000000003</v>
      </c>
      <c r="AL8" s="58">
        <f t="shared" si="21"/>
        <v>0.55000000000000004</v>
      </c>
      <c r="AM8" s="58">
        <f t="shared" si="22"/>
        <v>0.28000000000000003</v>
      </c>
      <c r="AN8" s="59">
        <f t="shared" si="23"/>
        <v>0.55000000000000004</v>
      </c>
      <c r="AQ8" s="90" t="s">
        <v>400</v>
      </c>
      <c r="AR8" s="90" t="s">
        <v>401</v>
      </c>
      <c r="AS8" s="91" t="s">
        <v>436</v>
      </c>
      <c r="AT8" s="90" t="s">
        <v>437</v>
      </c>
      <c r="AU8" s="87" t="s">
        <v>402</v>
      </c>
      <c r="AV8" s="1">
        <v>6</v>
      </c>
      <c r="AW8" s="1" t="s">
        <v>415</v>
      </c>
      <c r="AX8" s="1" t="str">
        <f>IF('Evap Fan Motors'!G13="Walk In", "Walk-In", "Reach in")</f>
        <v>Reach in</v>
      </c>
      <c r="AY8" s="1">
        <f>IF('Evap Fan Motors'!H13="Refrigeration", "Cooler",'Evap Fan Motors'!H13)</f>
        <v>0</v>
      </c>
      <c r="AZ8" s="1">
        <f>'Evap Fan Motors'!I13</f>
        <v>0</v>
      </c>
      <c r="BA8" s="1" t="str">
        <f>IF('Evap Fan Motors'!K13='Look Up Tables'!$D$33,"&lt;14W",IF('Evap Fan Motors'!K13='Look Up Tables'!$D$34,"16W-36W",IF('Evap Fan Motors'!K13=$D$35,$D$35,IF('Evap Fan Motors'!K13=$D$36,$D$36,"&gt;36W"))))</f>
        <v>&gt;36W</v>
      </c>
      <c r="BB8" s="1" t="str">
        <f t="shared" si="1"/>
        <v>High-Efficiency Evaporator Fans-Reach in 0, 0 &gt;36W</v>
      </c>
      <c r="BC8" s="1" t="str">
        <f t="shared" si="0"/>
        <v>HEEvapFanMotor</v>
      </c>
    </row>
    <row r="9" spans="2:55" ht="15" x14ac:dyDescent="0.25">
      <c r="B9" s="38" t="s">
        <v>438</v>
      </c>
      <c r="D9" s="38" t="s">
        <v>439</v>
      </c>
      <c r="F9" s="38">
        <v>1</v>
      </c>
      <c r="H9" s="52">
        <v>5</v>
      </c>
      <c r="I9" s="53">
        <f>'High Eff Ref Freeze'!K12</f>
        <v>0</v>
      </c>
      <c r="J9" s="727">
        <f t="shared" si="2"/>
        <v>0</v>
      </c>
      <c r="K9" s="51">
        <f t="shared" si="3"/>
        <v>0</v>
      </c>
      <c r="L9" s="51">
        <f t="shared" si="4"/>
        <v>0</v>
      </c>
      <c r="M9" s="340">
        <f t="shared" si="5"/>
        <v>0</v>
      </c>
      <c r="N9" s="57">
        <f t="shared" si="6"/>
        <v>0</v>
      </c>
      <c r="O9" s="59">
        <f t="shared" si="7"/>
        <v>0</v>
      </c>
      <c r="P9" s="57">
        <f t="shared" si="8"/>
        <v>0</v>
      </c>
      <c r="Q9" s="59">
        <f t="shared" si="9"/>
        <v>0</v>
      </c>
      <c r="S9" s="52">
        <v>4</v>
      </c>
      <c r="T9" s="340">
        <f>'High Eff Ref Freeze'!K11</f>
        <v>0</v>
      </c>
      <c r="U9" s="52">
        <f t="shared" si="10"/>
        <v>0.44500000000000001</v>
      </c>
      <c r="V9" s="51">
        <f t="shared" si="11"/>
        <v>1.1200000000000001</v>
      </c>
      <c r="W9" s="51">
        <f t="shared" si="12"/>
        <v>0.34</v>
      </c>
      <c r="X9" s="53">
        <f t="shared" si="13"/>
        <v>-1.111</v>
      </c>
      <c r="Y9" s="52">
        <f t="shared" si="14"/>
        <v>2.36</v>
      </c>
      <c r="Z9" s="51">
        <f t="shared" si="14"/>
        <v>2.36</v>
      </c>
      <c r="AA9" s="51">
        <f t="shared" si="14"/>
        <v>2.36</v>
      </c>
      <c r="AB9" s="53">
        <f t="shared" si="14"/>
        <v>2.36</v>
      </c>
      <c r="AC9" s="419">
        <f t="shared" si="24"/>
        <v>0.8</v>
      </c>
      <c r="AD9" s="51">
        <f t="shared" si="15"/>
        <v>0.45</v>
      </c>
      <c r="AE9" s="51">
        <f t="shared" si="15"/>
        <v>0.45</v>
      </c>
      <c r="AF9" s="53">
        <f t="shared" si="16"/>
        <v>1.6991000000000001</v>
      </c>
      <c r="AG9" s="57">
        <f t="shared" si="25"/>
        <v>0.9</v>
      </c>
      <c r="AH9" s="51">
        <f t="shared" si="17"/>
        <v>2.2480000000000002</v>
      </c>
      <c r="AI9" s="51">
        <f t="shared" si="18"/>
        <v>-1.8864000000000001</v>
      </c>
      <c r="AJ9" s="53">
        <f t="shared" si="19"/>
        <v>4</v>
      </c>
      <c r="AK9" s="73">
        <f t="shared" si="20"/>
        <v>0.28000000000000003</v>
      </c>
      <c r="AL9" s="58">
        <f t="shared" si="21"/>
        <v>0.55000000000000004</v>
      </c>
      <c r="AM9" s="58">
        <f t="shared" si="22"/>
        <v>0.28000000000000003</v>
      </c>
      <c r="AN9" s="59">
        <f t="shared" si="23"/>
        <v>0.55000000000000004</v>
      </c>
      <c r="AQ9" s="90" t="s">
        <v>400</v>
      </c>
      <c r="AR9" s="90" t="s">
        <v>401</v>
      </c>
      <c r="AS9" s="91" t="s">
        <v>440</v>
      </c>
      <c r="AT9" s="90" t="s">
        <v>441</v>
      </c>
      <c r="AU9" s="87" t="s">
        <v>402</v>
      </c>
      <c r="AV9" s="1">
        <v>7</v>
      </c>
      <c r="AW9" s="1" t="s">
        <v>415</v>
      </c>
      <c r="AX9" s="1" t="str">
        <f>IF('Evap Fan Motors'!G14="Walk In", "Walk-In", "Reach in")</f>
        <v>Reach in</v>
      </c>
      <c r="AY9" s="1">
        <f>IF('Evap Fan Motors'!H14="Refrigeration", "Cooler",'Evap Fan Motors'!H14)</f>
        <v>0</v>
      </c>
      <c r="AZ9" s="1">
        <f>'Evap Fan Motors'!I14</f>
        <v>0</v>
      </c>
      <c r="BA9" s="1" t="str">
        <f>IF('Evap Fan Motors'!K14='Look Up Tables'!$D$33,"&lt;14W",IF('Evap Fan Motors'!K14='Look Up Tables'!$D$34,"16W-36W",IF('Evap Fan Motors'!K14=$D$35,$D$35,IF('Evap Fan Motors'!K14=$D$36,$D$36,"&gt;36W"))))</f>
        <v>&gt;36W</v>
      </c>
      <c r="BB9" s="1" t="str">
        <f t="shared" si="1"/>
        <v>High-Efficiency Evaporator Fans-Reach in 0, 0 &gt;36W</v>
      </c>
      <c r="BC9" s="1" t="str">
        <f t="shared" si="0"/>
        <v>HEEvapFanMotor</v>
      </c>
    </row>
    <row r="10" spans="2:55" ht="15.75" thickBot="1" x14ac:dyDescent="0.3">
      <c r="B10" s="40" t="s">
        <v>442</v>
      </c>
      <c r="D10" s="40" t="s">
        <v>443</v>
      </c>
      <c r="F10" s="40">
        <v>3</v>
      </c>
      <c r="H10" s="52">
        <v>6</v>
      </c>
      <c r="I10" s="53">
        <f>'High Eff Ref Freeze'!K13</f>
        <v>0</v>
      </c>
      <c r="J10" s="727">
        <f t="shared" si="2"/>
        <v>0</v>
      </c>
      <c r="K10" s="51">
        <f t="shared" si="3"/>
        <v>0</v>
      </c>
      <c r="L10" s="51">
        <f t="shared" si="4"/>
        <v>0</v>
      </c>
      <c r="M10" s="340">
        <f t="shared" si="5"/>
        <v>0</v>
      </c>
      <c r="N10" s="57">
        <f t="shared" si="6"/>
        <v>0</v>
      </c>
      <c r="O10" s="59">
        <f t="shared" si="7"/>
        <v>0</v>
      </c>
      <c r="P10" s="57">
        <f t="shared" si="8"/>
        <v>0</v>
      </c>
      <c r="Q10" s="59">
        <f t="shared" si="9"/>
        <v>0</v>
      </c>
      <c r="S10" s="52">
        <v>5</v>
      </c>
      <c r="T10" s="340">
        <f>'High Eff Ref Freeze'!K12</f>
        <v>0</v>
      </c>
      <c r="U10" s="52">
        <f t="shared" si="10"/>
        <v>0.44500000000000001</v>
      </c>
      <c r="V10" s="51">
        <f t="shared" si="11"/>
        <v>1.1200000000000001</v>
      </c>
      <c r="W10" s="51">
        <f t="shared" si="12"/>
        <v>0.34</v>
      </c>
      <c r="X10" s="53">
        <f t="shared" si="13"/>
        <v>-1.111</v>
      </c>
      <c r="Y10" s="52">
        <f t="shared" si="14"/>
        <v>2.36</v>
      </c>
      <c r="Z10" s="51">
        <f t="shared" si="14"/>
        <v>2.36</v>
      </c>
      <c r="AA10" s="51">
        <f t="shared" si="14"/>
        <v>2.36</v>
      </c>
      <c r="AB10" s="53">
        <f t="shared" si="14"/>
        <v>2.36</v>
      </c>
      <c r="AC10" s="419">
        <f t="shared" si="24"/>
        <v>0.8</v>
      </c>
      <c r="AD10" s="51">
        <f t="shared" si="15"/>
        <v>0.45</v>
      </c>
      <c r="AE10" s="51">
        <f t="shared" si="15"/>
        <v>0.45</v>
      </c>
      <c r="AF10" s="53">
        <f t="shared" si="16"/>
        <v>1.6991000000000001</v>
      </c>
      <c r="AG10" s="57">
        <f t="shared" si="25"/>
        <v>0.9</v>
      </c>
      <c r="AH10" s="51">
        <f t="shared" si="17"/>
        <v>2.2480000000000002</v>
      </c>
      <c r="AI10" s="51">
        <f t="shared" si="18"/>
        <v>-1.8864000000000001</v>
      </c>
      <c r="AJ10" s="53">
        <f t="shared" si="19"/>
        <v>4</v>
      </c>
      <c r="AK10" s="73">
        <f t="shared" si="20"/>
        <v>0.28000000000000003</v>
      </c>
      <c r="AL10" s="58">
        <f t="shared" si="21"/>
        <v>0.55000000000000004</v>
      </c>
      <c r="AM10" s="58">
        <f t="shared" si="22"/>
        <v>0.28000000000000003</v>
      </c>
      <c r="AN10" s="59">
        <f t="shared" si="23"/>
        <v>0.55000000000000004</v>
      </c>
      <c r="AQ10" s="90" t="s">
        <v>400</v>
      </c>
      <c r="AR10" s="90" t="s">
        <v>401</v>
      </c>
      <c r="AS10" s="91" t="s">
        <v>444</v>
      </c>
      <c r="AT10" s="90" t="s">
        <v>445</v>
      </c>
      <c r="AU10" s="87" t="s">
        <v>402</v>
      </c>
      <c r="AV10" s="1">
        <v>8</v>
      </c>
      <c r="AW10" s="1" t="s">
        <v>415</v>
      </c>
      <c r="AX10" s="1" t="str">
        <f>IF('Evap Fan Motors'!G15="Walk In", "Walk-In", "Reach in")</f>
        <v>Reach in</v>
      </c>
      <c r="AY10" s="1">
        <f>IF('Evap Fan Motors'!H15="Refrigeration", "Cooler",'Evap Fan Motors'!H15)</f>
        <v>0</v>
      </c>
      <c r="AZ10" s="1">
        <f>'Evap Fan Motors'!I15</f>
        <v>0</v>
      </c>
      <c r="BA10" s="1" t="str">
        <f>IF('Evap Fan Motors'!K15='Look Up Tables'!$D$33,"&lt;14W",IF('Evap Fan Motors'!K15='Look Up Tables'!$D$34,"16W-36W",IF('Evap Fan Motors'!K15=$D$35,$D$35,IF('Evap Fan Motors'!K15=$D$36,$D$36,"&gt;36W"))))</f>
        <v>&gt;36W</v>
      </c>
      <c r="BB10" s="1" t="str">
        <f t="shared" si="1"/>
        <v>High-Efficiency Evaporator Fans-Reach in 0, 0 &gt;36W</v>
      </c>
      <c r="BC10" s="1" t="str">
        <f t="shared" si="0"/>
        <v>HEEvapFanMotor</v>
      </c>
    </row>
    <row r="11" spans="2:55" ht="15" x14ac:dyDescent="0.25">
      <c r="H11" s="52">
        <v>7</v>
      </c>
      <c r="I11" s="53">
        <f>'High Eff Ref Freeze'!K14</f>
        <v>0</v>
      </c>
      <c r="J11" s="727">
        <f t="shared" si="2"/>
        <v>0</v>
      </c>
      <c r="K11" s="51">
        <f t="shared" si="3"/>
        <v>0</v>
      </c>
      <c r="L11" s="51">
        <f t="shared" si="4"/>
        <v>0</v>
      </c>
      <c r="M11" s="340">
        <f t="shared" si="5"/>
        <v>0</v>
      </c>
      <c r="N11" s="57">
        <f t="shared" si="6"/>
        <v>0</v>
      </c>
      <c r="O11" s="59">
        <f t="shared" si="7"/>
        <v>0</v>
      </c>
      <c r="P11" s="57">
        <f t="shared" si="8"/>
        <v>0</v>
      </c>
      <c r="Q11" s="59">
        <f t="shared" si="9"/>
        <v>0</v>
      </c>
      <c r="S11" s="52">
        <v>6</v>
      </c>
      <c r="T11" s="340">
        <f>'High Eff Ref Freeze'!K13</f>
        <v>0</v>
      </c>
      <c r="U11" s="52">
        <f t="shared" si="10"/>
        <v>0.44500000000000001</v>
      </c>
      <c r="V11" s="51">
        <f t="shared" si="11"/>
        <v>1.1200000000000001</v>
      </c>
      <c r="W11" s="51">
        <f t="shared" si="12"/>
        <v>0.34</v>
      </c>
      <c r="X11" s="53">
        <f t="shared" si="13"/>
        <v>-1.111</v>
      </c>
      <c r="Y11" s="52">
        <f t="shared" si="14"/>
        <v>2.36</v>
      </c>
      <c r="Z11" s="51">
        <f t="shared" si="14"/>
        <v>2.36</v>
      </c>
      <c r="AA11" s="51">
        <f t="shared" si="14"/>
        <v>2.36</v>
      </c>
      <c r="AB11" s="53">
        <f t="shared" si="14"/>
        <v>2.36</v>
      </c>
      <c r="AC11" s="419">
        <f t="shared" si="24"/>
        <v>0.8</v>
      </c>
      <c r="AD11" s="51">
        <f t="shared" si="15"/>
        <v>0.45</v>
      </c>
      <c r="AE11" s="51">
        <f t="shared" si="15"/>
        <v>0.45</v>
      </c>
      <c r="AF11" s="53">
        <f t="shared" si="16"/>
        <v>1.6991000000000001</v>
      </c>
      <c r="AG11" s="57">
        <f t="shared" si="25"/>
        <v>0.9</v>
      </c>
      <c r="AH11" s="51">
        <f t="shared" si="17"/>
        <v>2.2480000000000002</v>
      </c>
      <c r="AI11" s="51">
        <f t="shared" si="18"/>
        <v>-1.8864000000000001</v>
      </c>
      <c r="AJ11" s="53">
        <f t="shared" si="19"/>
        <v>4</v>
      </c>
      <c r="AK11" s="73">
        <f t="shared" si="20"/>
        <v>0.28000000000000003</v>
      </c>
      <c r="AL11" s="58">
        <f t="shared" si="21"/>
        <v>0.55000000000000004</v>
      </c>
      <c r="AM11" s="58">
        <f t="shared" si="22"/>
        <v>0.28000000000000003</v>
      </c>
      <c r="AN11" s="59">
        <f t="shared" si="23"/>
        <v>0.55000000000000004</v>
      </c>
      <c r="AQ11" s="90" t="s">
        <v>400</v>
      </c>
      <c r="AR11" s="90" t="s">
        <v>401</v>
      </c>
      <c r="AS11" s="91" t="s">
        <v>446</v>
      </c>
      <c r="AT11" s="90" t="s">
        <v>447</v>
      </c>
      <c r="AU11" s="87" t="s">
        <v>402</v>
      </c>
      <c r="AV11" s="1">
        <v>9</v>
      </c>
      <c r="AW11" s="1" t="s">
        <v>415</v>
      </c>
      <c r="AX11" s="1" t="str">
        <f>IF('Evap Fan Motors'!G16="Walk In", "Walk-In", "Reach in")</f>
        <v>Reach in</v>
      </c>
      <c r="AY11" s="1">
        <f>IF('Evap Fan Motors'!H16="Refrigeration", "Cooler",'Evap Fan Motors'!H16)</f>
        <v>0</v>
      </c>
      <c r="AZ11" s="1">
        <f>'Evap Fan Motors'!I16</f>
        <v>0</v>
      </c>
      <c r="BA11" s="1" t="str">
        <f>IF('Evap Fan Motors'!K16='Look Up Tables'!$D$33,"&lt;14W",IF('Evap Fan Motors'!K16='Look Up Tables'!$D$34,"16W-36W",IF('Evap Fan Motors'!K16=$D$35,$D$35,IF('Evap Fan Motors'!K16=$D$36,$D$36,"&gt;36W"))))</f>
        <v>&gt;36W</v>
      </c>
      <c r="BB11" s="1" t="str">
        <f t="shared" si="1"/>
        <v>High-Efficiency Evaporator Fans-Reach in 0, 0 &gt;36W</v>
      </c>
      <c r="BC11" s="1" t="str">
        <f t="shared" si="0"/>
        <v>HEEvapFanMotor</v>
      </c>
    </row>
    <row r="12" spans="2:55" ht="15" x14ac:dyDescent="0.25">
      <c r="H12" s="52">
        <v>8</v>
      </c>
      <c r="I12" s="53">
        <f>'High Eff Ref Freeze'!K15</f>
        <v>0</v>
      </c>
      <c r="J12" s="727">
        <f t="shared" si="2"/>
        <v>0</v>
      </c>
      <c r="K12" s="51">
        <f t="shared" si="3"/>
        <v>0</v>
      </c>
      <c r="L12" s="51">
        <f t="shared" si="4"/>
        <v>0</v>
      </c>
      <c r="M12" s="340">
        <f t="shared" si="5"/>
        <v>0</v>
      </c>
      <c r="N12" s="57">
        <f t="shared" si="6"/>
        <v>0</v>
      </c>
      <c r="O12" s="59">
        <f t="shared" si="7"/>
        <v>0</v>
      </c>
      <c r="P12" s="57">
        <f t="shared" si="8"/>
        <v>0</v>
      </c>
      <c r="Q12" s="59">
        <f t="shared" si="9"/>
        <v>0</v>
      </c>
      <c r="S12" s="52">
        <v>7</v>
      </c>
      <c r="T12" s="340">
        <f>'High Eff Ref Freeze'!K14</f>
        <v>0</v>
      </c>
      <c r="U12" s="52">
        <f t="shared" si="10"/>
        <v>0.44500000000000001</v>
      </c>
      <c r="V12" s="51">
        <f t="shared" si="11"/>
        <v>1.1200000000000001</v>
      </c>
      <c r="W12" s="51">
        <f t="shared" si="12"/>
        <v>0.34</v>
      </c>
      <c r="X12" s="53">
        <f t="shared" si="13"/>
        <v>-1.111</v>
      </c>
      <c r="Y12" s="52">
        <f t="shared" si="14"/>
        <v>2.36</v>
      </c>
      <c r="Z12" s="51">
        <f t="shared" si="14"/>
        <v>2.36</v>
      </c>
      <c r="AA12" s="51">
        <f t="shared" si="14"/>
        <v>2.36</v>
      </c>
      <c r="AB12" s="53">
        <f t="shared" si="14"/>
        <v>2.36</v>
      </c>
      <c r="AC12" s="419">
        <f t="shared" si="24"/>
        <v>0.8</v>
      </c>
      <c r="AD12" s="51">
        <f t="shared" si="15"/>
        <v>0.45</v>
      </c>
      <c r="AE12" s="51">
        <f t="shared" si="15"/>
        <v>0.45</v>
      </c>
      <c r="AF12" s="53">
        <f t="shared" si="16"/>
        <v>1.6991000000000001</v>
      </c>
      <c r="AG12" s="57">
        <f t="shared" si="25"/>
        <v>0.9</v>
      </c>
      <c r="AH12" s="51">
        <f t="shared" si="17"/>
        <v>2.2480000000000002</v>
      </c>
      <c r="AI12" s="51">
        <f t="shared" si="18"/>
        <v>-1.8864000000000001</v>
      </c>
      <c r="AJ12" s="53">
        <f t="shared" si="19"/>
        <v>4</v>
      </c>
      <c r="AK12" s="73">
        <f t="shared" si="20"/>
        <v>0.28000000000000003</v>
      </c>
      <c r="AL12" s="58">
        <f t="shared" si="21"/>
        <v>0.55000000000000004</v>
      </c>
      <c r="AM12" s="58">
        <f t="shared" si="22"/>
        <v>0.28000000000000003</v>
      </c>
      <c r="AN12" s="59">
        <f t="shared" si="23"/>
        <v>0.55000000000000004</v>
      </c>
      <c r="AQ12" s="90" t="s">
        <v>400</v>
      </c>
      <c r="AR12" s="90" t="s">
        <v>401</v>
      </c>
      <c r="AS12" s="91" t="s">
        <v>448</v>
      </c>
      <c r="AT12" s="90" t="s">
        <v>449</v>
      </c>
      <c r="AU12" s="87" t="s">
        <v>402</v>
      </c>
      <c r="AV12" s="1">
        <v>10</v>
      </c>
      <c r="AW12" s="1" t="s">
        <v>415</v>
      </c>
      <c r="AX12" s="1" t="str">
        <f>IF('Evap Fan Motors'!G17="Walk In", "Walk-In", "Reach in")</f>
        <v>Reach in</v>
      </c>
      <c r="AY12" s="1">
        <f>IF('Evap Fan Motors'!H17="Refrigeration", "Cooler",'Evap Fan Motors'!H17)</f>
        <v>0</v>
      </c>
      <c r="AZ12" s="1">
        <f>'Evap Fan Motors'!I17</f>
        <v>0</v>
      </c>
      <c r="BA12" s="1" t="str">
        <f>IF('Evap Fan Motors'!K17='Look Up Tables'!$D$33,"&lt;14W",IF('Evap Fan Motors'!K17='Look Up Tables'!$D$34,"16W-36W",IF('Evap Fan Motors'!K17=$D$35,$D$35,IF('Evap Fan Motors'!K17=$D$36,$D$36,"&gt;36W"))))</f>
        <v>&gt;36W</v>
      </c>
      <c r="BB12" s="1" t="str">
        <f t="shared" si="1"/>
        <v>High-Efficiency Evaporator Fans-Reach in 0, 0 &gt;36W</v>
      </c>
      <c r="BC12" s="1" t="str">
        <f t="shared" si="0"/>
        <v>HEEvapFanMotor</v>
      </c>
    </row>
    <row r="13" spans="2:55" ht="15" x14ac:dyDescent="0.25">
      <c r="H13" s="52">
        <v>9</v>
      </c>
      <c r="I13" s="53">
        <f>'High Eff Ref Freeze'!K16</f>
        <v>0</v>
      </c>
      <c r="J13" s="727">
        <f t="shared" si="2"/>
        <v>0</v>
      </c>
      <c r="K13" s="51">
        <f t="shared" si="3"/>
        <v>0</v>
      </c>
      <c r="L13" s="51">
        <f t="shared" si="4"/>
        <v>0</v>
      </c>
      <c r="M13" s="340">
        <f t="shared" si="5"/>
        <v>0</v>
      </c>
      <c r="N13" s="57">
        <f t="shared" si="6"/>
        <v>0</v>
      </c>
      <c r="O13" s="59">
        <f t="shared" si="7"/>
        <v>0</v>
      </c>
      <c r="P13" s="57">
        <f t="shared" si="8"/>
        <v>0</v>
      </c>
      <c r="Q13" s="59">
        <f t="shared" si="9"/>
        <v>0</v>
      </c>
      <c r="S13" s="52">
        <v>8</v>
      </c>
      <c r="T13" s="340">
        <f>'High Eff Ref Freeze'!K15</f>
        <v>0</v>
      </c>
      <c r="U13" s="52">
        <f t="shared" si="10"/>
        <v>0.44500000000000001</v>
      </c>
      <c r="V13" s="51">
        <f t="shared" si="11"/>
        <v>1.1200000000000001</v>
      </c>
      <c r="W13" s="51">
        <f t="shared" si="12"/>
        <v>0.34</v>
      </c>
      <c r="X13" s="53">
        <f t="shared" si="13"/>
        <v>-1.111</v>
      </c>
      <c r="Y13" s="52">
        <f t="shared" si="14"/>
        <v>2.36</v>
      </c>
      <c r="Z13" s="51">
        <f t="shared" si="14"/>
        <v>2.36</v>
      </c>
      <c r="AA13" s="51">
        <f t="shared" si="14"/>
        <v>2.36</v>
      </c>
      <c r="AB13" s="53">
        <f t="shared" si="14"/>
        <v>2.36</v>
      </c>
      <c r="AC13" s="419">
        <f t="shared" si="24"/>
        <v>0.8</v>
      </c>
      <c r="AD13" s="51">
        <f t="shared" si="15"/>
        <v>0.45</v>
      </c>
      <c r="AE13" s="51">
        <f t="shared" si="15"/>
        <v>0.45</v>
      </c>
      <c r="AF13" s="53">
        <f t="shared" si="16"/>
        <v>1.6991000000000001</v>
      </c>
      <c r="AG13" s="57">
        <f t="shared" si="25"/>
        <v>0.9</v>
      </c>
      <c r="AH13" s="51">
        <f t="shared" si="17"/>
        <v>2.2480000000000002</v>
      </c>
      <c r="AI13" s="51">
        <f t="shared" si="18"/>
        <v>-1.8864000000000001</v>
      </c>
      <c r="AJ13" s="53">
        <f t="shared" si="19"/>
        <v>4</v>
      </c>
      <c r="AK13" s="73">
        <f t="shared" si="20"/>
        <v>0.28000000000000003</v>
      </c>
      <c r="AL13" s="58">
        <f t="shared" si="21"/>
        <v>0.55000000000000004</v>
      </c>
      <c r="AM13" s="58">
        <f t="shared" si="22"/>
        <v>0.28000000000000003</v>
      </c>
      <c r="AN13" s="59">
        <f t="shared" si="23"/>
        <v>0.55000000000000004</v>
      </c>
      <c r="AQ13" s="90" t="s">
        <v>400</v>
      </c>
      <c r="AR13" s="90" t="s">
        <v>401</v>
      </c>
      <c r="AS13" s="91" t="s">
        <v>450</v>
      </c>
      <c r="AT13" s="90" t="s">
        <v>451</v>
      </c>
      <c r="AU13" s="87" t="s">
        <v>402</v>
      </c>
    </row>
    <row r="14" spans="2:55" ht="15.75" thickBot="1" x14ac:dyDescent="0.3">
      <c r="H14" s="54">
        <v>10</v>
      </c>
      <c r="I14" s="56">
        <f>'High Eff Ref Freeze'!K17</f>
        <v>0</v>
      </c>
      <c r="J14" s="335">
        <f t="shared" si="2"/>
        <v>0</v>
      </c>
      <c r="K14" s="55">
        <f t="shared" si="3"/>
        <v>0</v>
      </c>
      <c r="L14" s="55">
        <f t="shared" si="4"/>
        <v>0</v>
      </c>
      <c r="M14" s="341">
        <f t="shared" si="5"/>
        <v>0</v>
      </c>
      <c r="N14" s="57">
        <f t="shared" si="6"/>
        <v>0</v>
      </c>
      <c r="O14" s="59">
        <f t="shared" si="7"/>
        <v>0</v>
      </c>
      <c r="P14" s="57">
        <f t="shared" si="8"/>
        <v>0</v>
      </c>
      <c r="Q14" s="59">
        <f t="shared" si="9"/>
        <v>0</v>
      </c>
      <c r="S14" s="52">
        <v>9</v>
      </c>
      <c r="T14" s="340">
        <f>'High Eff Ref Freeze'!K16</f>
        <v>0</v>
      </c>
      <c r="U14" s="52">
        <f t="shared" si="10"/>
        <v>0.44500000000000001</v>
      </c>
      <c r="V14" s="51">
        <f t="shared" si="11"/>
        <v>1.1200000000000001</v>
      </c>
      <c r="W14" s="51">
        <f t="shared" si="12"/>
        <v>0.34</v>
      </c>
      <c r="X14" s="53">
        <f t="shared" si="13"/>
        <v>-1.111</v>
      </c>
      <c r="Y14" s="52">
        <f t="shared" si="14"/>
        <v>2.36</v>
      </c>
      <c r="Z14" s="51">
        <f t="shared" si="14"/>
        <v>2.36</v>
      </c>
      <c r="AA14" s="51">
        <f t="shared" si="14"/>
        <v>2.36</v>
      </c>
      <c r="AB14" s="53">
        <f t="shared" si="14"/>
        <v>2.36</v>
      </c>
      <c r="AC14" s="419">
        <f t="shared" si="24"/>
        <v>0.8</v>
      </c>
      <c r="AD14" s="51">
        <f t="shared" si="15"/>
        <v>0.45</v>
      </c>
      <c r="AE14" s="51">
        <f t="shared" si="15"/>
        <v>0.45</v>
      </c>
      <c r="AF14" s="53">
        <f t="shared" si="16"/>
        <v>1.6991000000000001</v>
      </c>
      <c r="AG14" s="57">
        <f t="shared" si="25"/>
        <v>0.9</v>
      </c>
      <c r="AH14" s="51">
        <f t="shared" si="17"/>
        <v>2.2480000000000002</v>
      </c>
      <c r="AI14" s="51">
        <f t="shared" si="18"/>
        <v>-1.8864000000000001</v>
      </c>
      <c r="AJ14" s="53">
        <f t="shared" si="19"/>
        <v>4</v>
      </c>
      <c r="AK14" s="73">
        <f t="shared" si="20"/>
        <v>0.28000000000000003</v>
      </c>
      <c r="AL14" s="58">
        <f t="shared" si="21"/>
        <v>0.55000000000000004</v>
      </c>
      <c r="AM14" s="58">
        <f t="shared" si="22"/>
        <v>0.28000000000000003</v>
      </c>
      <c r="AN14" s="59">
        <f t="shared" si="23"/>
        <v>0.55000000000000004</v>
      </c>
      <c r="AQ14" s="90" t="s">
        <v>400</v>
      </c>
      <c r="AR14" s="90" t="s">
        <v>401</v>
      </c>
      <c r="AS14" s="91" t="s">
        <v>452</v>
      </c>
      <c r="AT14" s="90" t="s">
        <v>453</v>
      </c>
      <c r="AU14" s="87" t="s">
        <v>402</v>
      </c>
    </row>
    <row r="15" spans="2:55" ht="15.75" thickBot="1" x14ac:dyDescent="0.3">
      <c r="S15" s="54">
        <v>10</v>
      </c>
      <c r="T15" s="341">
        <f>'High Eff Ref Freeze'!K17</f>
        <v>0</v>
      </c>
      <c r="U15" s="54">
        <f t="shared" si="10"/>
        <v>0.44500000000000001</v>
      </c>
      <c r="V15" s="55">
        <f t="shared" si="11"/>
        <v>1.1200000000000001</v>
      </c>
      <c r="W15" s="55">
        <f t="shared" si="12"/>
        <v>0.34</v>
      </c>
      <c r="X15" s="56">
        <f t="shared" si="13"/>
        <v>-1.111</v>
      </c>
      <c r="Y15" s="54">
        <f t="shared" si="14"/>
        <v>2.36</v>
      </c>
      <c r="Z15" s="55">
        <f t="shared" si="14"/>
        <v>2.36</v>
      </c>
      <c r="AA15" s="55">
        <f t="shared" si="14"/>
        <v>2.36</v>
      </c>
      <c r="AB15" s="56">
        <f t="shared" si="14"/>
        <v>2.36</v>
      </c>
      <c r="AC15" s="421">
        <f t="shared" si="24"/>
        <v>0.8</v>
      </c>
      <c r="AD15" s="55">
        <f t="shared" si="15"/>
        <v>0.45</v>
      </c>
      <c r="AE15" s="55">
        <f t="shared" si="15"/>
        <v>0.45</v>
      </c>
      <c r="AF15" s="56">
        <f t="shared" si="16"/>
        <v>1.6991000000000001</v>
      </c>
      <c r="AG15" s="423">
        <f t="shared" si="25"/>
        <v>0.9</v>
      </c>
      <c r="AH15" s="55">
        <f t="shared" si="17"/>
        <v>2.2480000000000002</v>
      </c>
      <c r="AI15" s="55">
        <f t="shared" si="18"/>
        <v>-1.8864000000000001</v>
      </c>
      <c r="AJ15" s="56">
        <f t="shared" si="19"/>
        <v>4</v>
      </c>
      <c r="AK15" s="424">
        <f t="shared" si="20"/>
        <v>0.28000000000000003</v>
      </c>
      <c r="AL15" s="78">
        <f t="shared" si="21"/>
        <v>0.55000000000000004</v>
      </c>
      <c r="AM15" s="78">
        <f t="shared" si="22"/>
        <v>0.28000000000000003</v>
      </c>
      <c r="AN15" s="425">
        <f t="shared" si="23"/>
        <v>0.55000000000000004</v>
      </c>
      <c r="AQ15" s="90" t="s">
        <v>400</v>
      </c>
      <c r="AR15" s="90" t="s">
        <v>401</v>
      </c>
      <c r="AS15" s="91" t="s">
        <v>454</v>
      </c>
      <c r="AT15" s="90" t="s">
        <v>455</v>
      </c>
      <c r="AU15" s="87" t="s">
        <v>402</v>
      </c>
    </row>
    <row r="16" spans="2:55" ht="15.75" thickBot="1" x14ac:dyDescent="0.3">
      <c r="AQ16" s="90" t="s">
        <v>400</v>
      </c>
      <c r="AR16" s="90" t="s">
        <v>401</v>
      </c>
      <c r="AS16" s="91" t="s">
        <v>456</v>
      </c>
      <c r="AT16" s="90" t="s">
        <v>457</v>
      </c>
      <c r="AU16" s="87" t="s">
        <v>402</v>
      </c>
    </row>
    <row r="17" spans="2:51" ht="18.75" thickBot="1" x14ac:dyDescent="0.3">
      <c r="B17" s="865" t="s">
        <v>458</v>
      </c>
      <c r="C17" s="866"/>
      <c r="D17" s="866"/>
      <c r="E17" s="866"/>
      <c r="F17" s="866"/>
      <c r="G17" s="866"/>
      <c r="H17" s="866"/>
      <c r="I17" s="866"/>
      <c r="J17" s="866"/>
      <c r="K17" s="866"/>
      <c r="L17" s="866"/>
      <c r="M17" s="866"/>
      <c r="N17" s="866"/>
      <c r="O17" s="866"/>
      <c r="P17" s="866"/>
      <c r="Q17" s="866"/>
      <c r="R17" s="866"/>
      <c r="S17" s="866"/>
      <c r="T17" s="866"/>
      <c r="U17" s="866"/>
      <c r="V17" s="866"/>
      <c r="W17" s="866"/>
      <c r="X17" s="866"/>
      <c r="Y17" s="866"/>
      <c r="Z17" s="353"/>
      <c r="AA17" s="354"/>
      <c r="AU17" s="90" t="s">
        <v>400</v>
      </c>
      <c r="AV17" s="90" t="s">
        <v>401</v>
      </c>
      <c r="AW17" s="91" t="s">
        <v>459</v>
      </c>
      <c r="AX17" s="90" t="s">
        <v>460</v>
      </c>
      <c r="AY17" s="87" t="s">
        <v>402</v>
      </c>
    </row>
    <row r="18" spans="2:51" ht="15.75" thickBot="1" x14ac:dyDescent="0.3">
      <c r="B18" s="355" t="s">
        <v>461</v>
      </c>
      <c r="C18" s="356"/>
      <c r="D18" s="356"/>
      <c r="E18" s="356"/>
      <c r="F18" s="357"/>
      <c r="G18" s="872" t="s">
        <v>462</v>
      </c>
      <c r="H18" s="873"/>
      <c r="I18" s="873"/>
      <c r="J18" s="873"/>
      <c r="K18" s="874"/>
      <c r="L18" s="875" t="s">
        <v>463</v>
      </c>
      <c r="M18" s="876"/>
      <c r="N18" s="876"/>
      <c r="O18" s="876"/>
      <c r="P18" s="876"/>
      <c r="Q18" s="876"/>
      <c r="R18" s="876"/>
      <c r="S18" s="876"/>
      <c r="T18" s="876"/>
      <c r="U18" s="876"/>
      <c r="V18" s="876"/>
      <c r="W18" s="876"/>
      <c r="X18" s="876"/>
      <c r="Y18" s="876"/>
      <c r="Z18" s="876"/>
      <c r="AA18" s="877"/>
      <c r="AU18" s="90" t="s">
        <v>400</v>
      </c>
      <c r="AV18" s="90" t="s">
        <v>401</v>
      </c>
      <c r="AW18" s="91" t="s">
        <v>464</v>
      </c>
      <c r="AX18" s="90" t="s">
        <v>465</v>
      </c>
      <c r="AY18" s="87" t="s">
        <v>402</v>
      </c>
    </row>
    <row r="19" spans="2:51" ht="15.75" thickBot="1" x14ac:dyDescent="0.3">
      <c r="B19" s="358"/>
      <c r="C19" s="359"/>
      <c r="D19" s="359"/>
      <c r="E19" s="359"/>
      <c r="F19" s="360"/>
      <c r="G19" s="872" t="s">
        <v>439</v>
      </c>
      <c r="H19" s="873"/>
      <c r="I19" s="874"/>
      <c r="J19" s="359"/>
      <c r="K19" s="373"/>
      <c r="L19" s="350" t="s">
        <v>466</v>
      </c>
      <c r="M19" s="351"/>
      <c r="N19" s="351"/>
      <c r="O19" s="352"/>
      <c r="P19" s="350" t="s">
        <v>467</v>
      </c>
      <c r="Q19" s="351"/>
      <c r="R19" s="351"/>
      <c r="S19" s="352"/>
      <c r="T19" s="350" t="s">
        <v>468</v>
      </c>
      <c r="U19" s="351"/>
      <c r="V19" s="351"/>
      <c r="W19" s="351"/>
      <c r="X19" s="350" t="s">
        <v>469</v>
      </c>
      <c r="Y19" s="351"/>
      <c r="Z19" s="351"/>
      <c r="AA19" s="367"/>
      <c r="AU19" s="90" t="s">
        <v>400</v>
      </c>
      <c r="AV19" s="90" t="s">
        <v>401</v>
      </c>
      <c r="AW19" s="91" t="s">
        <v>470</v>
      </c>
      <c r="AX19" s="90" t="s">
        <v>471</v>
      </c>
      <c r="AY19" s="87" t="s">
        <v>402</v>
      </c>
    </row>
    <row r="20" spans="2:51" ht="15.75" thickBot="1" x14ac:dyDescent="0.3">
      <c r="B20" s="63" t="s">
        <v>275</v>
      </c>
      <c r="C20" s="64" t="s">
        <v>297</v>
      </c>
      <c r="D20" s="64" t="s">
        <v>434</v>
      </c>
      <c r="E20" s="64" t="s">
        <v>472</v>
      </c>
      <c r="F20" s="65" t="s">
        <v>473</v>
      </c>
      <c r="G20" s="70" t="s">
        <v>466</v>
      </c>
      <c r="H20" s="72" t="s">
        <v>467</v>
      </c>
      <c r="I20" s="71" t="s">
        <v>474</v>
      </c>
      <c r="J20" s="372" t="s">
        <v>475</v>
      </c>
      <c r="K20" s="368" t="s">
        <v>476</v>
      </c>
      <c r="L20" s="63" t="s">
        <v>404</v>
      </c>
      <c r="M20" s="64" t="s">
        <v>416</v>
      </c>
      <c r="N20" s="64" t="s">
        <v>423</v>
      </c>
      <c r="O20" s="65" t="s">
        <v>425</v>
      </c>
      <c r="P20" s="63" t="s">
        <v>404</v>
      </c>
      <c r="Q20" s="64" t="s">
        <v>416</v>
      </c>
      <c r="R20" s="64" t="s">
        <v>423</v>
      </c>
      <c r="S20" s="65" t="s">
        <v>425</v>
      </c>
      <c r="T20" s="63" t="s">
        <v>404</v>
      </c>
      <c r="U20" s="64" t="s">
        <v>416</v>
      </c>
      <c r="V20" s="64" t="s">
        <v>423</v>
      </c>
      <c r="W20" s="338" t="s">
        <v>425</v>
      </c>
      <c r="X20" s="366" t="s">
        <v>419</v>
      </c>
      <c r="Y20" s="338" t="s">
        <v>405</v>
      </c>
      <c r="Z20" s="338" t="s">
        <v>475</v>
      </c>
      <c r="AA20" s="368" t="s">
        <v>476</v>
      </c>
      <c r="AU20" s="90" t="s">
        <v>400</v>
      </c>
      <c r="AV20" s="90" t="s">
        <v>401</v>
      </c>
      <c r="AW20" s="91" t="s">
        <v>477</v>
      </c>
      <c r="AX20" s="90" t="s">
        <v>478</v>
      </c>
      <c r="AY20" s="87" t="s">
        <v>402</v>
      </c>
    </row>
    <row r="21" spans="2:51" ht="15" x14ac:dyDescent="0.25">
      <c r="B21" s="75">
        <v>1</v>
      </c>
      <c r="C21" s="76">
        <f>'High Eff Ref Freeze'!L8</f>
        <v>0</v>
      </c>
      <c r="D21" s="76">
        <f>'High Eff Ref Freeze'!I8</f>
        <v>0</v>
      </c>
      <c r="E21" s="76">
        <f>'High Eff Ref Freeze'!J8</f>
        <v>0</v>
      </c>
      <c r="F21" s="77">
        <f>'High Eff Ref Freeze'!H8</f>
        <v>0</v>
      </c>
      <c r="G21" s="57">
        <f>IF(C21=$F$3,L5,J5)</f>
        <v>0</v>
      </c>
      <c r="H21" s="58">
        <f t="shared" ref="H21:H30" si="26">IF(C21=$F$3,M5,K5)</f>
        <v>0</v>
      </c>
      <c r="I21" s="339">
        <f>IF(F21=$D$3,H21,G21)</f>
        <v>0</v>
      </c>
      <c r="J21" s="339">
        <f t="shared" ref="J21:J30" si="27">IF(F21=$D$3,O5,N5)</f>
        <v>0</v>
      </c>
      <c r="K21" s="370">
        <f t="shared" ref="K21:K30" si="28">IF(D21=$D$9,I21,J21)</f>
        <v>0</v>
      </c>
      <c r="L21" s="57">
        <f t="shared" ref="L21:S21" si="29">IF($C21="Solid",AC6,U6)</f>
        <v>0.44500000000000001</v>
      </c>
      <c r="M21" s="58">
        <f t="shared" si="29"/>
        <v>1.1200000000000001</v>
      </c>
      <c r="N21" s="58">
        <f t="shared" si="29"/>
        <v>0.34</v>
      </c>
      <c r="O21" s="58">
        <f t="shared" si="29"/>
        <v>-1.111</v>
      </c>
      <c r="P21" s="58">
        <f t="shared" si="29"/>
        <v>2.36</v>
      </c>
      <c r="Q21" s="58">
        <f t="shared" si="29"/>
        <v>2.36</v>
      </c>
      <c r="R21" s="58">
        <f t="shared" si="29"/>
        <v>2.36</v>
      </c>
      <c r="S21" s="339">
        <f t="shared" si="29"/>
        <v>2.36</v>
      </c>
      <c r="T21" s="75">
        <f t="shared" ref="T21:T30" si="30">IF($F21="Freezer",P21,L21)</f>
        <v>0.44500000000000001</v>
      </c>
      <c r="U21" s="76">
        <f t="shared" ref="U21:U30" si="31">IF($F21="Freezer",Q21,M21)</f>
        <v>1.1200000000000001</v>
      </c>
      <c r="V21" s="76">
        <f t="shared" ref="V21:V30" si="32">IF($F21="Freezer",R21,N21)</f>
        <v>0.34</v>
      </c>
      <c r="W21" s="77">
        <f t="shared" ref="W21:W30" si="33">IF($F21="Freezer",S21,O21)</f>
        <v>-1.111</v>
      </c>
      <c r="X21" s="361">
        <f t="shared" ref="X21:X30" si="34">IF($C21=$F$3,AM6,AK6)</f>
        <v>0.28000000000000003</v>
      </c>
      <c r="Y21" s="362">
        <f t="shared" ref="Y21:Y30" si="35">IF($C21=$F$3,AN6,AL6)</f>
        <v>0.55000000000000004</v>
      </c>
      <c r="Z21" s="362">
        <f>IF(F21=$D$3,Y21,X21)</f>
        <v>0.28000000000000003</v>
      </c>
      <c r="AA21" s="369">
        <f t="shared" ref="AA21:AA30" si="36">IF(D21=$D$10,Z21,IF(E21=$B$3,T21,IF(E21=$B$4,U21,IF($B$5=E21,V21,IF(E21=$B$6,W21,0)))))</f>
        <v>0</v>
      </c>
      <c r="AU21" s="90" t="s">
        <v>400</v>
      </c>
      <c r="AV21" s="90" t="s">
        <v>401</v>
      </c>
      <c r="AW21" s="91" t="s">
        <v>479</v>
      </c>
      <c r="AX21" s="90" t="s">
        <v>480</v>
      </c>
      <c r="AY21" s="87" t="s">
        <v>402</v>
      </c>
    </row>
    <row r="22" spans="2:51" ht="15" x14ac:dyDescent="0.25">
      <c r="B22" s="52">
        <v>2</v>
      </c>
      <c r="C22" s="51">
        <f>'High Eff Ref Freeze'!L9</f>
        <v>0</v>
      </c>
      <c r="D22" s="58">
        <f>'High Eff Ref Freeze'!I9</f>
        <v>0</v>
      </c>
      <c r="E22" s="51">
        <f>'High Eff Ref Freeze'!J9</f>
        <v>0</v>
      </c>
      <c r="F22" s="53">
        <f>'High Eff Ref Freeze'!H9</f>
        <v>0</v>
      </c>
      <c r="G22" s="57">
        <f t="shared" ref="G22:G30" si="37">IF(C22=$F$3,L6,J6)</f>
        <v>0</v>
      </c>
      <c r="H22" s="58">
        <f t="shared" si="26"/>
        <v>0</v>
      </c>
      <c r="I22" s="339">
        <f t="shared" ref="I22:I30" si="38">IF(F22=$D$3,H22,G22)</f>
        <v>0</v>
      </c>
      <c r="J22" s="339">
        <f t="shared" si="27"/>
        <v>0</v>
      </c>
      <c r="K22" s="370">
        <f t="shared" si="28"/>
        <v>0</v>
      </c>
      <c r="L22" s="52">
        <f t="shared" ref="L22:L30" si="39">IF(C22="Solid",AC7,U7)</f>
        <v>0.44500000000000001</v>
      </c>
      <c r="M22" s="51">
        <f t="shared" ref="M22:M30" si="40">IF($C22="Solid",AD7,V7)</f>
        <v>1.1200000000000001</v>
      </c>
      <c r="N22" s="51">
        <f t="shared" ref="N22:N30" si="41">IF($C22="Solid",AE7,W7)</f>
        <v>0.34</v>
      </c>
      <c r="O22" s="51">
        <f t="shared" ref="O22:O30" si="42">IF($C22="Solid",AF7,X7)</f>
        <v>-1.111</v>
      </c>
      <c r="P22" s="51">
        <f t="shared" ref="P22:P30" si="43">IF($C22="Solid",AG7,Y7)</f>
        <v>2.36</v>
      </c>
      <c r="Q22" s="51">
        <f t="shared" ref="Q22:Q30" si="44">IF($C22="Solid",AH7,Z7)</f>
        <v>2.36</v>
      </c>
      <c r="R22" s="51">
        <f t="shared" ref="R22:R30" si="45">IF($C22="Solid",AI7,AA7)</f>
        <v>2.36</v>
      </c>
      <c r="S22" s="340">
        <f t="shared" ref="S22:S30" si="46">IF($C22="Solid",AJ7,AB7)</f>
        <v>2.36</v>
      </c>
      <c r="T22" s="52">
        <f t="shared" si="30"/>
        <v>0.44500000000000001</v>
      </c>
      <c r="U22" s="51">
        <f t="shared" si="31"/>
        <v>1.1200000000000001</v>
      </c>
      <c r="V22" s="51">
        <f t="shared" si="32"/>
        <v>0.34</v>
      </c>
      <c r="W22" s="53">
        <f t="shared" si="33"/>
        <v>-1.111</v>
      </c>
      <c r="X22" s="363">
        <f t="shared" si="34"/>
        <v>0.28000000000000003</v>
      </c>
      <c r="Y22" s="339">
        <f t="shared" si="35"/>
        <v>0.55000000000000004</v>
      </c>
      <c r="Z22" s="339">
        <f t="shared" ref="Z22:Z30" si="47">IF(F22=$D$3,Y22,X22)</f>
        <v>0.28000000000000003</v>
      </c>
      <c r="AA22" s="370">
        <f t="shared" si="36"/>
        <v>0</v>
      </c>
      <c r="AU22" s="90" t="s">
        <v>400</v>
      </c>
      <c r="AV22" s="90" t="s">
        <v>401</v>
      </c>
      <c r="AW22" s="91" t="s">
        <v>481</v>
      </c>
      <c r="AX22" s="90" t="s">
        <v>482</v>
      </c>
      <c r="AY22" s="87" t="s">
        <v>402</v>
      </c>
    </row>
    <row r="23" spans="2:51" ht="15" x14ac:dyDescent="0.25">
      <c r="B23" s="52">
        <v>3</v>
      </c>
      <c r="C23" s="51">
        <f>'High Eff Ref Freeze'!L10</f>
        <v>0</v>
      </c>
      <c r="D23" s="58">
        <f>'High Eff Ref Freeze'!I10</f>
        <v>0</v>
      </c>
      <c r="E23" s="51">
        <f>'High Eff Ref Freeze'!J10</f>
        <v>0</v>
      </c>
      <c r="F23" s="53">
        <f>'High Eff Ref Freeze'!H10</f>
        <v>0</v>
      </c>
      <c r="G23" s="57">
        <f t="shared" si="37"/>
        <v>0</v>
      </c>
      <c r="H23" s="58">
        <f t="shared" si="26"/>
        <v>0</v>
      </c>
      <c r="I23" s="339">
        <f t="shared" si="38"/>
        <v>0</v>
      </c>
      <c r="J23" s="339">
        <f t="shared" si="27"/>
        <v>0</v>
      </c>
      <c r="K23" s="370">
        <f t="shared" si="28"/>
        <v>0</v>
      </c>
      <c r="L23" s="52">
        <f t="shared" si="39"/>
        <v>0.44500000000000001</v>
      </c>
      <c r="M23" s="51">
        <f t="shared" si="40"/>
        <v>1.1200000000000001</v>
      </c>
      <c r="N23" s="51">
        <f t="shared" si="41"/>
        <v>0.34</v>
      </c>
      <c r="O23" s="51">
        <f t="shared" si="42"/>
        <v>-1.111</v>
      </c>
      <c r="P23" s="51">
        <f t="shared" si="43"/>
        <v>2.36</v>
      </c>
      <c r="Q23" s="51">
        <f t="shared" si="44"/>
        <v>2.36</v>
      </c>
      <c r="R23" s="51">
        <f t="shared" si="45"/>
        <v>2.36</v>
      </c>
      <c r="S23" s="340">
        <f t="shared" si="46"/>
        <v>2.36</v>
      </c>
      <c r="T23" s="52">
        <f t="shared" si="30"/>
        <v>0.44500000000000001</v>
      </c>
      <c r="U23" s="51">
        <f t="shared" si="31"/>
        <v>1.1200000000000001</v>
      </c>
      <c r="V23" s="51">
        <f t="shared" si="32"/>
        <v>0.34</v>
      </c>
      <c r="W23" s="53">
        <f t="shared" si="33"/>
        <v>-1.111</v>
      </c>
      <c r="X23" s="363">
        <f t="shared" si="34"/>
        <v>0.28000000000000003</v>
      </c>
      <c r="Y23" s="339">
        <f t="shared" si="35"/>
        <v>0.55000000000000004</v>
      </c>
      <c r="Z23" s="339">
        <f t="shared" si="47"/>
        <v>0.28000000000000003</v>
      </c>
      <c r="AA23" s="370">
        <f t="shared" si="36"/>
        <v>0</v>
      </c>
      <c r="AU23" s="90" t="s">
        <v>400</v>
      </c>
      <c r="AV23" s="90" t="s">
        <v>401</v>
      </c>
      <c r="AW23" s="91" t="s">
        <v>483</v>
      </c>
      <c r="AX23" s="90" t="s">
        <v>484</v>
      </c>
      <c r="AY23" s="87" t="s">
        <v>402</v>
      </c>
    </row>
    <row r="24" spans="2:51" ht="15" x14ac:dyDescent="0.25">
      <c r="B24" s="52">
        <v>4</v>
      </c>
      <c r="C24" s="51">
        <f>'High Eff Ref Freeze'!L11</f>
        <v>0</v>
      </c>
      <c r="D24" s="58">
        <f>'High Eff Ref Freeze'!I11</f>
        <v>0</v>
      </c>
      <c r="E24" s="51">
        <f>'High Eff Ref Freeze'!J11</f>
        <v>0</v>
      </c>
      <c r="F24" s="53">
        <f>'High Eff Ref Freeze'!H11</f>
        <v>0</v>
      </c>
      <c r="G24" s="57">
        <f t="shared" si="37"/>
        <v>0</v>
      </c>
      <c r="H24" s="58">
        <f t="shared" si="26"/>
        <v>0</v>
      </c>
      <c r="I24" s="339">
        <f t="shared" si="38"/>
        <v>0</v>
      </c>
      <c r="J24" s="339">
        <f t="shared" si="27"/>
        <v>0</v>
      </c>
      <c r="K24" s="370">
        <f t="shared" si="28"/>
        <v>0</v>
      </c>
      <c r="L24" s="52">
        <f t="shared" si="39"/>
        <v>0.44500000000000001</v>
      </c>
      <c r="M24" s="51">
        <f t="shared" si="40"/>
        <v>1.1200000000000001</v>
      </c>
      <c r="N24" s="51">
        <f t="shared" si="41"/>
        <v>0.34</v>
      </c>
      <c r="O24" s="51">
        <f t="shared" si="42"/>
        <v>-1.111</v>
      </c>
      <c r="P24" s="51">
        <f t="shared" si="43"/>
        <v>2.36</v>
      </c>
      <c r="Q24" s="51">
        <f t="shared" si="44"/>
        <v>2.36</v>
      </c>
      <c r="R24" s="51">
        <f t="shared" si="45"/>
        <v>2.36</v>
      </c>
      <c r="S24" s="340">
        <f t="shared" si="46"/>
        <v>2.36</v>
      </c>
      <c r="T24" s="52">
        <f t="shared" si="30"/>
        <v>0.44500000000000001</v>
      </c>
      <c r="U24" s="51">
        <f t="shared" si="31"/>
        <v>1.1200000000000001</v>
      </c>
      <c r="V24" s="51">
        <f t="shared" si="32"/>
        <v>0.34</v>
      </c>
      <c r="W24" s="53">
        <f t="shared" si="33"/>
        <v>-1.111</v>
      </c>
      <c r="X24" s="363">
        <f t="shared" si="34"/>
        <v>0.28000000000000003</v>
      </c>
      <c r="Y24" s="339">
        <f t="shared" si="35"/>
        <v>0.55000000000000004</v>
      </c>
      <c r="Z24" s="339">
        <f t="shared" si="47"/>
        <v>0.28000000000000003</v>
      </c>
      <c r="AA24" s="370">
        <f t="shared" si="36"/>
        <v>0</v>
      </c>
      <c r="AU24" s="90" t="s">
        <v>400</v>
      </c>
      <c r="AV24" s="90" t="s">
        <v>401</v>
      </c>
      <c r="AW24" s="91" t="s">
        <v>485</v>
      </c>
      <c r="AX24" s="90" t="s">
        <v>486</v>
      </c>
      <c r="AY24" s="87" t="s">
        <v>402</v>
      </c>
    </row>
    <row r="25" spans="2:51" ht="15" x14ac:dyDescent="0.25">
      <c r="B25" s="52">
        <v>5</v>
      </c>
      <c r="C25" s="51">
        <f>'High Eff Ref Freeze'!L12</f>
        <v>0</v>
      </c>
      <c r="D25" s="58">
        <f>'High Eff Ref Freeze'!I12</f>
        <v>0</v>
      </c>
      <c r="E25" s="51">
        <f>'High Eff Ref Freeze'!J12</f>
        <v>0</v>
      </c>
      <c r="F25" s="53">
        <f>'High Eff Ref Freeze'!H12</f>
        <v>0</v>
      </c>
      <c r="G25" s="57">
        <f t="shared" si="37"/>
        <v>0</v>
      </c>
      <c r="H25" s="58">
        <f t="shared" si="26"/>
        <v>0</v>
      </c>
      <c r="I25" s="339">
        <f t="shared" si="38"/>
        <v>0</v>
      </c>
      <c r="J25" s="339">
        <f t="shared" si="27"/>
        <v>0</v>
      </c>
      <c r="K25" s="370">
        <f t="shared" si="28"/>
        <v>0</v>
      </c>
      <c r="L25" s="52">
        <f t="shared" si="39"/>
        <v>0.44500000000000001</v>
      </c>
      <c r="M25" s="51">
        <f t="shared" si="40"/>
        <v>1.1200000000000001</v>
      </c>
      <c r="N25" s="51">
        <f t="shared" si="41"/>
        <v>0.34</v>
      </c>
      <c r="O25" s="51">
        <f t="shared" si="42"/>
        <v>-1.111</v>
      </c>
      <c r="P25" s="51">
        <f t="shared" si="43"/>
        <v>2.36</v>
      </c>
      <c r="Q25" s="51">
        <f t="shared" si="44"/>
        <v>2.36</v>
      </c>
      <c r="R25" s="51">
        <f t="shared" si="45"/>
        <v>2.36</v>
      </c>
      <c r="S25" s="340">
        <f t="shared" si="46"/>
        <v>2.36</v>
      </c>
      <c r="T25" s="52">
        <f t="shared" si="30"/>
        <v>0.44500000000000001</v>
      </c>
      <c r="U25" s="51">
        <f t="shared" si="31"/>
        <v>1.1200000000000001</v>
      </c>
      <c r="V25" s="51">
        <f t="shared" si="32"/>
        <v>0.34</v>
      </c>
      <c r="W25" s="53">
        <f t="shared" si="33"/>
        <v>-1.111</v>
      </c>
      <c r="X25" s="363">
        <f t="shared" si="34"/>
        <v>0.28000000000000003</v>
      </c>
      <c r="Y25" s="339">
        <f t="shared" si="35"/>
        <v>0.55000000000000004</v>
      </c>
      <c r="Z25" s="339">
        <f t="shared" si="47"/>
        <v>0.28000000000000003</v>
      </c>
      <c r="AA25" s="370">
        <f t="shared" si="36"/>
        <v>0</v>
      </c>
      <c r="AU25" s="90" t="s">
        <v>400</v>
      </c>
      <c r="AV25" s="90" t="s">
        <v>401</v>
      </c>
      <c r="AW25" s="91" t="s">
        <v>487</v>
      </c>
      <c r="AX25" s="90" t="s">
        <v>488</v>
      </c>
      <c r="AY25" s="87" t="s">
        <v>402</v>
      </c>
    </row>
    <row r="26" spans="2:51" ht="15" x14ac:dyDescent="0.25">
      <c r="B26" s="52">
        <v>6</v>
      </c>
      <c r="C26" s="51">
        <f>'High Eff Ref Freeze'!L13</f>
        <v>0</v>
      </c>
      <c r="D26" s="58">
        <f>'High Eff Ref Freeze'!I13</f>
        <v>0</v>
      </c>
      <c r="E26" s="51">
        <f>'High Eff Ref Freeze'!J13</f>
        <v>0</v>
      </c>
      <c r="F26" s="53">
        <f>'High Eff Ref Freeze'!H13</f>
        <v>0</v>
      </c>
      <c r="G26" s="57">
        <f t="shared" si="37"/>
        <v>0</v>
      </c>
      <c r="H26" s="58">
        <f t="shared" si="26"/>
        <v>0</v>
      </c>
      <c r="I26" s="339">
        <f t="shared" si="38"/>
        <v>0</v>
      </c>
      <c r="J26" s="339">
        <f t="shared" si="27"/>
        <v>0</v>
      </c>
      <c r="K26" s="370">
        <f t="shared" si="28"/>
        <v>0</v>
      </c>
      <c r="L26" s="52">
        <f t="shared" si="39"/>
        <v>0.44500000000000001</v>
      </c>
      <c r="M26" s="51">
        <f t="shared" si="40"/>
        <v>1.1200000000000001</v>
      </c>
      <c r="N26" s="51">
        <f t="shared" si="41"/>
        <v>0.34</v>
      </c>
      <c r="O26" s="51">
        <f t="shared" si="42"/>
        <v>-1.111</v>
      </c>
      <c r="P26" s="51">
        <f t="shared" si="43"/>
        <v>2.36</v>
      </c>
      <c r="Q26" s="51">
        <f t="shared" si="44"/>
        <v>2.36</v>
      </c>
      <c r="R26" s="51">
        <f t="shared" si="45"/>
        <v>2.36</v>
      </c>
      <c r="S26" s="340">
        <f t="shared" si="46"/>
        <v>2.36</v>
      </c>
      <c r="T26" s="52">
        <f t="shared" si="30"/>
        <v>0.44500000000000001</v>
      </c>
      <c r="U26" s="51">
        <f t="shared" si="31"/>
        <v>1.1200000000000001</v>
      </c>
      <c r="V26" s="51">
        <f t="shared" si="32"/>
        <v>0.34</v>
      </c>
      <c r="W26" s="53">
        <f t="shared" si="33"/>
        <v>-1.111</v>
      </c>
      <c r="X26" s="363">
        <f t="shared" si="34"/>
        <v>0.28000000000000003</v>
      </c>
      <c r="Y26" s="339">
        <f t="shared" si="35"/>
        <v>0.55000000000000004</v>
      </c>
      <c r="Z26" s="339">
        <f t="shared" si="47"/>
        <v>0.28000000000000003</v>
      </c>
      <c r="AA26" s="370">
        <f t="shared" si="36"/>
        <v>0</v>
      </c>
      <c r="AU26" s="90" t="s">
        <v>400</v>
      </c>
      <c r="AV26" s="90" t="s">
        <v>401</v>
      </c>
      <c r="AW26" s="91" t="s">
        <v>489</v>
      </c>
      <c r="AX26" s="90" t="s">
        <v>490</v>
      </c>
      <c r="AY26" s="87" t="s">
        <v>402</v>
      </c>
    </row>
    <row r="27" spans="2:51" ht="15" x14ac:dyDescent="0.25">
      <c r="B27" s="52">
        <v>7</v>
      </c>
      <c r="C27" s="51">
        <f>'High Eff Ref Freeze'!L14</f>
        <v>0</v>
      </c>
      <c r="D27" s="58">
        <f>'High Eff Ref Freeze'!I14</f>
        <v>0</v>
      </c>
      <c r="E27" s="51">
        <f>'High Eff Ref Freeze'!J14</f>
        <v>0</v>
      </c>
      <c r="F27" s="53">
        <f>'High Eff Ref Freeze'!H14</f>
        <v>0</v>
      </c>
      <c r="G27" s="57">
        <f t="shared" si="37"/>
        <v>0</v>
      </c>
      <c r="H27" s="58">
        <f t="shared" si="26"/>
        <v>0</v>
      </c>
      <c r="I27" s="339">
        <f t="shared" si="38"/>
        <v>0</v>
      </c>
      <c r="J27" s="339">
        <f t="shared" si="27"/>
        <v>0</v>
      </c>
      <c r="K27" s="370">
        <f t="shared" si="28"/>
        <v>0</v>
      </c>
      <c r="L27" s="52">
        <f t="shared" si="39"/>
        <v>0.44500000000000001</v>
      </c>
      <c r="M27" s="51">
        <f t="shared" si="40"/>
        <v>1.1200000000000001</v>
      </c>
      <c r="N27" s="51">
        <f t="shared" si="41"/>
        <v>0.34</v>
      </c>
      <c r="O27" s="51">
        <f t="shared" si="42"/>
        <v>-1.111</v>
      </c>
      <c r="P27" s="51">
        <f t="shared" si="43"/>
        <v>2.36</v>
      </c>
      <c r="Q27" s="51">
        <f t="shared" si="44"/>
        <v>2.36</v>
      </c>
      <c r="R27" s="51">
        <f t="shared" si="45"/>
        <v>2.36</v>
      </c>
      <c r="S27" s="340">
        <f t="shared" si="46"/>
        <v>2.36</v>
      </c>
      <c r="T27" s="52">
        <f t="shared" si="30"/>
        <v>0.44500000000000001</v>
      </c>
      <c r="U27" s="51">
        <f t="shared" si="31"/>
        <v>1.1200000000000001</v>
      </c>
      <c r="V27" s="51">
        <f t="shared" si="32"/>
        <v>0.34</v>
      </c>
      <c r="W27" s="53">
        <f t="shared" si="33"/>
        <v>-1.111</v>
      </c>
      <c r="X27" s="363">
        <f t="shared" si="34"/>
        <v>0.28000000000000003</v>
      </c>
      <c r="Y27" s="339">
        <f t="shared" si="35"/>
        <v>0.55000000000000004</v>
      </c>
      <c r="Z27" s="339">
        <f t="shared" si="47"/>
        <v>0.28000000000000003</v>
      </c>
      <c r="AA27" s="370">
        <f t="shared" si="36"/>
        <v>0</v>
      </c>
      <c r="AU27" s="90" t="s">
        <v>400</v>
      </c>
      <c r="AV27" s="90" t="s">
        <v>401</v>
      </c>
      <c r="AW27" s="91" t="s">
        <v>491</v>
      </c>
      <c r="AX27" s="90" t="s">
        <v>492</v>
      </c>
      <c r="AY27" s="87" t="s">
        <v>402</v>
      </c>
    </row>
    <row r="28" spans="2:51" ht="15" x14ac:dyDescent="0.25">
      <c r="B28" s="52">
        <v>8</v>
      </c>
      <c r="C28" s="51">
        <f>'High Eff Ref Freeze'!L15</f>
        <v>0</v>
      </c>
      <c r="D28" s="58">
        <f>'High Eff Ref Freeze'!I15</f>
        <v>0</v>
      </c>
      <c r="E28" s="51">
        <f>'High Eff Ref Freeze'!J15</f>
        <v>0</v>
      </c>
      <c r="F28" s="53">
        <f>'High Eff Ref Freeze'!H15</f>
        <v>0</v>
      </c>
      <c r="G28" s="57">
        <f t="shared" si="37"/>
        <v>0</v>
      </c>
      <c r="H28" s="58">
        <f t="shared" si="26"/>
        <v>0</v>
      </c>
      <c r="I28" s="339">
        <f t="shared" si="38"/>
        <v>0</v>
      </c>
      <c r="J28" s="339">
        <f t="shared" si="27"/>
        <v>0</v>
      </c>
      <c r="K28" s="370">
        <f t="shared" si="28"/>
        <v>0</v>
      </c>
      <c r="L28" s="52">
        <f t="shared" si="39"/>
        <v>0.44500000000000001</v>
      </c>
      <c r="M28" s="51">
        <f t="shared" si="40"/>
        <v>1.1200000000000001</v>
      </c>
      <c r="N28" s="51">
        <f t="shared" si="41"/>
        <v>0.34</v>
      </c>
      <c r="O28" s="51">
        <f t="shared" si="42"/>
        <v>-1.111</v>
      </c>
      <c r="P28" s="51">
        <f t="shared" si="43"/>
        <v>2.36</v>
      </c>
      <c r="Q28" s="51">
        <f t="shared" si="44"/>
        <v>2.36</v>
      </c>
      <c r="R28" s="51">
        <f t="shared" si="45"/>
        <v>2.36</v>
      </c>
      <c r="S28" s="340">
        <f t="shared" si="46"/>
        <v>2.36</v>
      </c>
      <c r="T28" s="52">
        <f t="shared" si="30"/>
        <v>0.44500000000000001</v>
      </c>
      <c r="U28" s="51">
        <f t="shared" si="31"/>
        <v>1.1200000000000001</v>
      </c>
      <c r="V28" s="51">
        <f t="shared" si="32"/>
        <v>0.34</v>
      </c>
      <c r="W28" s="53">
        <f t="shared" si="33"/>
        <v>-1.111</v>
      </c>
      <c r="X28" s="363">
        <f t="shared" si="34"/>
        <v>0.28000000000000003</v>
      </c>
      <c r="Y28" s="339">
        <f t="shared" si="35"/>
        <v>0.55000000000000004</v>
      </c>
      <c r="Z28" s="339">
        <f t="shared" si="47"/>
        <v>0.28000000000000003</v>
      </c>
      <c r="AA28" s="370">
        <f t="shared" si="36"/>
        <v>0</v>
      </c>
      <c r="AU28" s="90" t="s">
        <v>400</v>
      </c>
      <c r="AV28" s="90" t="s">
        <v>401</v>
      </c>
      <c r="AW28" s="91" t="s">
        <v>493</v>
      </c>
      <c r="AX28" s="90" t="s">
        <v>494</v>
      </c>
      <c r="AY28" s="87" t="s">
        <v>402</v>
      </c>
    </row>
    <row r="29" spans="2:51" ht="15" x14ac:dyDescent="0.25">
      <c r="B29" s="52">
        <v>9</v>
      </c>
      <c r="C29" s="51">
        <f>'High Eff Ref Freeze'!L16</f>
        <v>0</v>
      </c>
      <c r="D29" s="58">
        <f>'High Eff Ref Freeze'!I16</f>
        <v>0</v>
      </c>
      <c r="E29" s="51">
        <f>'High Eff Ref Freeze'!J16</f>
        <v>0</v>
      </c>
      <c r="F29" s="53">
        <f>'High Eff Ref Freeze'!H16</f>
        <v>0</v>
      </c>
      <c r="G29" s="57">
        <f t="shared" si="37"/>
        <v>0</v>
      </c>
      <c r="H29" s="58">
        <f t="shared" si="26"/>
        <v>0</v>
      </c>
      <c r="I29" s="339">
        <f t="shared" si="38"/>
        <v>0</v>
      </c>
      <c r="J29" s="339">
        <f t="shared" si="27"/>
        <v>0</v>
      </c>
      <c r="K29" s="370">
        <f t="shared" si="28"/>
        <v>0</v>
      </c>
      <c r="L29" s="52">
        <f t="shared" si="39"/>
        <v>0.44500000000000001</v>
      </c>
      <c r="M29" s="51">
        <f t="shared" si="40"/>
        <v>1.1200000000000001</v>
      </c>
      <c r="N29" s="51">
        <f t="shared" si="41"/>
        <v>0.34</v>
      </c>
      <c r="O29" s="51">
        <f t="shared" si="42"/>
        <v>-1.111</v>
      </c>
      <c r="P29" s="51">
        <f t="shared" si="43"/>
        <v>2.36</v>
      </c>
      <c r="Q29" s="51">
        <f t="shared" si="44"/>
        <v>2.36</v>
      </c>
      <c r="R29" s="51">
        <f t="shared" si="45"/>
        <v>2.36</v>
      </c>
      <c r="S29" s="340">
        <f t="shared" si="46"/>
        <v>2.36</v>
      </c>
      <c r="T29" s="52">
        <f t="shared" si="30"/>
        <v>0.44500000000000001</v>
      </c>
      <c r="U29" s="51">
        <f t="shared" si="31"/>
        <v>1.1200000000000001</v>
      </c>
      <c r="V29" s="51">
        <f t="shared" si="32"/>
        <v>0.34</v>
      </c>
      <c r="W29" s="53">
        <f t="shared" si="33"/>
        <v>-1.111</v>
      </c>
      <c r="X29" s="363">
        <f t="shared" si="34"/>
        <v>0.28000000000000003</v>
      </c>
      <c r="Y29" s="339">
        <f t="shared" si="35"/>
        <v>0.55000000000000004</v>
      </c>
      <c r="Z29" s="339">
        <f t="shared" si="47"/>
        <v>0.28000000000000003</v>
      </c>
      <c r="AA29" s="370">
        <f t="shared" si="36"/>
        <v>0</v>
      </c>
      <c r="AU29" s="90" t="s">
        <v>400</v>
      </c>
      <c r="AV29" s="90" t="s">
        <v>401</v>
      </c>
      <c r="AW29" s="91" t="s">
        <v>495</v>
      </c>
      <c r="AX29" s="90" t="s">
        <v>496</v>
      </c>
      <c r="AY29" s="87" t="s">
        <v>402</v>
      </c>
    </row>
    <row r="30" spans="2:51" ht="15.75" thickBot="1" x14ac:dyDescent="0.3">
      <c r="B30" s="54">
        <v>10</v>
      </c>
      <c r="C30" s="55">
        <f>'High Eff Ref Freeze'!L17</f>
        <v>0</v>
      </c>
      <c r="D30" s="78">
        <f>'High Eff Ref Freeze'!I17</f>
        <v>0</v>
      </c>
      <c r="E30" s="55">
        <f>'High Eff Ref Freeze'!J17</f>
        <v>0</v>
      </c>
      <c r="F30" s="56">
        <f>'High Eff Ref Freeze'!H17</f>
        <v>0</v>
      </c>
      <c r="G30" s="57">
        <f t="shared" si="37"/>
        <v>0</v>
      </c>
      <c r="H30" s="58">
        <f t="shared" si="26"/>
        <v>0</v>
      </c>
      <c r="I30" s="339">
        <f t="shared" si="38"/>
        <v>0</v>
      </c>
      <c r="J30" s="339">
        <f t="shared" si="27"/>
        <v>0</v>
      </c>
      <c r="K30" s="371">
        <f t="shared" si="28"/>
        <v>0</v>
      </c>
      <c r="L30" s="54">
        <f t="shared" si="39"/>
        <v>0.44500000000000001</v>
      </c>
      <c r="M30" s="55">
        <f t="shared" si="40"/>
        <v>1.1200000000000001</v>
      </c>
      <c r="N30" s="55">
        <f t="shared" si="41"/>
        <v>0.34</v>
      </c>
      <c r="O30" s="55">
        <f t="shared" si="42"/>
        <v>-1.111</v>
      </c>
      <c r="P30" s="55">
        <f t="shared" si="43"/>
        <v>2.36</v>
      </c>
      <c r="Q30" s="55">
        <f t="shared" si="44"/>
        <v>2.36</v>
      </c>
      <c r="R30" s="55">
        <f t="shared" si="45"/>
        <v>2.36</v>
      </c>
      <c r="S30" s="341">
        <f t="shared" si="46"/>
        <v>2.36</v>
      </c>
      <c r="T30" s="54">
        <f t="shared" si="30"/>
        <v>0.44500000000000001</v>
      </c>
      <c r="U30" s="55">
        <f t="shared" si="31"/>
        <v>1.1200000000000001</v>
      </c>
      <c r="V30" s="55">
        <f t="shared" si="32"/>
        <v>0.34</v>
      </c>
      <c r="W30" s="56">
        <f t="shared" si="33"/>
        <v>-1.111</v>
      </c>
      <c r="X30" s="364">
        <f t="shared" si="34"/>
        <v>0.28000000000000003</v>
      </c>
      <c r="Y30" s="365">
        <f t="shared" si="35"/>
        <v>0.55000000000000004</v>
      </c>
      <c r="Z30" s="365">
        <f t="shared" si="47"/>
        <v>0.28000000000000003</v>
      </c>
      <c r="AA30" s="371">
        <f t="shared" si="36"/>
        <v>0</v>
      </c>
      <c r="AU30" s="92" t="s">
        <v>400</v>
      </c>
      <c r="AV30" s="92" t="s">
        <v>497</v>
      </c>
      <c r="AW30" s="93" t="s">
        <v>498</v>
      </c>
      <c r="AX30" s="92" t="s">
        <v>499</v>
      </c>
      <c r="AY30" s="92" t="s">
        <v>498</v>
      </c>
    </row>
    <row r="31" spans="2:51" ht="15.75" thickBot="1" x14ac:dyDescent="0.3">
      <c r="AR31" s="94" t="s">
        <v>400</v>
      </c>
      <c r="AS31" s="94" t="s">
        <v>497</v>
      </c>
      <c r="AT31" s="95" t="s">
        <v>500</v>
      </c>
      <c r="AU31" s="94" t="s">
        <v>501</v>
      </c>
      <c r="AV31" s="94" t="s">
        <v>500</v>
      </c>
    </row>
    <row r="32" spans="2:51" ht="18.75" thickBot="1" x14ac:dyDescent="0.3">
      <c r="B32" s="99" t="s">
        <v>502</v>
      </c>
      <c r="C32" s="99" t="s">
        <v>503</v>
      </c>
      <c r="D32" s="48" t="s">
        <v>504</v>
      </c>
      <c r="F32" s="48" t="s">
        <v>505</v>
      </c>
      <c r="AO32" s="94" t="s">
        <v>400</v>
      </c>
      <c r="AP32" s="94" t="s">
        <v>497</v>
      </c>
      <c r="AQ32" s="95" t="s">
        <v>506</v>
      </c>
      <c r="AR32" s="94" t="s">
        <v>507</v>
      </c>
      <c r="AS32" s="94" t="s">
        <v>506</v>
      </c>
    </row>
    <row r="33" spans="2:45" ht="15" x14ac:dyDescent="0.25">
      <c r="B33" s="105" t="s">
        <v>508</v>
      </c>
      <c r="C33" s="105" t="s">
        <v>508</v>
      </c>
      <c r="D33" s="74" t="s">
        <v>509</v>
      </c>
      <c r="F33" s="38" t="s">
        <v>510</v>
      </c>
      <c r="AO33" s="94" t="s">
        <v>400</v>
      </c>
      <c r="AP33" s="94" t="s">
        <v>497</v>
      </c>
      <c r="AQ33" s="95" t="s">
        <v>511</v>
      </c>
      <c r="AR33" s="94" t="s">
        <v>512</v>
      </c>
      <c r="AS33" s="94" t="s">
        <v>511</v>
      </c>
    </row>
    <row r="34" spans="2:45" ht="15.75" thickBot="1" x14ac:dyDescent="0.3">
      <c r="B34" s="39" t="s">
        <v>513</v>
      </c>
      <c r="C34" s="39" t="s">
        <v>463</v>
      </c>
      <c r="D34" s="39" t="s">
        <v>514</v>
      </c>
      <c r="F34" s="40" t="s">
        <v>515</v>
      </c>
      <c r="AO34" s="94" t="s">
        <v>400</v>
      </c>
      <c r="AP34" s="94" t="s">
        <v>497</v>
      </c>
      <c r="AQ34" s="95" t="s">
        <v>516</v>
      </c>
      <c r="AR34" s="94" t="s">
        <v>517</v>
      </c>
      <c r="AS34" s="94" t="s">
        <v>516</v>
      </c>
    </row>
    <row r="35" spans="2:45" ht="15" x14ac:dyDescent="0.25">
      <c r="B35" s="39" t="s">
        <v>463</v>
      </c>
      <c r="D35" s="39" t="s">
        <v>518</v>
      </c>
      <c r="AO35" s="94" t="s">
        <v>400</v>
      </c>
      <c r="AP35" s="94" t="s">
        <v>497</v>
      </c>
      <c r="AQ35" s="95" t="s">
        <v>519</v>
      </c>
      <c r="AR35" s="94" t="s">
        <v>520</v>
      </c>
      <c r="AS35" s="94" t="s">
        <v>519</v>
      </c>
    </row>
    <row r="36" spans="2:45" ht="15.75" thickBot="1" x14ac:dyDescent="0.3">
      <c r="B36" s="40" t="s">
        <v>521</v>
      </c>
      <c r="D36" s="40" t="s">
        <v>522</v>
      </c>
      <c r="AO36" s="94" t="s">
        <v>400</v>
      </c>
      <c r="AP36" s="94" t="s">
        <v>523</v>
      </c>
      <c r="AQ36" s="95" t="s">
        <v>524</v>
      </c>
      <c r="AR36" s="94" t="s">
        <v>525</v>
      </c>
      <c r="AS36" s="94" t="s">
        <v>524</v>
      </c>
    </row>
    <row r="37" spans="2:45" ht="15.75" thickBot="1" x14ac:dyDescent="0.3">
      <c r="AO37" s="94" t="s">
        <v>400</v>
      </c>
      <c r="AP37" s="94" t="s">
        <v>523</v>
      </c>
      <c r="AQ37" s="95" t="s">
        <v>526</v>
      </c>
      <c r="AR37" s="94" t="s">
        <v>527</v>
      </c>
      <c r="AS37" s="94" t="s">
        <v>526</v>
      </c>
    </row>
    <row r="38" spans="2:45" ht="18.75" thickBot="1" x14ac:dyDescent="0.3">
      <c r="B38" s="863" t="s">
        <v>528</v>
      </c>
      <c r="C38" s="867"/>
      <c r="D38" s="864"/>
      <c r="F38" s="860" t="s">
        <v>529</v>
      </c>
      <c r="G38" s="861"/>
      <c r="H38" s="862"/>
      <c r="J38" s="860" t="s">
        <v>530</v>
      </c>
      <c r="K38" s="861"/>
      <c r="L38" s="862"/>
      <c r="N38" s="860" t="s">
        <v>531</v>
      </c>
      <c r="O38" s="861"/>
      <c r="P38" s="862"/>
      <c r="R38" s="863" t="s">
        <v>532</v>
      </c>
      <c r="S38" s="867"/>
      <c r="T38" s="864"/>
      <c r="V38" s="473" t="s">
        <v>532</v>
      </c>
      <c r="W38" s="474"/>
      <c r="X38" s="7"/>
      <c r="AO38" s="94" t="s">
        <v>400</v>
      </c>
      <c r="AP38" s="94" t="s">
        <v>533</v>
      </c>
      <c r="AQ38" s="95" t="s">
        <v>534</v>
      </c>
      <c r="AR38" s="94" t="s">
        <v>535</v>
      </c>
      <c r="AS38" s="94" t="s">
        <v>534</v>
      </c>
    </row>
    <row r="39" spans="2:45" ht="15" x14ac:dyDescent="0.25">
      <c r="B39" s="108"/>
      <c r="C39" s="109"/>
      <c r="D39" s="110"/>
      <c r="F39" s="46" t="s">
        <v>536</v>
      </c>
      <c r="G39" s="37" t="s">
        <v>513</v>
      </c>
      <c r="H39" s="47" t="s">
        <v>508</v>
      </c>
      <c r="J39" s="46" t="s">
        <v>536</v>
      </c>
      <c r="K39" s="37" t="s">
        <v>513</v>
      </c>
      <c r="L39" s="47" t="s">
        <v>508</v>
      </c>
      <c r="N39" s="46" t="s">
        <v>536</v>
      </c>
      <c r="O39" s="37" t="s">
        <v>513</v>
      </c>
      <c r="P39" s="47" t="s">
        <v>508</v>
      </c>
      <c r="R39" s="108" t="s">
        <v>537</v>
      </c>
      <c r="S39" s="109" t="s">
        <v>538</v>
      </c>
      <c r="T39" s="407" t="s">
        <v>539</v>
      </c>
      <c r="V39" s="475" t="s">
        <v>540</v>
      </c>
      <c r="W39" s="407" t="s">
        <v>541</v>
      </c>
      <c r="X39" s="430"/>
      <c r="AO39" s="94" t="s">
        <v>400</v>
      </c>
      <c r="AP39" s="94" t="s">
        <v>533</v>
      </c>
      <c r="AQ39" s="95" t="s">
        <v>542</v>
      </c>
      <c r="AR39" s="94" t="s">
        <v>543</v>
      </c>
      <c r="AS39" s="94" t="s">
        <v>542</v>
      </c>
    </row>
    <row r="40" spans="2:45" ht="15" x14ac:dyDescent="0.25">
      <c r="B40" s="41" t="s">
        <v>544</v>
      </c>
      <c r="C40" s="36">
        <v>1.76</v>
      </c>
      <c r="D40" s="42"/>
      <c r="F40" s="41" t="s">
        <v>509</v>
      </c>
      <c r="G40" s="36">
        <v>110</v>
      </c>
      <c r="H40" s="42">
        <v>483</v>
      </c>
      <c r="J40" s="41" t="s">
        <v>509</v>
      </c>
      <c r="K40" s="36">
        <v>84</v>
      </c>
      <c r="L40" s="42">
        <v>377</v>
      </c>
      <c r="N40" s="41" t="s">
        <v>509</v>
      </c>
      <c r="O40" s="36">
        <v>100</v>
      </c>
      <c r="P40" s="42">
        <v>452</v>
      </c>
      <c r="R40" s="41" t="s">
        <v>545</v>
      </c>
      <c r="S40" s="111">
        <v>0.63600000000000001</v>
      </c>
      <c r="T40" s="408">
        <v>8.7000000000000001E-5</v>
      </c>
      <c r="V40" s="476" t="s">
        <v>508</v>
      </c>
      <c r="W40" s="477">
        <v>2.0880000000000001</v>
      </c>
      <c r="X40" s="430"/>
      <c r="AO40" s="94" t="s">
        <v>400</v>
      </c>
      <c r="AP40" s="94" t="s">
        <v>533</v>
      </c>
      <c r="AQ40" s="95" t="s">
        <v>546</v>
      </c>
      <c r="AR40" s="94" t="s">
        <v>547</v>
      </c>
      <c r="AS40" s="94" t="s">
        <v>546</v>
      </c>
    </row>
    <row r="41" spans="2:45" ht="15.75" thickBot="1" x14ac:dyDescent="0.3">
      <c r="B41" s="41" t="s">
        <v>548</v>
      </c>
      <c r="C41" s="36">
        <v>1.38</v>
      </c>
      <c r="D41" s="42"/>
      <c r="F41" s="41" t="s">
        <v>514</v>
      </c>
      <c r="G41" s="36">
        <v>239</v>
      </c>
      <c r="H41" s="42">
        <v>841</v>
      </c>
      <c r="J41" s="41" t="s">
        <v>514</v>
      </c>
      <c r="K41" s="36">
        <v>189</v>
      </c>
      <c r="L41" s="42">
        <v>661</v>
      </c>
      <c r="N41" s="41" t="s">
        <v>514</v>
      </c>
      <c r="O41" s="36">
        <v>226</v>
      </c>
      <c r="P41" s="42">
        <v>790</v>
      </c>
      <c r="R41" s="41" t="s">
        <v>549</v>
      </c>
      <c r="S41" s="111">
        <v>0.69199999999999995</v>
      </c>
      <c r="T41" s="408">
        <v>1.02E-4</v>
      </c>
      <c r="V41" s="401" t="s">
        <v>463</v>
      </c>
      <c r="W41" s="478">
        <v>0.75800000000000001</v>
      </c>
      <c r="X41" s="430"/>
      <c r="AO41" s="94" t="s">
        <v>400</v>
      </c>
      <c r="AP41" s="94" t="s">
        <v>533</v>
      </c>
      <c r="AQ41" s="95" t="s">
        <v>550</v>
      </c>
      <c r="AR41" s="94" t="s">
        <v>551</v>
      </c>
      <c r="AS41" s="94" t="s">
        <v>550</v>
      </c>
    </row>
    <row r="42" spans="2:45" ht="15.75" thickBot="1" x14ac:dyDescent="0.3">
      <c r="B42" s="41" t="s">
        <v>552</v>
      </c>
      <c r="C42" s="36">
        <v>1.38</v>
      </c>
      <c r="D42" s="42"/>
      <c r="F42" s="41" t="s">
        <v>553</v>
      </c>
      <c r="G42" s="36">
        <v>454</v>
      </c>
      <c r="H42" s="42">
        <v>1146</v>
      </c>
      <c r="J42" s="41" t="s">
        <v>553</v>
      </c>
      <c r="K42" s="36">
        <v>356</v>
      </c>
      <c r="L42" s="42">
        <v>902</v>
      </c>
      <c r="N42" s="41" t="s">
        <v>553</v>
      </c>
      <c r="O42" s="36">
        <v>427</v>
      </c>
      <c r="P42" s="42">
        <v>1079</v>
      </c>
      <c r="R42" s="43" t="s">
        <v>424</v>
      </c>
      <c r="S42" s="112">
        <v>0.66500000000000004</v>
      </c>
      <c r="T42" s="402">
        <v>9.3999999999999994E-5</v>
      </c>
      <c r="W42" s="431"/>
      <c r="X42" s="430"/>
      <c r="AO42" s="90" t="s">
        <v>400</v>
      </c>
      <c r="AP42" s="90" t="s">
        <v>533</v>
      </c>
      <c r="AQ42" s="728" t="s">
        <v>554</v>
      </c>
      <c r="AR42" s="729"/>
      <c r="AS42" s="729" t="s">
        <v>554</v>
      </c>
    </row>
    <row r="43" spans="2:45" ht="15.75" thickBot="1" x14ac:dyDescent="0.3">
      <c r="B43" s="43" t="s">
        <v>555</v>
      </c>
      <c r="C43" s="44">
        <v>1.19</v>
      </c>
      <c r="D43" s="45"/>
      <c r="F43" s="43" t="s">
        <v>556</v>
      </c>
      <c r="G43" s="44">
        <v>0</v>
      </c>
      <c r="H43" s="45">
        <v>0</v>
      </c>
      <c r="J43" s="43" t="s">
        <v>556</v>
      </c>
      <c r="K43" s="44">
        <v>472</v>
      </c>
      <c r="L43" s="45">
        <v>1216</v>
      </c>
      <c r="N43" s="43" t="s">
        <v>556</v>
      </c>
      <c r="O43" s="44">
        <v>565</v>
      </c>
      <c r="P43" s="45">
        <v>1455</v>
      </c>
      <c r="AO43" s="90" t="s">
        <v>400</v>
      </c>
      <c r="AP43" s="90" t="s">
        <v>533</v>
      </c>
      <c r="AQ43" s="96" t="s">
        <v>557</v>
      </c>
      <c r="AR43" s="97"/>
      <c r="AS43" s="97" t="s">
        <v>557</v>
      </c>
    </row>
    <row r="44" spans="2:45" ht="15.75" thickBot="1" x14ac:dyDescent="0.3">
      <c r="AO44" s="90" t="s">
        <v>400</v>
      </c>
      <c r="AP44" s="90" t="s">
        <v>533</v>
      </c>
      <c r="AQ44" s="309" t="s">
        <v>558</v>
      </c>
      <c r="AR44" s="97"/>
      <c r="AS44" s="97" t="s">
        <v>558</v>
      </c>
    </row>
    <row r="45" spans="2:45" ht="18.75" thickBot="1" x14ac:dyDescent="0.3">
      <c r="B45" s="860" t="s">
        <v>559</v>
      </c>
      <c r="C45" s="861"/>
      <c r="D45" s="862"/>
      <c r="F45" s="860" t="s">
        <v>560</v>
      </c>
      <c r="G45" s="861"/>
      <c r="H45" s="862"/>
      <c r="J45" s="860" t="s">
        <v>561</v>
      </c>
      <c r="K45" s="861"/>
      <c r="L45" s="862"/>
      <c r="N45" s="860" t="s">
        <v>562</v>
      </c>
      <c r="O45" s="861"/>
      <c r="P45" s="862"/>
      <c r="AO45" s="90" t="s">
        <v>400</v>
      </c>
      <c r="AP45" s="90" t="s">
        <v>533</v>
      </c>
      <c r="AQ45" s="96" t="s">
        <v>563</v>
      </c>
      <c r="AR45" s="97"/>
      <c r="AS45" s="97" t="s">
        <v>563</v>
      </c>
    </row>
    <row r="46" spans="2:45" ht="15" x14ac:dyDescent="0.25">
      <c r="B46" s="46" t="s">
        <v>536</v>
      </c>
      <c r="C46" s="37" t="s">
        <v>513</v>
      </c>
      <c r="D46" s="47" t="s">
        <v>508</v>
      </c>
      <c r="F46" s="46" t="s">
        <v>536</v>
      </c>
      <c r="G46" s="37" t="s">
        <v>513</v>
      </c>
      <c r="H46" s="47" t="s">
        <v>508</v>
      </c>
      <c r="J46" s="46" t="s">
        <v>536</v>
      </c>
      <c r="K46" s="37" t="s">
        <v>513</v>
      </c>
      <c r="L46" s="47" t="s">
        <v>508</v>
      </c>
      <c r="N46" s="46" t="s">
        <v>536</v>
      </c>
      <c r="O46" s="37" t="s">
        <v>513</v>
      </c>
      <c r="P46" s="47" t="s">
        <v>508</v>
      </c>
      <c r="AO46" s="90" t="s">
        <v>400</v>
      </c>
      <c r="AP46" s="90" t="s">
        <v>533</v>
      </c>
      <c r="AQ46" s="91" t="s">
        <v>564</v>
      </c>
      <c r="AR46" s="90"/>
      <c r="AS46" s="90" t="s">
        <v>564</v>
      </c>
    </row>
    <row r="47" spans="2:45" ht="15" x14ac:dyDescent="0.25">
      <c r="B47" s="41" t="s">
        <v>509</v>
      </c>
      <c r="C47" s="36">
        <v>1.0500000000000001E-2</v>
      </c>
      <c r="D47" s="42">
        <v>4.6100000000000002E-2</v>
      </c>
      <c r="F47" s="41" t="s">
        <v>509</v>
      </c>
      <c r="G47" s="36">
        <v>1.26E-2</v>
      </c>
      <c r="H47" s="42">
        <v>5.5100000000000003E-2</v>
      </c>
      <c r="J47" s="41" t="s">
        <v>509</v>
      </c>
      <c r="K47" s="36">
        <v>1.01E-2</v>
      </c>
      <c r="L47" s="42">
        <v>4.5600000000000002E-2</v>
      </c>
      <c r="N47" s="41" t="s">
        <v>509</v>
      </c>
      <c r="O47" s="36">
        <v>1.21E-2</v>
      </c>
      <c r="P47" s="42">
        <v>5.4600000000000003E-2</v>
      </c>
      <c r="AO47" s="90" t="s">
        <v>400</v>
      </c>
      <c r="AP47" s="90" t="s">
        <v>533</v>
      </c>
      <c r="AQ47" s="91" t="s">
        <v>565</v>
      </c>
      <c r="AR47" s="90"/>
      <c r="AS47" s="90" t="s">
        <v>565</v>
      </c>
    </row>
    <row r="48" spans="2:45" ht="15" x14ac:dyDescent="0.25">
      <c r="B48" s="41" t="s">
        <v>514</v>
      </c>
      <c r="C48" s="36">
        <v>2.2800000000000001E-2</v>
      </c>
      <c r="D48" s="42">
        <v>8.0199999999999994E-2</v>
      </c>
      <c r="F48" s="41" t="s">
        <v>514</v>
      </c>
      <c r="G48" s="36">
        <v>2.7300000000000001E-2</v>
      </c>
      <c r="H48" s="42">
        <v>9.6000000000000002E-2</v>
      </c>
      <c r="J48" s="41" t="s">
        <v>514</v>
      </c>
      <c r="K48" s="36">
        <v>2.2800000000000001E-2</v>
      </c>
      <c r="L48" s="42">
        <v>7.9799999999999996E-2</v>
      </c>
      <c r="N48" s="41" t="s">
        <v>514</v>
      </c>
      <c r="O48" s="36">
        <v>2.7300000000000001E-2</v>
      </c>
      <c r="P48" s="42">
        <v>9.5500000000000002E-2</v>
      </c>
      <c r="AO48" s="90" t="s">
        <v>400</v>
      </c>
      <c r="AP48" s="90" t="s">
        <v>533</v>
      </c>
      <c r="AQ48" s="91" t="s">
        <v>566</v>
      </c>
      <c r="AR48" s="90"/>
      <c r="AS48" s="90" t="s">
        <v>566</v>
      </c>
    </row>
    <row r="49" spans="2:45" ht="15" x14ac:dyDescent="0.25">
      <c r="B49" s="41" t="s">
        <v>553</v>
      </c>
      <c r="C49" s="36">
        <v>4.3299999999999998E-2</v>
      </c>
      <c r="D49" s="42">
        <v>0.10929999999999999</v>
      </c>
      <c r="F49" s="41" t="s">
        <v>553</v>
      </c>
      <c r="G49" s="36">
        <v>5.1799999999999999E-2</v>
      </c>
      <c r="H49" s="42">
        <v>0.1308</v>
      </c>
      <c r="J49" s="41" t="s">
        <v>553</v>
      </c>
      <c r="K49" s="36">
        <v>4.3099999999999999E-2</v>
      </c>
      <c r="L49" s="42">
        <v>0.109</v>
      </c>
      <c r="N49" s="41" t="s">
        <v>553</v>
      </c>
      <c r="O49" s="36">
        <v>5.16E-2</v>
      </c>
      <c r="P49" s="42">
        <v>0.13039999999999999</v>
      </c>
      <c r="AO49" s="90" t="s">
        <v>400</v>
      </c>
      <c r="AP49" s="90" t="s">
        <v>533</v>
      </c>
      <c r="AQ49" s="91" t="s">
        <v>567</v>
      </c>
      <c r="AR49" s="90"/>
      <c r="AS49" s="90" t="s">
        <v>567</v>
      </c>
    </row>
    <row r="50" spans="2:45" ht="15.75" thickBot="1" x14ac:dyDescent="0.3">
      <c r="B50" s="43" t="s">
        <v>556</v>
      </c>
      <c r="C50" s="44">
        <v>0</v>
      </c>
      <c r="D50" s="45">
        <v>0</v>
      </c>
      <c r="F50" s="43" t="s">
        <v>556</v>
      </c>
      <c r="G50" s="44">
        <v>0</v>
      </c>
      <c r="H50" s="45">
        <v>0</v>
      </c>
      <c r="J50" s="43" t="s">
        <v>556</v>
      </c>
      <c r="K50" s="44">
        <v>5.7000000000000002E-2</v>
      </c>
      <c r="L50" s="45">
        <v>0.14699999999999999</v>
      </c>
      <c r="N50" s="43" t="s">
        <v>556</v>
      </c>
      <c r="O50" s="44">
        <v>6.8199999999999997E-2</v>
      </c>
      <c r="P50" s="45">
        <v>0.1759</v>
      </c>
      <c r="AO50" s="90" t="s">
        <v>400</v>
      </c>
      <c r="AP50" s="90" t="s">
        <v>533</v>
      </c>
      <c r="AQ50" s="91" t="s">
        <v>568</v>
      </c>
      <c r="AR50" s="90"/>
      <c r="AS50" s="90" t="s">
        <v>568</v>
      </c>
    </row>
    <row r="51" spans="2:45" ht="15.75" thickBot="1" x14ac:dyDescent="0.3">
      <c r="AO51" s="90" t="s">
        <v>400</v>
      </c>
      <c r="AP51" s="90" t="s">
        <v>533</v>
      </c>
      <c r="AQ51" s="91" t="s">
        <v>569</v>
      </c>
      <c r="AR51" s="90"/>
      <c r="AS51" s="90" t="s">
        <v>569</v>
      </c>
    </row>
    <row r="52" spans="2:45" ht="18.75" thickBot="1" x14ac:dyDescent="0.3">
      <c r="B52" s="863" t="s">
        <v>570</v>
      </c>
      <c r="C52" s="864"/>
      <c r="E52" s="48" t="s">
        <v>571</v>
      </c>
      <c r="G52" s="99" t="s">
        <v>572</v>
      </c>
      <c r="I52" s="863" t="s">
        <v>573</v>
      </c>
      <c r="J52" s="864"/>
      <c r="AO52" s="94" t="s">
        <v>400</v>
      </c>
      <c r="AP52" s="94" t="s">
        <v>26</v>
      </c>
      <c r="AQ52" s="95" t="s">
        <v>574</v>
      </c>
      <c r="AR52" s="94" t="s">
        <v>26</v>
      </c>
      <c r="AS52" s="94" t="s">
        <v>574</v>
      </c>
    </row>
    <row r="53" spans="2:45" ht="15" x14ac:dyDescent="0.25">
      <c r="B53" s="108" t="s">
        <v>575</v>
      </c>
      <c r="C53" s="110" t="s">
        <v>296</v>
      </c>
      <c r="E53" s="38" t="s">
        <v>19</v>
      </c>
      <c r="G53" s="100" t="s">
        <v>576</v>
      </c>
      <c r="I53" s="108" t="s">
        <v>577</v>
      </c>
      <c r="J53" s="110">
        <v>2</v>
      </c>
      <c r="AO53" s="94" t="s">
        <v>400</v>
      </c>
      <c r="AP53" s="94" t="s">
        <v>578</v>
      </c>
      <c r="AQ53" s="95" t="s">
        <v>579</v>
      </c>
      <c r="AR53" s="94" t="s">
        <v>578</v>
      </c>
      <c r="AS53" s="94" t="s">
        <v>579</v>
      </c>
    </row>
    <row r="54" spans="2:45" ht="15" x14ac:dyDescent="0.25">
      <c r="B54" s="41" t="s">
        <v>577</v>
      </c>
      <c r="C54" s="408">
        <v>2.6</v>
      </c>
      <c r="E54" s="568" t="s">
        <v>21</v>
      </c>
      <c r="G54" s="101" t="s">
        <v>580</v>
      </c>
      <c r="I54" s="41" t="s">
        <v>581</v>
      </c>
      <c r="J54" s="42">
        <v>3</v>
      </c>
      <c r="AO54" s="94" t="s">
        <v>400</v>
      </c>
      <c r="AP54" s="94" t="s">
        <v>582</v>
      </c>
      <c r="AQ54" s="95" t="s">
        <v>583</v>
      </c>
      <c r="AR54" s="94" t="s">
        <v>582</v>
      </c>
      <c r="AS54" s="94" t="s">
        <v>583</v>
      </c>
    </row>
    <row r="55" spans="2:45" ht="15" x14ac:dyDescent="0.25">
      <c r="B55" s="41" t="s">
        <v>581</v>
      </c>
      <c r="C55" s="408">
        <v>1.4</v>
      </c>
      <c r="E55" s="39" t="s">
        <v>11</v>
      </c>
      <c r="G55" s="101" t="s">
        <v>584</v>
      </c>
      <c r="I55" s="41" t="s">
        <v>585</v>
      </c>
      <c r="J55" s="42">
        <v>4</v>
      </c>
      <c r="AO55" s="94" t="s">
        <v>400</v>
      </c>
      <c r="AP55" s="94" t="s">
        <v>222</v>
      </c>
      <c r="AQ55" s="95" t="s">
        <v>586</v>
      </c>
      <c r="AR55" s="94" t="s">
        <v>587</v>
      </c>
      <c r="AS55" s="94" t="s">
        <v>586</v>
      </c>
    </row>
    <row r="56" spans="2:45" ht="15" x14ac:dyDescent="0.25">
      <c r="B56" s="41" t="s">
        <v>585</v>
      </c>
      <c r="C56" s="408">
        <v>2.5</v>
      </c>
      <c r="E56" s="39" t="s">
        <v>9</v>
      </c>
      <c r="G56" s="101" t="s">
        <v>588</v>
      </c>
      <c r="I56" s="41" t="s">
        <v>589</v>
      </c>
      <c r="J56" s="42">
        <v>5</v>
      </c>
      <c r="AO56" s="94" t="s">
        <v>400</v>
      </c>
      <c r="AP56" s="94" t="s">
        <v>222</v>
      </c>
      <c r="AQ56" s="95" t="s">
        <v>590</v>
      </c>
      <c r="AR56" s="94" t="s">
        <v>591</v>
      </c>
      <c r="AS56" s="94" t="s">
        <v>590</v>
      </c>
    </row>
    <row r="57" spans="2:45" ht="15" x14ac:dyDescent="0.25">
      <c r="B57" s="41" t="s">
        <v>589</v>
      </c>
      <c r="C57" s="408">
        <v>1.4</v>
      </c>
      <c r="E57" s="39" t="s">
        <v>7</v>
      </c>
      <c r="G57" s="101" t="s">
        <v>592</v>
      </c>
      <c r="I57" s="476" t="s">
        <v>593</v>
      </c>
      <c r="J57" s="408">
        <v>6</v>
      </c>
      <c r="AO57" s="94" t="s">
        <v>400</v>
      </c>
      <c r="AP57" s="94" t="s">
        <v>594</v>
      </c>
      <c r="AQ57" s="95" t="s">
        <v>595</v>
      </c>
      <c r="AR57" s="94" t="s">
        <v>596</v>
      </c>
      <c r="AS57" s="94" t="s">
        <v>595</v>
      </c>
    </row>
    <row r="58" spans="2:45" ht="15.75" thickBot="1" x14ac:dyDescent="0.3">
      <c r="B58" s="476" t="s">
        <v>593</v>
      </c>
      <c r="C58" s="408" t="s">
        <v>597</v>
      </c>
      <c r="E58" s="39" t="s">
        <v>17</v>
      </c>
      <c r="G58" s="101" t="s">
        <v>598</v>
      </c>
      <c r="I58" s="401" t="s">
        <v>599</v>
      </c>
      <c r="J58" s="402">
        <v>7</v>
      </c>
      <c r="AO58" s="94" t="s">
        <v>400</v>
      </c>
      <c r="AP58" s="94" t="s">
        <v>594</v>
      </c>
      <c r="AQ58" s="95" t="s">
        <v>600</v>
      </c>
      <c r="AR58" s="94" t="s">
        <v>601</v>
      </c>
      <c r="AS58" s="94" t="s">
        <v>600</v>
      </c>
    </row>
    <row r="59" spans="2:45" ht="15.75" thickBot="1" x14ac:dyDescent="0.3">
      <c r="B59" s="401" t="s">
        <v>599</v>
      </c>
      <c r="C59" s="402" t="s">
        <v>597</v>
      </c>
      <c r="E59" s="39" t="s">
        <v>5</v>
      </c>
      <c r="G59" s="101" t="s">
        <v>602</v>
      </c>
      <c r="AO59" s="94" t="s">
        <v>400</v>
      </c>
      <c r="AP59" s="94" t="s">
        <v>603</v>
      </c>
      <c r="AQ59" s="95" t="s">
        <v>604</v>
      </c>
      <c r="AR59" s="98" t="s">
        <v>605</v>
      </c>
      <c r="AS59" s="94" t="s">
        <v>604</v>
      </c>
    </row>
    <row r="60" spans="2:45" ht="15.75" thickBot="1" x14ac:dyDescent="0.3">
      <c r="E60" s="39" t="s">
        <v>15</v>
      </c>
      <c r="G60" s="101" t="s">
        <v>606</v>
      </c>
      <c r="AO60" s="90" t="s">
        <v>400</v>
      </c>
      <c r="AP60" s="90" t="s">
        <v>371</v>
      </c>
      <c r="AQ60" s="91"/>
      <c r="AR60" s="90" t="s">
        <v>371</v>
      </c>
      <c r="AS60" s="90"/>
    </row>
    <row r="61" spans="2:45" ht="18.75" thickBot="1" x14ac:dyDescent="0.3">
      <c r="B61" s="860" t="s">
        <v>607</v>
      </c>
      <c r="C61" s="862"/>
      <c r="E61" s="40" t="s">
        <v>13</v>
      </c>
      <c r="G61" s="101" t="s">
        <v>608</v>
      </c>
      <c r="AO61" s="90" t="s">
        <v>400</v>
      </c>
      <c r="AP61" s="90" t="s">
        <v>609</v>
      </c>
      <c r="AQ61" s="91"/>
      <c r="AR61" s="90" t="s">
        <v>609</v>
      </c>
      <c r="AS61" s="90"/>
    </row>
    <row r="62" spans="2:45" ht="15" x14ac:dyDescent="0.25">
      <c r="B62" s="46" t="s">
        <v>610</v>
      </c>
      <c r="C62" s="47" t="s">
        <v>611</v>
      </c>
      <c r="G62" s="101" t="s">
        <v>612</v>
      </c>
      <c r="AO62" s="94" t="s">
        <v>400</v>
      </c>
      <c r="AP62" s="94" t="s">
        <v>613</v>
      </c>
      <c r="AQ62" s="95" t="s">
        <v>614</v>
      </c>
      <c r="AR62" s="94" t="s">
        <v>224</v>
      </c>
      <c r="AS62" s="94" t="s">
        <v>614</v>
      </c>
    </row>
    <row r="63" spans="2:45" ht="15.75" thickBot="1" x14ac:dyDescent="0.3">
      <c r="B63" s="41" t="s">
        <v>615</v>
      </c>
      <c r="C63" s="42" t="s">
        <v>616</v>
      </c>
      <c r="G63" s="101" t="s">
        <v>617</v>
      </c>
      <c r="AO63" s="94" t="s">
        <v>400</v>
      </c>
      <c r="AP63" s="94" t="s">
        <v>618</v>
      </c>
      <c r="AQ63" s="95" t="s">
        <v>619</v>
      </c>
      <c r="AR63" s="98" t="s">
        <v>620</v>
      </c>
      <c r="AS63" s="94" t="s">
        <v>619</v>
      </c>
    </row>
    <row r="64" spans="2:45" ht="18.75" thickBot="1" x14ac:dyDescent="0.3">
      <c r="B64" s="41" t="s">
        <v>621</v>
      </c>
      <c r="C64" s="42" t="s">
        <v>622</v>
      </c>
      <c r="G64" s="101" t="s">
        <v>623</v>
      </c>
      <c r="I64" s="885" t="s">
        <v>624</v>
      </c>
      <c r="J64" s="886"/>
      <c r="K64" s="886"/>
      <c r="L64" s="886"/>
      <c r="M64" s="887"/>
      <c r="AO64" s="90" t="s">
        <v>400</v>
      </c>
      <c r="AP64" s="90" t="s">
        <v>618</v>
      </c>
      <c r="AQ64" s="91" t="s">
        <v>619</v>
      </c>
      <c r="AR64" s="90" t="s">
        <v>625</v>
      </c>
      <c r="AS64" s="90" t="s">
        <v>619</v>
      </c>
    </row>
    <row r="65" spans="2:45" ht="18.75" thickBot="1" x14ac:dyDescent="0.3">
      <c r="B65" s="41" t="s">
        <v>626</v>
      </c>
      <c r="C65" s="42" t="s">
        <v>627</v>
      </c>
      <c r="G65" s="101" t="s">
        <v>628</v>
      </c>
      <c r="I65" s="883" t="s">
        <v>297</v>
      </c>
      <c r="J65" s="119" t="s">
        <v>629</v>
      </c>
      <c r="K65" s="119" t="s">
        <v>630</v>
      </c>
      <c r="L65" s="119" t="s">
        <v>629</v>
      </c>
      <c r="M65" s="119" t="s">
        <v>630</v>
      </c>
      <c r="AO65" s="90" t="s">
        <v>400</v>
      </c>
      <c r="AP65" s="90" t="s">
        <v>618</v>
      </c>
      <c r="AQ65" s="91" t="s">
        <v>619</v>
      </c>
      <c r="AR65" s="90" t="s">
        <v>631</v>
      </c>
      <c r="AS65" s="90" t="s">
        <v>619</v>
      </c>
    </row>
    <row r="66" spans="2:45" ht="18.75" thickBot="1" x14ac:dyDescent="0.3">
      <c r="B66" s="43" t="s">
        <v>632</v>
      </c>
      <c r="C66" s="45" t="s">
        <v>633</v>
      </c>
      <c r="G66" s="102" t="s">
        <v>634</v>
      </c>
      <c r="I66" s="884"/>
      <c r="J66" s="99" t="s">
        <v>635</v>
      </c>
      <c r="K66" s="99" t="s">
        <v>635</v>
      </c>
      <c r="L66" s="99" t="s">
        <v>636</v>
      </c>
      <c r="M66" s="99" t="s">
        <v>636</v>
      </c>
      <c r="AO66" s="90" t="s">
        <v>400</v>
      </c>
      <c r="AP66" s="90" t="s">
        <v>618</v>
      </c>
      <c r="AQ66" s="91" t="s">
        <v>619</v>
      </c>
      <c r="AR66" s="90" t="s">
        <v>637</v>
      </c>
      <c r="AS66" s="90" t="s">
        <v>619</v>
      </c>
    </row>
    <row r="67" spans="2:45" ht="15.75" thickBot="1" x14ac:dyDescent="0.3">
      <c r="I67" s="117" t="s">
        <v>638</v>
      </c>
      <c r="J67" s="109">
        <v>3.2000000000000001E-2</v>
      </c>
      <c r="K67" s="109">
        <v>3.2000000000000001E-2</v>
      </c>
      <c r="L67" s="109">
        <v>248</v>
      </c>
      <c r="M67" s="110">
        <v>243</v>
      </c>
      <c r="AO67" s="90" t="s">
        <v>400</v>
      </c>
      <c r="AP67" s="90" t="s">
        <v>618</v>
      </c>
      <c r="AQ67" s="91" t="s">
        <v>619</v>
      </c>
      <c r="AR67" s="90" t="s">
        <v>639</v>
      </c>
      <c r="AS67" s="90" t="s">
        <v>619</v>
      </c>
    </row>
    <row r="68" spans="2:45" ht="18.75" thickBot="1" x14ac:dyDescent="0.3">
      <c r="B68" s="48" t="s">
        <v>640</v>
      </c>
      <c r="I68" s="118" t="s">
        <v>438</v>
      </c>
      <c r="J68" s="44">
        <v>2.7E-2</v>
      </c>
      <c r="K68" s="44">
        <v>4.4999999999999998E-2</v>
      </c>
      <c r="L68" s="44">
        <v>204</v>
      </c>
      <c r="M68" s="45">
        <v>347</v>
      </c>
      <c r="AO68" s="90" t="s">
        <v>400</v>
      </c>
      <c r="AP68" s="90" t="s">
        <v>618</v>
      </c>
      <c r="AQ68" s="91" t="s">
        <v>619</v>
      </c>
      <c r="AR68" s="90" t="s">
        <v>641</v>
      </c>
      <c r="AS68" s="90" t="s">
        <v>619</v>
      </c>
    </row>
    <row r="69" spans="2:45" ht="15" x14ac:dyDescent="0.25">
      <c r="B69" s="38" t="s">
        <v>642</v>
      </c>
      <c r="AO69" s="90" t="s">
        <v>400</v>
      </c>
      <c r="AP69" s="90" t="s">
        <v>618</v>
      </c>
      <c r="AQ69" s="91" t="s">
        <v>619</v>
      </c>
      <c r="AR69" s="90" t="s">
        <v>643</v>
      </c>
      <c r="AS69" s="90" t="s">
        <v>619</v>
      </c>
    </row>
    <row r="70" spans="2:45" ht="15.75" thickBot="1" x14ac:dyDescent="0.3">
      <c r="B70" s="40" t="s">
        <v>644</v>
      </c>
      <c r="AO70" s="90" t="s">
        <v>400</v>
      </c>
      <c r="AP70" s="90" t="s">
        <v>618</v>
      </c>
      <c r="AQ70" s="91" t="s">
        <v>619</v>
      </c>
      <c r="AR70" s="90" t="s">
        <v>645</v>
      </c>
      <c r="AS70" s="90" t="s">
        <v>619</v>
      </c>
    </row>
    <row r="71" spans="2:45" ht="15.75" thickBot="1" x14ac:dyDescent="0.3">
      <c r="AO71" s="94" t="s">
        <v>400</v>
      </c>
      <c r="AP71" s="94" t="s">
        <v>646</v>
      </c>
      <c r="AQ71" s="95" t="s">
        <v>647</v>
      </c>
      <c r="AR71" s="94" t="s">
        <v>648</v>
      </c>
      <c r="AS71" s="94" t="s">
        <v>647</v>
      </c>
    </row>
    <row r="72" spans="2:45" ht="18.75" thickBot="1" x14ac:dyDescent="0.3">
      <c r="B72" s="865" t="s">
        <v>649</v>
      </c>
      <c r="C72" s="866"/>
      <c r="D72" s="866"/>
      <c r="E72" s="866"/>
      <c r="F72" s="866"/>
      <c r="G72" s="866"/>
      <c r="H72" s="871"/>
      <c r="AO72" s="94" t="s">
        <v>400</v>
      </c>
      <c r="AP72" s="94" t="s">
        <v>646</v>
      </c>
      <c r="AQ72" s="95" t="s">
        <v>650</v>
      </c>
      <c r="AR72" s="94" t="s">
        <v>651</v>
      </c>
      <c r="AS72" s="94" t="s">
        <v>650</v>
      </c>
    </row>
    <row r="73" spans="2:45" ht="15.75" thickBot="1" x14ac:dyDescent="0.3">
      <c r="B73" s="562" t="s">
        <v>652</v>
      </c>
      <c r="C73" s="563" t="s">
        <v>577</v>
      </c>
      <c r="D73" s="563" t="s">
        <v>581</v>
      </c>
      <c r="E73" s="563" t="s">
        <v>585</v>
      </c>
      <c r="F73" s="563" t="s">
        <v>589</v>
      </c>
      <c r="G73" s="564" t="s">
        <v>653</v>
      </c>
      <c r="H73" s="565" t="s">
        <v>599</v>
      </c>
      <c r="AO73" s="90" t="s">
        <v>400</v>
      </c>
      <c r="AP73" s="90" t="s">
        <v>654</v>
      </c>
      <c r="AQ73" s="91"/>
      <c r="AR73" s="90" t="s">
        <v>605</v>
      </c>
      <c r="AS73" s="104" t="s">
        <v>655</v>
      </c>
    </row>
    <row r="74" spans="2:45" ht="15.75" thickBot="1" x14ac:dyDescent="0.3">
      <c r="B74" s="46" t="s">
        <v>19</v>
      </c>
      <c r="C74" s="489">
        <v>658</v>
      </c>
      <c r="D74" s="489">
        <v>788</v>
      </c>
      <c r="E74" s="489">
        <v>372</v>
      </c>
      <c r="F74" s="489">
        <v>465</v>
      </c>
      <c r="G74" s="489">
        <v>695</v>
      </c>
      <c r="H74" s="561">
        <v>398</v>
      </c>
      <c r="AO74" s="94" t="s">
        <v>400</v>
      </c>
      <c r="AP74" s="94" t="s">
        <v>656</v>
      </c>
      <c r="AQ74" s="95" t="s">
        <v>657</v>
      </c>
      <c r="AR74" s="94" t="s">
        <v>658</v>
      </c>
      <c r="AS74" s="94" t="s">
        <v>657</v>
      </c>
    </row>
    <row r="75" spans="2:45" ht="18.75" thickBot="1" x14ac:dyDescent="0.3">
      <c r="B75" s="41" t="s">
        <v>21</v>
      </c>
      <c r="C75" s="411">
        <v>738</v>
      </c>
      <c r="D75" s="411">
        <v>841</v>
      </c>
      <c r="E75" s="411">
        <v>409</v>
      </c>
      <c r="F75" s="411">
        <v>502</v>
      </c>
      <c r="G75" s="411">
        <v>767</v>
      </c>
      <c r="H75" s="408">
        <v>435</v>
      </c>
      <c r="J75" s="119" t="s">
        <v>659</v>
      </c>
      <c r="K75" s="607"/>
      <c r="L75" s="607"/>
      <c r="M75" s="607"/>
      <c r="N75" s="607"/>
      <c r="O75" s="607"/>
      <c r="P75" s="608"/>
      <c r="R75" s="103" t="s">
        <v>660</v>
      </c>
      <c r="S75" s="609"/>
      <c r="AO75" s="94" t="s">
        <v>400</v>
      </c>
      <c r="AP75" s="94" t="s">
        <v>656</v>
      </c>
      <c r="AQ75" s="95" t="s">
        <v>661</v>
      </c>
      <c r="AR75" s="94" t="s">
        <v>662</v>
      </c>
      <c r="AS75" s="94" t="s">
        <v>661</v>
      </c>
    </row>
    <row r="76" spans="2:45" ht="15" x14ac:dyDescent="0.25">
      <c r="B76" s="41" t="s">
        <v>11</v>
      </c>
      <c r="C76" s="411">
        <v>752</v>
      </c>
      <c r="D76" s="411">
        <v>851</v>
      </c>
      <c r="E76" s="411">
        <v>416</v>
      </c>
      <c r="F76" s="411">
        <v>508</v>
      </c>
      <c r="G76" s="411">
        <v>780</v>
      </c>
      <c r="H76" s="408">
        <v>442</v>
      </c>
      <c r="J76" s="108" t="s">
        <v>575</v>
      </c>
      <c r="K76" s="109" t="s">
        <v>467</v>
      </c>
      <c r="L76" s="109" t="s">
        <v>663</v>
      </c>
      <c r="M76" s="508" t="s">
        <v>664</v>
      </c>
      <c r="N76" s="508" t="s">
        <v>665</v>
      </c>
      <c r="O76" s="508" t="s">
        <v>666</v>
      </c>
      <c r="P76" s="514" t="s">
        <v>667</v>
      </c>
      <c r="R76" s="46" t="s">
        <v>405</v>
      </c>
      <c r="S76" s="47">
        <v>1.67</v>
      </c>
      <c r="AO76" s="94" t="s">
        <v>400</v>
      </c>
      <c r="AP76" s="94" t="s">
        <v>668</v>
      </c>
      <c r="AQ76" s="95" t="s">
        <v>669</v>
      </c>
      <c r="AR76" s="94" t="s">
        <v>670</v>
      </c>
      <c r="AS76" s="94" t="s">
        <v>669</v>
      </c>
    </row>
    <row r="77" spans="2:45" ht="15.75" thickBot="1" x14ac:dyDescent="0.3">
      <c r="B77" s="41" t="s">
        <v>9</v>
      </c>
      <c r="C77" s="411">
        <v>688</v>
      </c>
      <c r="D77" s="411">
        <v>809</v>
      </c>
      <c r="E77" s="411">
        <v>386</v>
      </c>
      <c r="F77" s="411">
        <v>479</v>
      </c>
      <c r="G77" s="411">
        <v>722</v>
      </c>
      <c r="H77" s="408">
        <v>412</v>
      </c>
      <c r="J77" s="41" t="s">
        <v>424</v>
      </c>
      <c r="K77" s="584">
        <v>776</v>
      </c>
      <c r="L77" s="584">
        <v>647</v>
      </c>
      <c r="M77" s="493">
        <v>2.6800000000000001E-2</v>
      </c>
      <c r="N77" s="494">
        <v>2.24E-2</v>
      </c>
      <c r="O77" s="494">
        <v>2.1299999999999999E-2</v>
      </c>
      <c r="P77" s="510">
        <v>1.78E-2</v>
      </c>
      <c r="R77" s="43" t="s">
        <v>400</v>
      </c>
      <c r="S77" s="45">
        <v>1.3</v>
      </c>
      <c r="AO77" s="94" t="s">
        <v>400</v>
      </c>
      <c r="AP77" s="94" t="s">
        <v>671</v>
      </c>
      <c r="AQ77" s="95" t="s">
        <v>672</v>
      </c>
      <c r="AR77" s="94" t="s">
        <v>673</v>
      </c>
      <c r="AS77" s="94" t="s">
        <v>672</v>
      </c>
    </row>
    <row r="78" spans="2:45" ht="15" x14ac:dyDescent="0.25">
      <c r="B78" s="41" t="s">
        <v>7</v>
      </c>
      <c r="C78" s="411">
        <v>635</v>
      </c>
      <c r="D78" s="411">
        <v>773</v>
      </c>
      <c r="E78" s="411">
        <v>361</v>
      </c>
      <c r="F78" s="411">
        <v>454</v>
      </c>
      <c r="G78" s="411">
        <v>673</v>
      </c>
      <c r="H78" s="408">
        <v>387</v>
      </c>
      <c r="J78" s="41" t="s">
        <v>545</v>
      </c>
      <c r="K78" s="584">
        <v>547</v>
      </c>
      <c r="L78" s="584">
        <v>456</v>
      </c>
      <c r="M78" s="494">
        <v>1.89E-2</v>
      </c>
      <c r="N78" s="494">
        <v>1.5800000000000002E-2</v>
      </c>
      <c r="O78" s="586">
        <v>1.4999999999999999E-2</v>
      </c>
      <c r="P78" s="510">
        <v>1.2500000000000001E-2</v>
      </c>
      <c r="AO78" s="94" t="s">
        <v>400</v>
      </c>
      <c r="AP78" s="94" t="s">
        <v>674</v>
      </c>
      <c r="AQ78" s="95" t="s">
        <v>675</v>
      </c>
      <c r="AR78" s="94" t="s">
        <v>674</v>
      </c>
      <c r="AS78" s="94" t="s">
        <v>675</v>
      </c>
    </row>
    <row r="79" spans="2:45" ht="15" thickBot="1" x14ac:dyDescent="0.25">
      <c r="B79" s="41" t="s">
        <v>17</v>
      </c>
      <c r="C79" s="411">
        <v>610</v>
      </c>
      <c r="D79" s="411">
        <v>756</v>
      </c>
      <c r="E79" s="411">
        <v>349</v>
      </c>
      <c r="F79" s="411">
        <v>443</v>
      </c>
      <c r="G79" s="411">
        <v>650</v>
      </c>
      <c r="H79" s="408">
        <v>375</v>
      </c>
      <c r="J79" s="43" t="s">
        <v>549</v>
      </c>
      <c r="K79" s="585">
        <v>824</v>
      </c>
      <c r="L79" s="585">
        <v>687</v>
      </c>
      <c r="M79" s="512">
        <v>2.8500000000000001E-2</v>
      </c>
      <c r="N79" s="512">
        <v>2.3800000000000002E-2</v>
      </c>
      <c r="O79" s="512">
        <v>2.2599999999999999E-2</v>
      </c>
      <c r="P79" s="513">
        <v>1.89E-2</v>
      </c>
    </row>
    <row r="80" spans="2:45" x14ac:dyDescent="0.2">
      <c r="B80" s="41" t="s">
        <v>5</v>
      </c>
      <c r="C80" s="411">
        <v>682</v>
      </c>
      <c r="D80" s="411">
        <v>804</v>
      </c>
      <c r="E80" s="411">
        <v>383</v>
      </c>
      <c r="F80" s="411">
        <v>476</v>
      </c>
      <c r="G80" s="411">
        <v>716</v>
      </c>
      <c r="H80" s="408">
        <v>409</v>
      </c>
      <c r="K80" s="495"/>
      <c r="L80" s="495"/>
      <c r="M80" s="495"/>
      <c r="N80" s="495"/>
    </row>
    <row r="81" spans="2:18" x14ac:dyDescent="0.2">
      <c r="B81" s="41" t="s">
        <v>15</v>
      </c>
      <c r="C81" s="411">
        <v>683</v>
      </c>
      <c r="D81" s="411">
        <v>805</v>
      </c>
      <c r="E81" s="411">
        <v>384</v>
      </c>
      <c r="F81" s="411">
        <v>477</v>
      </c>
      <c r="G81" s="411">
        <v>717</v>
      </c>
      <c r="H81" s="408">
        <v>410</v>
      </c>
      <c r="K81" s="495"/>
      <c r="L81" s="495"/>
      <c r="M81" s="495"/>
      <c r="N81" s="495"/>
    </row>
    <row r="82" spans="2:18" ht="15" thickBot="1" x14ac:dyDescent="0.25">
      <c r="B82" s="43" t="s">
        <v>13</v>
      </c>
      <c r="C82" s="412">
        <v>681</v>
      </c>
      <c r="D82" s="412">
        <v>803</v>
      </c>
      <c r="E82" s="412">
        <v>382</v>
      </c>
      <c r="F82" s="412">
        <v>476</v>
      </c>
      <c r="G82" s="412">
        <v>715</v>
      </c>
      <c r="H82" s="402">
        <v>408</v>
      </c>
    </row>
    <row r="83" spans="2:18" x14ac:dyDescent="0.2">
      <c r="G83" s="430" t="s">
        <v>676</v>
      </c>
      <c r="H83" s="430" t="s">
        <v>676</v>
      </c>
      <c r="R83" s="116"/>
    </row>
    <row r="84" spans="2:18" ht="15" thickBot="1" x14ac:dyDescent="0.25">
      <c r="R84" s="116"/>
    </row>
    <row r="85" spans="2:18" ht="18.75" thickBot="1" x14ac:dyDescent="0.3">
      <c r="B85" s="860" t="s">
        <v>677</v>
      </c>
      <c r="C85" s="861"/>
      <c r="D85" s="862"/>
      <c r="F85" s="865" t="s">
        <v>678</v>
      </c>
      <c r="G85" s="866"/>
      <c r="H85" s="866"/>
      <c r="I85" s="871"/>
    </row>
    <row r="86" spans="2:18" x14ac:dyDescent="0.2">
      <c r="B86" s="46" t="s">
        <v>575</v>
      </c>
      <c r="C86" s="37" t="s">
        <v>679</v>
      </c>
      <c r="D86" s="47" t="s">
        <v>680</v>
      </c>
      <c r="F86" s="46" t="s">
        <v>575</v>
      </c>
      <c r="G86" s="37" t="s">
        <v>679</v>
      </c>
      <c r="H86" s="47" t="s">
        <v>680</v>
      </c>
      <c r="I86" s="47" t="s">
        <v>681</v>
      </c>
    </row>
    <row r="87" spans="2:18" x14ac:dyDescent="0.2">
      <c r="B87" s="41" t="s">
        <v>682</v>
      </c>
      <c r="C87" s="36">
        <v>37</v>
      </c>
      <c r="D87" s="42">
        <v>4.1999999999999997E-3</v>
      </c>
      <c r="F87" s="41" t="s">
        <v>682</v>
      </c>
      <c r="G87" s="411">
        <v>70</v>
      </c>
      <c r="H87" s="408">
        <v>1.29E-2</v>
      </c>
      <c r="I87" s="408">
        <v>21</v>
      </c>
    </row>
    <row r="88" spans="2:18" x14ac:dyDescent="0.2">
      <c r="B88" s="41" t="s">
        <v>683</v>
      </c>
      <c r="C88" s="36">
        <v>119</v>
      </c>
      <c r="D88" s="42">
        <v>1.3599999999999999E-2</v>
      </c>
      <c r="F88" s="41" t="s">
        <v>683</v>
      </c>
      <c r="G88" s="411">
        <v>290</v>
      </c>
      <c r="H88" s="408">
        <v>5.2499999999999998E-2</v>
      </c>
      <c r="I88" s="408">
        <v>21</v>
      </c>
    </row>
    <row r="89" spans="2:18" x14ac:dyDescent="0.2">
      <c r="B89" s="41" t="s">
        <v>684</v>
      </c>
      <c r="C89" s="36">
        <v>5</v>
      </c>
      <c r="D89" s="42">
        <v>5.9999999999999995E-4</v>
      </c>
      <c r="F89" s="41" t="s">
        <v>684</v>
      </c>
      <c r="G89" s="411">
        <v>10</v>
      </c>
      <c r="H89" s="408">
        <v>2.2000000000000001E-3</v>
      </c>
      <c r="I89" s="408">
        <v>21</v>
      </c>
    </row>
    <row r="90" spans="2:18" x14ac:dyDescent="0.2">
      <c r="B90" s="41" t="s">
        <v>685</v>
      </c>
      <c r="C90" s="36">
        <v>8</v>
      </c>
      <c r="D90" s="42">
        <v>8.9999999999999998E-4</v>
      </c>
      <c r="F90" s="41" t="s">
        <v>685</v>
      </c>
      <c r="G90" s="411">
        <v>20</v>
      </c>
      <c r="H90" s="408">
        <v>3.2000000000000002E-3</v>
      </c>
      <c r="I90" s="408">
        <v>21</v>
      </c>
    </row>
    <row r="91" spans="2:18" x14ac:dyDescent="0.2">
      <c r="B91" s="41" t="s">
        <v>686</v>
      </c>
      <c r="C91" s="36">
        <v>8</v>
      </c>
      <c r="D91" s="42">
        <v>8.9999999999999998E-4</v>
      </c>
      <c r="F91" s="41" t="s">
        <v>686</v>
      </c>
      <c r="G91" s="411">
        <v>10</v>
      </c>
      <c r="H91" s="408">
        <v>2.5999999999999999E-3</v>
      </c>
      <c r="I91" s="408">
        <v>21</v>
      </c>
    </row>
    <row r="92" spans="2:18" x14ac:dyDescent="0.2">
      <c r="B92" s="41" t="s">
        <v>687</v>
      </c>
      <c r="C92" s="36">
        <v>34</v>
      </c>
      <c r="D92" s="42">
        <v>3.8999999999999998E-3</v>
      </c>
      <c r="F92" s="41" t="s">
        <v>687</v>
      </c>
      <c r="G92" s="411">
        <v>70</v>
      </c>
      <c r="H92" s="408">
        <v>1.34E-2</v>
      </c>
      <c r="I92" s="408">
        <v>21</v>
      </c>
    </row>
    <row r="93" spans="2:18" ht="15" thickBot="1" x14ac:dyDescent="0.25">
      <c r="B93" s="43" t="s">
        <v>634</v>
      </c>
      <c r="C93" s="44">
        <v>254</v>
      </c>
      <c r="D93" s="45">
        <v>2.9000000000000001E-2</v>
      </c>
      <c r="F93" s="43" t="s">
        <v>634</v>
      </c>
      <c r="G93" s="412">
        <v>250</v>
      </c>
      <c r="H93" s="402">
        <v>4.2099999999999999E-2</v>
      </c>
      <c r="I93" s="402">
        <v>120</v>
      </c>
    </row>
    <row r="94" spans="2:18" ht="15" thickBot="1" x14ac:dyDescent="0.25"/>
    <row r="95" spans="2:18" ht="18.75" thickBot="1" x14ac:dyDescent="0.3">
      <c r="B95" s="860" t="s">
        <v>688</v>
      </c>
      <c r="C95" s="861"/>
      <c r="D95" s="862"/>
      <c r="F95" s="860" t="s">
        <v>689</v>
      </c>
      <c r="G95" s="867"/>
      <c r="H95" s="864"/>
    </row>
    <row r="96" spans="2:18" ht="14.25" customHeight="1" thickBot="1" x14ac:dyDescent="0.25">
      <c r="B96" s="46" t="s">
        <v>690</v>
      </c>
      <c r="C96" s="37" t="s">
        <v>203</v>
      </c>
      <c r="D96" s="47" t="s">
        <v>205</v>
      </c>
      <c r="F96" s="536"/>
      <c r="G96" s="881" t="s">
        <v>691</v>
      </c>
      <c r="H96" s="882"/>
    </row>
    <row r="97" spans="2:8" ht="15" customHeight="1" thickBot="1" x14ac:dyDescent="0.25">
      <c r="B97" s="41" t="s">
        <v>686</v>
      </c>
      <c r="C97" s="36">
        <v>18</v>
      </c>
      <c r="D97" s="42">
        <v>8.8599999999999996E-4</v>
      </c>
      <c r="F97" s="536" t="s">
        <v>652</v>
      </c>
      <c r="G97" s="404" t="s">
        <v>629</v>
      </c>
      <c r="H97" s="405" t="s">
        <v>405</v>
      </c>
    </row>
    <row r="98" spans="2:8" x14ac:dyDescent="0.2">
      <c r="B98" s="41" t="s">
        <v>687</v>
      </c>
      <c r="C98" s="36">
        <v>63</v>
      </c>
      <c r="D98" s="42">
        <v>1.8710000000000001E-3</v>
      </c>
      <c r="F98" s="527" t="s">
        <v>19</v>
      </c>
      <c r="G98" s="530">
        <v>42.1</v>
      </c>
      <c r="H98" s="531">
        <v>124.3</v>
      </c>
    </row>
    <row r="99" spans="2:8" x14ac:dyDescent="0.2">
      <c r="B99" s="41" t="s">
        <v>692</v>
      </c>
      <c r="C99" s="36">
        <v>15</v>
      </c>
      <c r="D99" s="42">
        <v>6.5799999999999995E-4</v>
      </c>
      <c r="F99" s="528" t="s">
        <v>21</v>
      </c>
      <c r="G99" s="532">
        <v>32.6</v>
      </c>
      <c r="H99" s="533">
        <v>103</v>
      </c>
    </row>
    <row r="100" spans="2:8" x14ac:dyDescent="0.2">
      <c r="B100" s="41" t="s">
        <v>693</v>
      </c>
      <c r="C100" s="36">
        <v>64</v>
      </c>
      <c r="D100" s="42">
        <v>1.6199999999999999E-3</v>
      </c>
      <c r="F100" s="528" t="s">
        <v>11</v>
      </c>
      <c r="G100" s="532">
        <v>30.9</v>
      </c>
      <c r="H100" s="533">
        <v>99.1</v>
      </c>
    </row>
    <row r="101" spans="2:8" x14ac:dyDescent="0.2">
      <c r="B101" s="41" t="s">
        <v>684</v>
      </c>
      <c r="C101" s="36">
        <v>15</v>
      </c>
      <c r="D101" s="42">
        <v>6.5799999999999995E-4</v>
      </c>
      <c r="F101" s="528" t="s">
        <v>9</v>
      </c>
      <c r="G101" s="532">
        <v>38.5</v>
      </c>
      <c r="H101" s="533">
        <v>116.2</v>
      </c>
    </row>
    <row r="102" spans="2:8" x14ac:dyDescent="0.2">
      <c r="B102" s="41" t="s">
        <v>685</v>
      </c>
      <c r="C102" s="36">
        <v>64</v>
      </c>
      <c r="D102" s="42">
        <v>1.6199999999999999E-3</v>
      </c>
      <c r="F102" s="528" t="s">
        <v>7</v>
      </c>
      <c r="G102" s="532">
        <v>44.9</v>
      </c>
      <c r="H102" s="533">
        <v>130.6</v>
      </c>
    </row>
    <row r="103" spans="2:8" x14ac:dyDescent="0.2">
      <c r="B103" s="41" t="s">
        <v>694</v>
      </c>
      <c r="C103" s="36">
        <v>15</v>
      </c>
      <c r="D103" s="42">
        <v>6.4249999999999995E-4</v>
      </c>
      <c r="F103" s="528" t="s">
        <v>17</v>
      </c>
      <c r="G103" s="532">
        <v>48</v>
      </c>
      <c r="H103" s="533">
        <v>137.5</v>
      </c>
    </row>
    <row r="104" spans="2:8" ht="15" thickBot="1" x14ac:dyDescent="0.25">
      <c r="B104" s="43" t="s">
        <v>695</v>
      </c>
      <c r="C104" s="44">
        <v>91</v>
      </c>
      <c r="D104" s="45">
        <v>1.593E-3</v>
      </c>
      <c r="F104" s="528" t="s">
        <v>5</v>
      </c>
      <c r="G104" s="532">
        <v>39.299999999999997</v>
      </c>
      <c r="H104" s="533">
        <v>118.1</v>
      </c>
    </row>
    <row r="105" spans="2:8" ht="15" thickBot="1" x14ac:dyDescent="0.25">
      <c r="F105" s="528" t="s">
        <v>15</v>
      </c>
      <c r="G105" s="532">
        <v>39.1</v>
      </c>
      <c r="H105" s="533">
        <v>117.6</v>
      </c>
    </row>
    <row r="106" spans="2:8" ht="18.75" thickBot="1" x14ac:dyDescent="0.3">
      <c r="B106" s="860" t="s">
        <v>696</v>
      </c>
      <c r="C106" s="861"/>
      <c r="D106" s="862"/>
      <c r="F106" s="529" t="s">
        <v>13</v>
      </c>
      <c r="G106" s="534">
        <v>39.4</v>
      </c>
      <c r="H106" s="535">
        <v>118.3</v>
      </c>
    </row>
    <row r="107" spans="2:8" x14ac:dyDescent="0.2">
      <c r="B107" s="46" t="s">
        <v>575</v>
      </c>
      <c r="C107" s="37" t="s">
        <v>203</v>
      </c>
      <c r="D107" s="47" t="s">
        <v>205</v>
      </c>
    </row>
    <row r="108" spans="2:8" x14ac:dyDescent="0.2">
      <c r="B108" s="41" t="s">
        <v>697</v>
      </c>
      <c r="C108" s="487">
        <v>0.37</v>
      </c>
      <c r="D108" s="42">
        <v>2.23E-2</v>
      </c>
    </row>
    <row r="109" spans="2:8" ht="15" thickBot="1" x14ac:dyDescent="0.25">
      <c r="B109" s="43" t="s">
        <v>698</v>
      </c>
      <c r="C109" s="488">
        <v>0.72</v>
      </c>
      <c r="D109" s="45">
        <v>4.1799999999999997E-2</v>
      </c>
    </row>
    <row r="112" spans="2:8" ht="15" thickBot="1" x14ac:dyDescent="0.25"/>
    <row r="113" spans="1:15" ht="18.75" thickBot="1" x14ac:dyDescent="0.3">
      <c r="B113" s="878" t="s">
        <v>401</v>
      </c>
      <c r="C113" s="879"/>
      <c r="D113" s="880"/>
    </row>
    <row r="114" spans="1:15" ht="19.5" thickBot="1" x14ac:dyDescent="0.4">
      <c r="B114" s="106" t="s">
        <v>699</v>
      </c>
      <c r="C114" s="106" t="s">
        <v>700</v>
      </c>
      <c r="D114" s="106" t="s">
        <v>701</v>
      </c>
      <c r="E114" s="106" t="s">
        <v>702</v>
      </c>
      <c r="F114" s="106" t="s">
        <v>703</v>
      </c>
      <c r="G114" s="107" t="s">
        <v>704</v>
      </c>
      <c r="H114" s="106" t="s">
        <v>705</v>
      </c>
      <c r="I114" s="106" t="s">
        <v>706</v>
      </c>
      <c r="J114" s="106" t="s">
        <v>707</v>
      </c>
      <c r="K114" s="106" t="s">
        <v>708</v>
      </c>
      <c r="L114" s="106" t="s">
        <v>709</v>
      </c>
      <c r="M114" s="106" t="s">
        <v>710</v>
      </c>
      <c r="N114" s="409" t="s">
        <v>195</v>
      </c>
      <c r="O114" s="409" t="s">
        <v>195</v>
      </c>
    </row>
    <row r="115" spans="1:15" x14ac:dyDescent="0.2">
      <c r="A115" s="1">
        <v>1</v>
      </c>
      <c r="B115" s="108">
        <f>$D115*$F115/$G115*$I115</f>
        <v>0</v>
      </c>
      <c r="C115" s="109">
        <f>$E115*$F115/$H115*$I115</f>
        <v>0</v>
      </c>
      <c r="D115" s="109">
        <f>ROUND('Evap Fan Motors'!K8,2)</f>
        <v>0</v>
      </c>
      <c r="E115" s="109">
        <f>ROUND('Evap Fan Motors'!L8,2)</f>
        <v>0</v>
      </c>
      <c r="F115" s="109">
        <v>0.746</v>
      </c>
      <c r="G115" s="109">
        <f>IF('Evap Fan Motors'!I8="PSC", 60%,30%)</f>
        <v>0.3</v>
      </c>
      <c r="H115" s="109">
        <f>IF('Evap Fan Motors'!J8="ECM", 70%,73%)</f>
        <v>0.73</v>
      </c>
      <c r="I115" s="109">
        <v>0.9</v>
      </c>
      <c r="J115" s="109">
        <v>0.97799999999999998</v>
      </c>
      <c r="K115" s="109">
        <v>8760</v>
      </c>
      <c r="L115" s="109" t="e">
        <f>VLOOKUP(CONCATENATE('Evap Fan Motors'!I8," ", 'Evap Fan Motors'!H8),'Look Up Tables'!$B$40:$C$43,2,FALSE)</f>
        <v>#N/A</v>
      </c>
      <c r="M115" s="109" t="e">
        <f t="shared" ref="M115:M124" si="48">(B115-C115)*J115*K115*L115</f>
        <v>#N/A</v>
      </c>
      <c r="N115" s="410" t="e">
        <f>M115/K115</f>
        <v>#N/A</v>
      </c>
      <c r="O115" s="407" t="e">
        <f>M115/K115</f>
        <v>#N/A</v>
      </c>
    </row>
    <row r="116" spans="1:15" x14ac:dyDescent="0.2">
      <c r="A116" s="1">
        <v>2</v>
      </c>
      <c r="B116" s="41">
        <f t="shared" ref="B116:B124" si="49">$D116*$F116/$G116*$I116</f>
        <v>0</v>
      </c>
      <c r="C116" s="36">
        <f t="shared" ref="C116:C124" si="50">$E116*$F116/$H116*$I116</f>
        <v>0</v>
      </c>
      <c r="D116" s="36">
        <f>ROUND('Evap Fan Motors'!K9,2)</f>
        <v>0</v>
      </c>
      <c r="E116" s="36">
        <f>ROUND('Evap Fan Motors'!L9,2)</f>
        <v>0</v>
      </c>
      <c r="F116" s="36">
        <v>0.746</v>
      </c>
      <c r="G116" s="36">
        <f>IF('Evap Fan Motors'!I9="PSC", 60%,30%)</f>
        <v>0.3</v>
      </c>
      <c r="H116" s="36">
        <f>IF('Evap Fan Motors'!J9="ECM", 70%,73%)</f>
        <v>0.73</v>
      </c>
      <c r="I116" s="36">
        <v>0.9</v>
      </c>
      <c r="J116" s="36">
        <v>0.97799999999999998</v>
      </c>
      <c r="K116" s="36">
        <v>8760</v>
      </c>
      <c r="L116" s="36" t="e">
        <f>VLOOKUP(CONCATENATE('Evap Fan Motors'!I9," ", 'Evap Fan Motors'!H9),'Look Up Tables'!$B$40:$C$43,2,FALSE)</f>
        <v>#N/A</v>
      </c>
      <c r="M116" s="36" t="e">
        <f t="shared" si="48"/>
        <v>#N/A</v>
      </c>
      <c r="N116" s="411" t="e">
        <f t="shared" ref="N116:N124" si="51">M116/K116</f>
        <v>#N/A</v>
      </c>
      <c r="O116" s="408" t="e">
        <f t="shared" ref="O116:O124" si="52">M116/K116</f>
        <v>#N/A</v>
      </c>
    </row>
    <row r="117" spans="1:15" x14ac:dyDescent="0.2">
      <c r="A117" s="1">
        <v>3</v>
      </c>
      <c r="B117" s="41">
        <f t="shared" si="49"/>
        <v>0</v>
      </c>
      <c r="C117" s="36">
        <f t="shared" si="50"/>
        <v>0</v>
      </c>
      <c r="D117" s="36">
        <f>ROUND('Evap Fan Motors'!K10,2)</f>
        <v>0</v>
      </c>
      <c r="E117" s="36">
        <f>ROUND('Evap Fan Motors'!L10,2)</f>
        <v>0</v>
      </c>
      <c r="F117" s="36">
        <v>0.746</v>
      </c>
      <c r="G117" s="36">
        <f>IF('Evap Fan Motors'!I10="PSC", 60%,30%)</f>
        <v>0.3</v>
      </c>
      <c r="H117" s="36">
        <f>IF('Evap Fan Motors'!J10="ECM", 70%,73%)</f>
        <v>0.73</v>
      </c>
      <c r="I117" s="36">
        <v>0.9</v>
      </c>
      <c r="J117" s="36">
        <v>0.97799999999999998</v>
      </c>
      <c r="K117" s="36">
        <v>8760</v>
      </c>
      <c r="L117" s="36" t="e">
        <f>VLOOKUP(CONCATENATE('Evap Fan Motors'!I10," ", 'Evap Fan Motors'!H10),'Look Up Tables'!$B$40:$C$43,2,FALSE)</f>
        <v>#N/A</v>
      </c>
      <c r="M117" s="36" t="e">
        <f t="shared" si="48"/>
        <v>#N/A</v>
      </c>
      <c r="N117" s="411" t="e">
        <f t="shared" si="51"/>
        <v>#N/A</v>
      </c>
      <c r="O117" s="408" t="e">
        <f t="shared" si="52"/>
        <v>#N/A</v>
      </c>
    </row>
    <row r="118" spans="1:15" x14ac:dyDescent="0.2">
      <c r="A118" s="1">
        <v>4</v>
      </c>
      <c r="B118" s="41">
        <f t="shared" si="49"/>
        <v>0</v>
      </c>
      <c r="C118" s="36">
        <f t="shared" si="50"/>
        <v>0</v>
      </c>
      <c r="D118" s="36">
        <f>ROUND('Evap Fan Motors'!K11,2)</f>
        <v>0</v>
      </c>
      <c r="E118" s="36">
        <f>ROUND('Evap Fan Motors'!L11,2)</f>
        <v>0</v>
      </c>
      <c r="F118" s="36">
        <v>0.746</v>
      </c>
      <c r="G118" s="36">
        <f>IF('Evap Fan Motors'!I11="PSC", 60%,30%)</f>
        <v>0.3</v>
      </c>
      <c r="H118" s="36">
        <f>IF('Evap Fan Motors'!J11="ECM", 70%,73%)</f>
        <v>0.73</v>
      </c>
      <c r="I118" s="36">
        <v>0.9</v>
      </c>
      <c r="J118" s="36">
        <v>0.97799999999999998</v>
      </c>
      <c r="K118" s="36">
        <v>8760</v>
      </c>
      <c r="L118" s="36" t="e">
        <f>VLOOKUP(CONCATENATE('Evap Fan Motors'!I11," ", 'Evap Fan Motors'!H11),'Look Up Tables'!$B$40:$C$43,2,FALSE)</f>
        <v>#N/A</v>
      </c>
      <c r="M118" s="36" t="e">
        <f t="shared" si="48"/>
        <v>#N/A</v>
      </c>
      <c r="N118" s="411" t="e">
        <f t="shared" si="51"/>
        <v>#N/A</v>
      </c>
      <c r="O118" s="408" t="e">
        <f t="shared" si="52"/>
        <v>#N/A</v>
      </c>
    </row>
    <row r="119" spans="1:15" x14ac:dyDescent="0.2">
      <c r="A119" s="1">
        <v>5</v>
      </c>
      <c r="B119" s="41">
        <f t="shared" si="49"/>
        <v>0</v>
      </c>
      <c r="C119" s="36">
        <f t="shared" si="50"/>
        <v>0</v>
      </c>
      <c r="D119" s="36">
        <f>ROUND('Evap Fan Motors'!K12,2)</f>
        <v>0</v>
      </c>
      <c r="E119" s="36">
        <f>ROUND('Evap Fan Motors'!L12,2)</f>
        <v>0</v>
      </c>
      <c r="F119" s="36">
        <v>0.746</v>
      </c>
      <c r="G119" s="36">
        <f>IF('Evap Fan Motors'!I12="PSC", 60%,30%)</f>
        <v>0.3</v>
      </c>
      <c r="H119" s="36">
        <f>IF('Evap Fan Motors'!J12="ECM", 70%,73%)</f>
        <v>0.73</v>
      </c>
      <c r="I119" s="36">
        <v>0.9</v>
      </c>
      <c r="J119" s="36">
        <v>0.97799999999999998</v>
      </c>
      <c r="K119" s="36">
        <v>8760</v>
      </c>
      <c r="L119" s="36" t="e">
        <f>VLOOKUP(CONCATENATE('Evap Fan Motors'!I12," ", 'Evap Fan Motors'!H12),'Look Up Tables'!$B$40:$C$43,2,FALSE)</f>
        <v>#N/A</v>
      </c>
      <c r="M119" s="36" t="e">
        <f t="shared" si="48"/>
        <v>#N/A</v>
      </c>
      <c r="N119" s="411" t="e">
        <f t="shared" si="51"/>
        <v>#N/A</v>
      </c>
      <c r="O119" s="408" t="e">
        <f t="shared" si="52"/>
        <v>#N/A</v>
      </c>
    </row>
    <row r="120" spans="1:15" x14ac:dyDescent="0.2">
      <c r="A120" s="1">
        <v>6</v>
      </c>
      <c r="B120" s="41">
        <f t="shared" si="49"/>
        <v>0</v>
      </c>
      <c r="C120" s="36">
        <f t="shared" si="50"/>
        <v>0</v>
      </c>
      <c r="D120" s="36">
        <f>ROUND('Evap Fan Motors'!K13,2)</f>
        <v>0</v>
      </c>
      <c r="E120" s="36">
        <f>ROUND('Evap Fan Motors'!L13,2)</f>
        <v>0</v>
      </c>
      <c r="F120" s="36">
        <v>0.746</v>
      </c>
      <c r="G120" s="36">
        <f>IF('Evap Fan Motors'!I13="PSC", 60%,30%)</f>
        <v>0.3</v>
      </c>
      <c r="H120" s="36">
        <f>IF('Evap Fan Motors'!J13="ECM", 70%,73%)</f>
        <v>0.73</v>
      </c>
      <c r="I120" s="36">
        <v>0.9</v>
      </c>
      <c r="J120" s="36">
        <v>0.97799999999999998</v>
      </c>
      <c r="K120" s="36">
        <v>8760</v>
      </c>
      <c r="L120" s="36" t="e">
        <f>VLOOKUP(CONCATENATE('Evap Fan Motors'!I13," ", 'Evap Fan Motors'!H13),'Look Up Tables'!$B$40:$C$43,2,FALSE)</f>
        <v>#N/A</v>
      </c>
      <c r="M120" s="36" t="e">
        <f t="shared" si="48"/>
        <v>#N/A</v>
      </c>
      <c r="N120" s="411" t="e">
        <f t="shared" si="51"/>
        <v>#N/A</v>
      </c>
      <c r="O120" s="408" t="e">
        <f t="shared" si="52"/>
        <v>#N/A</v>
      </c>
    </row>
    <row r="121" spans="1:15" x14ac:dyDescent="0.2">
      <c r="A121" s="1">
        <v>7</v>
      </c>
      <c r="B121" s="41">
        <f t="shared" si="49"/>
        <v>0</v>
      </c>
      <c r="C121" s="36">
        <f t="shared" si="50"/>
        <v>0</v>
      </c>
      <c r="D121" s="36">
        <f>ROUND('Evap Fan Motors'!K14,2)</f>
        <v>0</v>
      </c>
      <c r="E121" s="36">
        <f>ROUND('Evap Fan Motors'!L14,2)</f>
        <v>0</v>
      </c>
      <c r="F121" s="36">
        <v>0.746</v>
      </c>
      <c r="G121" s="36">
        <f>IF('Evap Fan Motors'!I14="PSC", 60%,30%)</f>
        <v>0.3</v>
      </c>
      <c r="H121" s="36">
        <f>IF('Evap Fan Motors'!J14="ECM", 70%,73%)</f>
        <v>0.73</v>
      </c>
      <c r="I121" s="36">
        <v>0.9</v>
      </c>
      <c r="J121" s="36">
        <v>0.97799999999999998</v>
      </c>
      <c r="K121" s="36">
        <v>8760</v>
      </c>
      <c r="L121" s="36" t="e">
        <f>VLOOKUP(CONCATENATE('Evap Fan Motors'!I14," ", 'Evap Fan Motors'!H14),'Look Up Tables'!$B$40:$C$43,2,FALSE)</f>
        <v>#N/A</v>
      </c>
      <c r="M121" s="36" t="e">
        <f t="shared" si="48"/>
        <v>#N/A</v>
      </c>
      <c r="N121" s="411" t="e">
        <f t="shared" si="51"/>
        <v>#N/A</v>
      </c>
      <c r="O121" s="408" t="e">
        <f t="shared" si="52"/>
        <v>#N/A</v>
      </c>
    </row>
    <row r="122" spans="1:15" x14ac:dyDescent="0.2">
      <c r="A122" s="1">
        <v>8</v>
      </c>
      <c r="B122" s="41">
        <f t="shared" si="49"/>
        <v>0</v>
      </c>
      <c r="C122" s="36">
        <f t="shared" si="50"/>
        <v>0</v>
      </c>
      <c r="D122" s="36">
        <f>ROUND('Evap Fan Motors'!K15,2)</f>
        <v>0</v>
      </c>
      <c r="E122" s="36">
        <f>ROUND('Evap Fan Motors'!L15,2)</f>
        <v>0</v>
      </c>
      <c r="F122" s="36">
        <v>0.746</v>
      </c>
      <c r="G122" s="36">
        <f>IF('Evap Fan Motors'!I15="PSC", 60%,30%)</f>
        <v>0.3</v>
      </c>
      <c r="H122" s="36">
        <f>IF('Evap Fan Motors'!J15="ECM", 70%,73%)</f>
        <v>0.73</v>
      </c>
      <c r="I122" s="36">
        <v>0.9</v>
      </c>
      <c r="J122" s="36">
        <v>0.97799999999999998</v>
      </c>
      <c r="K122" s="36">
        <v>8760</v>
      </c>
      <c r="L122" s="36" t="e">
        <f>VLOOKUP(CONCATENATE('Evap Fan Motors'!I15," ", 'Evap Fan Motors'!H15),'Look Up Tables'!$B$40:$C$43,2,FALSE)</f>
        <v>#N/A</v>
      </c>
      <c r="M122" s="36" t="e">
        <f t="shared" si="48"/>
        <v>#N/A</v>
      </c>
      <c r="N122" s="411" t="e">
        <f t="shared" si="51"/>
        <v>#N/A</v>
      </c>
      <c r="O122" s="408" t="e">
        <f t="shared" si="52"/>
        <v>#N/A</v>
      </c>
    </row>
    <row r="123" spans="1:15" x14ac:dyDescent="0.2">
      <c r="A123" s="1">
        <v>9</v>
      </c>
      <c r="B123" s="41">
        <f t="shared" si="49"/>
        <v>0</v>
      </c>
      <c r="C123" s="36">
        <f t="shared" si="50"/>
        <v>0</v>
      </c>
      <c r="D123" s="36">
        <f>ROUND('Evap Fan Motors'!K16,2)</f>
        <v>0</v>
      </c>
      <c r="E123" s="36">
        <f>ROUND('Evap Fan Motors'!L16,2)</f>
        <v>0</v>
      </c>
      <c r="F123" s="36">
        <v>0.746</v>
      </c>
      <c r="G123" s="36">
        <f>IF('Evap Fan Motors'!I16="PSC", 60%,30%)</f>
        <v>0.3</v>
      </c>
      <c r="H123" s="36">
        <f>IF('Evap Fan Motors'!J16="ECM", 70%,73%)</f>
        <v>0.73</v>
      </c>
      <c r="I123" s="36">
        <v>0.9</v>
      </c>
      <c r="J123" s="36">
        <v>0.97799999999999998</v>
      </c>
      <c r="K123" s="36">
        <v>8760</v>
      </c>
      <c r="L123" s="36" t="e">
        <f>VLOOKUP(CONCATENATE('Evap Fan Motors'!I16," ", 'Evap Fan Motors'!H16),'Look Up Tables'!$B$40:$C$43,2,FALSE)</f>
        <v>#N/A</v>
      </c>
      <c r="M123" s="36" t="e">
        <f t="shared" si="48"/>
        <v>#N/A</v>
      </c>
      <c r="N123" s="411" t="e">
        <f t="shared" si="51"/>
        <v>#N/A</v>
      </c>
      <c r="O123" s="408" t="e">
        <f t="shared" si="52"/>
        <v>#N/A</v>
      </c>
    </row>
    <row r="124" spans="1:15" ht="15" thickBot="1" x14ac:dyDescent="0.25">
      <c r="A124" s="1">
        <v>10</v>
      </c>
      <c r="B124" s="43">
        <f t="shared" si="49"/>
        <v>0</v>
      </c>
      <c r="C124" s="44">
        <f t="shared" si="50"/>
        <v>0</v>
      </c>
      <c r="D124" s="44">
        <f>ROUND('Evap Fan Motors'!K17,2)</f>
        <v>0</v>
      </c>
      <c r="E124" s="44">
        <f>ROUND('Evap Fan Motors'!L17,2)</f>
        <v>0</v>
      </c>
      <c r="F124" s="44">
        <v>0.746</v>
      </c>
      <c r="G124" s="44">
        <f>IF('Evap Fan Motors'!I17="PSC", 60%,30%)</f>
        <v>0.3</v>
      </c>
      <c r="H124" s="44">
        <f>IF('Evap Fan Motors'!J17="ECM", 70%,73%)</f>
        <v>0.73</v>
      </c>
      <c r="I124" s="44">
        <v>0.9</v>
      </c>
      <c r="J124" s="44">
        <v>0.97799999999999998</v>
      </c>
      <c r="K124" s="44">
        <v>8760</v>
      </c>
      <c r="L124" s="44" t="e">
        <f>VLOOKUP(CONCATENATE('Evap Fan Motors'!I17," ", 'Evap Fan Motors'!H17),'Look Up Tables'!$B$40:$C$43,2,FALSE)</f>
        <v>#N/A</v>
      </c>
      <c r="M124" s="44" t="e">
        <f t="shared" si="48"/>
        <v>#N/A</v>
      </c>
      <c r="N124" s="412" t="e">
        <f t="shared" si="51"/>
        <v>#N/A</v>
      </c>
      <c r="O124" s="402" t="e">
        <f t="shared" si="52"/>
        <v>#N/A</v>
      </c>
    </row>
    <row r="126" spans="1:15" ht="15" thickBot="1" x14ac:dyDescent="0.25"/>
    <row r="127" spans="1:15" ht="18.75" thickBot="1" x14ac:dyDescent="0.3">
      <c r="B127" s="860" t="s">
        <v>711</v>
      </c>
      <c r="C127" s="861"/>
      <c r="D127" s="862"/>
    </row>
    <row r="128" spans="1:15" ht="15.75" thickBot="1" x14ac:dyDescent="0.3">
      <c r="A128" s="1">
        <v>1</v>
      </c>
      <c r="B128" s="409" t="s">
        <v>712</v>
      </c>
      <c r="C128" s="106" t="s">
        <v>713</v>
      </c>
      <c r="D128" s="106" t="s">
        <v>707</v>
      </c>
      <c r="E128" s="106" t="s">
        <v>714</v>
      </c>
      <c r="F128" s="106" t="s">
        <v>708</v>
      </c>
      <c r="G128" s="106" t="s">
        <v>709</v>
      </c>
      <c r="H128" s="409" t="s">
        <v>715</v>
      </c>
      <c r="I128" s="106" t="s">
        <v>710</v>
      </c>
      <c r="J128" s="106" t="s">
        <v>195</v>
      </c>
    </row>
    <row r="129" spans="1:10" x14ac:dyDescent="0.2">
      <c r="A129" s="1">
        <v>1</v>
      </c>
      <c r="B129" s="475" t="str">
        <f>IFERROR(VLOOKUP('Fan Control'!J8,'Look Up Tables'!$V$40:$W$41,2,FALSE)," ")</f>
        <v xml:space="preserve"> </v>
      </c>
      <c r="C129" s="109">
        <f>ROUND('Fan Control'!H8,2)</f>
        <v>0</v>
      </c>
      <c r="D129" s="114">
        <v>0.97799999999999998</v>
      </c>
      <c r="E129" s="114" t="e">
        <f>VLOOKUP('Fan Control'!I8,'Look Up Tables'!$R$40:$T$42,2, FALSE)</f>
        <v>#N/A</v>
      </c>
      <c r="F129" s="109">
        <v>8760</v>
      </c>
      <c r="G129" s="109">
        <f>IF('Fan Control'!G8='Look Up Tables'!$D$4,'Look Up Tables'!$C$42,'Look Up Tables'!$C$40)</f>
        <v>1.76</v>
      </c>
      <c r="H129" s="410" t="str">
        <f>IFERROR(VLOOKUP('Fan Control'!I8,'Look Up Tables'!$R$40:$T$42,3,FALSE)," ")</f>
        <v xml:space="preserve"> </v>
      </c>
      <c r="I129" s="482" t="str">
        <f t="shared" ref="I129:I138" si="53">IFERROR(B129*C129*(D129-E129)*F129*G129," ")</f>
        <v xml:space="preserve"> </v>
      </c>
      <c r="J129" s="479" t="str">
        <f>IFERROR(H129*I129," ")</f>
        <v xml:space="preserve"> </v>
      </c>
    </row>
    <row r="130" spans="1:10" x14ac:dyDescent="0.2">
      <c r="A130" s="1">
        <v>2</v>
      </c>
      <c r="B130" s="476" t="str">
        <f>IFERROR(VLOOKUP('Fan Control'!J9,'Look Up Tables'!$V$40:$W$41,2,FALSE)," ")</f>
        <v xml:space="preserve"> </v>
      </c>
      <c r="C130" s="36">
        <f>ROUND('Fan Control'!H9,2)</f>
        <v>0</v>
      </c>
      <c r="D130" s="113">
        <v>0.97799999999999998</v>
      </c>
      <c r="E130" s="113" t="e">
        <f>VLOOKUP('Fan Control'!I9,'Look Up Tables'!$R$40:$T$42,2, FALSE)</f>
        <v>#N/A</v>
      </c>
      <c r="F130" s="36">
        <v>8760</v>
      </c>
      <c r="G130" s="36">
        <f>IF('Fan Control'!G9='Look Up Tables'!$D$4,'Look Up Tables'!$C$42,'Look Up Tables'!$C$40)</f>
        <v>1.76</v>
      </c>
      <c r="H130" s="411" t="str">
        <f>IFERROR(VLOOKUP('Fan Control'!I9,'Look Up Tables'!$R$40:$T$42,3,FALSE)," ")</f>
        <v xml:space="preserve"> </v>
      </c>
      <c r="I130" s="483" t="str">
        <f t="shared" si="53"/>
        <v xml:space="preserve"> </v>
      </c>
      <c r="J130" s="480" t="str">
        <f t="shared" ref="J130:J138" si="54">IFERROR(H130*I130," ")</f>
        <v xml:space="preserve"> </v>
      </c>
    </row>
    <row r="131" spans="1:10" x14ac:dyDescent="0.2">
      <c r="A131" s="1">
        <v>3</v>
      </c>
      <c r="B131" s="476" t="str">
        <f>IFERROR(VLOOKUP('Fan Control'!J10,'Look Up Tables'!$V$40:$W$41,2,FALSE)," ")</f>
        <v xml:space="preserve"> </v>
      </c>
      <c r="C131" s="36">
        <f>ROUND('Fan Control'!H10,2)</f>
        <v>0</v>
      </c>
      <c r="D131" s="113">
        <v>0.97799999999999998</v>
      </c>
      <c r="E131" s="113" t="e">
        <f>VLOOKUP('Fan Control'!I10,'Look Up Tables'!$R$40:$T$42,2, FALSE)</f>
        <v>#N/A</v>
      </c>
      <c r="F131" s="36">
        <v>8760</v>
      </c>
      <c r="G131" s="36">
        <f>IF('Fan Control'!G10='Look Up Tables'!$D$4,'Look Up Tables'!$C$42,'Look Up Tables'!$C$40)</f>
        <v>1.76</v>
      </c>
      <c r="H131" s="411" t="str">
        <f>IFERROR(VLOOKUP('Fan Control'!I10,'Look Up Tables'!$R$40:$T$42,3,FALSE)," ")</f>
        <v xml:space="preserve"> </v>
      </c>
      <c r="I131" s="483" t="str">
        <f t="shared" si="53"/>
        <v xml:space="preserve"> </v>
      </c>
      <c r="J131" s="480" t="str">
        <f t="shared" si="54"/>
        <v xml:space="preserve"> </v>
      </c>
    </row>
    <row r="132" spans="1:10" x14ac:dyDescent="0.2">
      <c r="A132" s="1">
        <v>4</v>
      </c>
      <c r="B132" s="476" t="str">
        <f>IFERROR(VLOOKUP('Fan Control'!J11,'Look Up Tables'!$V$40:$W$41,2,FALSE)," ")</f>
        <v xml:space="preserve"> </v>
      </c>
      <c r="C132" s="36">
        <f>ROUND('Fan Control'!H11,2)</f>
        <v>0</v>
      </c>
      <c r="D132" s="113">
        <v>0.97799999999999998</v>
      </c>
      <c r="E132" s="113" t="e">
        <f>VLOOKUP('Fan Control'!I11,'Look Up Tables'!$R$40:$T$42,2, FALSE)</f>
        <v>#N/A</v>
      </c>
      <c r="F132" s="36">
        <v>8760</v>
      </c>
      <c r="G132" s="36">
        <f>IF('Fan Control'!G11='Look Up Tables'!$D$4,'Look Up Tables'!$C$42,'Look Up Tables'!$C$40)</f>
        <v>1.76</v>
      </c>
      <c r="H132" s="411" t="str">
        <f>IFERROR(VLOOKUP('Fan Control'!I11,'Look Up Tables'!$R$40:$T$42,3,FALSE)," ")</f>
        <v xml:space="preserve"> </v>
      </c>
      <c r="I132" s="483" t="str">
        <f t="shared" si="53"/>
        <v xml:space="preserve"> </v>
      </c>
      <c r="J132" s="480" t="str">
        <f t="shared" si="54"/>
        <v xml:space="preserve"> </v>
      </c>
    </row>
    <row r="133" spans="1:10" x14ac:dyDescent="0.2">
      <c r="A133" s="1">
        <v>5</v>
      </c>
      <c r="B133" s="476" t="str">
        <f>IFERROR(VLOOKUP('Fan Control'!J12,'Look Up Tables'!$V$40:$W$41,2,FALSE)," ")</f>
        <v xml:space="preserve"> </v>
      </c>
      <c r="C133" s="36">
        <f>ROUND('Fan Control'!H12,2)</f>
        <v>0</v>
      </c>
      <c r="D133" s="113">
        <v>0.97799999999999998</v>
      </c>
      <c r="E133" s="113" t="e">
        <f>VLOOKUP('Fan Control'!I12,'Look Up Tables'!$R$40:$T$42,2, FALSE)</f>
        <v>#N/A</v>
      </c>
      <c r="F133" s="36">
        <v>8760</v>
      </c>
      <c r="G133" s="36">
        <f>IF('Fan Control'!G12='Look Up Tables'!$D$4,'Look Up Tables'!$C$42,'Look Up Tables'!$C$40)</f>
        <v>1.76</v>
      </c>
      <c r="H133" s="411" t="str">
        <f>IFERROR(VLOOKUP('Fan Control'!I12,'Look Up Tables'!$R$40:$T$42,3,FALSE)," ")</f>
        <v xml:space="preserve"> </v>
      </c>
      <c r="I133" s="483" t="str">
        <f t="shared" si="53"/>
        <v xml:space="preserve"> </v>
      </c>
      <c r="J133" s="480" t="str">
        <f t="shared" si="54"/>
        <v xml:space="preserve"> </v>
      </c>
    </row>
    <row r="134" spans="1:10" x14ac:dyDescent="0.2">
      <c r="A134" s="1">
        <v>6</v>
      </c>
      <c r="B134" s="476" t="str">
        <f>IFERROR(VLOOKUP('Fan Control'!J13,'Look Up Tables'!$V$40:$W$41,2,FALSE)," ")</f>
        <v xml:space="preserve"> </v>
      </c>
      <c r="C134" s="36">
        <f>ROUND('Fan Control'!H13,2)</f>
        <v>0</v>
      </c>
      <c r="D134" s="113">
        <v>0.97799999999999998</v>
      </c>
      <c r="E134" s="113" t="e">
        <f>VLOOKUP('Fan Control'!I13,'Look Up Tables'!$R$40:$T$42,2, FALSE)</f>
        <v>#N/A</v>
      </c>
      <c r="F134" s="36">
        <v>8760</v>
      </c>
      <c r="G134" s="36">
        <f>IF('Fan Control'!G13='Look Up Tables'!$D$4,'Look Up Tables'!$C$42,'Look Up Tables'!$C$40)</f>
        <v>1.76</v>
      </c>
      <c r="H134" s="411" t="str">
        <f>IFERROR(VLOOKUP('Fan Control'!I13,'Look Up Tables'!$R$40:$T$42,3,FALSE)," ")</f>
        <v xml:space="preserve"> </v>
      </c>
      <c r="I134" s="483" t="str">
        <f t="shared" si="53"/>
        <v xml:space="preserve"> </v>
      </c>
      <c r="J134" s="480" t="str">
        <f t="shared" si="54"/>
        <v xml:space="preserve"> </v>
      </c>
    </row>
    <row r="135" spans="1:10" x14ac:dyDescent="0.2">
      <c r="A135" s="1">
        <v>7</v>
      </c>
      <c r="B135" s="476" t="str">
        <f>IFERROR(VLOOKUP('Fan Control'!J14,'Look Up Tables'!$V$40:$W$41,2,FALSE)," ")</f>
        <v xml:space="preserve"> </v>
      </c>
      <c r="C135" s="36">
        <f>ROUND('Fan Control'!H14,2)</f>
        <v>0</v>
      </c>
      <c r="D135" s="113">
        <v>0.97799999999999998</v>
      </c>
      <c r="E135" s="113" t="e">
        <f>VLOOKUP('Fan Control'!I14,'Look Up Tables'!$R$40:$T$42,2, FALSE)</f>
        <v>#N/A</v>
      </c>
      <c r="F135" s="36">
        <v>8760</v>
      </c>
      <c r="G135" s="36">
        <f>IF('Fan Control'!G14='Look Up Tables'!$D$4,'Look Up Tables'!$C$42,'Look Up Tables'!$C$40)</f>
        <v>1.76</v>
      </c>
      <c r="H135" s="411" t="str">
        <f>IFERROR(VLOOKUP('Fan Control'!I14,'Look Up Tables'!$R$40:$T$42,3,FALSE)," ")</f>
        <v xml:space="preserve"> </v>
      </c>
      <c r="I135" s="483" t="str">
        <f t="shared" si="53"/>
        <v xml:space="preserve"> </v>
      </c>
      <c r="J135" s="480" t="str">
        <f t="shared" si="54"/>
        <v xml:space="preserve"> </v>
      </c>
    </row>
    <row r="136" spans="1:10" x14ac:dyDescent="0.2">
      <c r="A136" s="1">
        <v>8</v>
      </c>
      <c r="B136" s="476" t="str">
        <f>IFERROR(VLOOKUP('Fan Control'!J15,'Look Up Tables'!$V$40:$W$41,2,FALSE)," ")</f>
        <v xml:space="preserve"> </v>
      </c>
      <c r="C136" s="36">
        <f>ROUND('Fan Control'!H15,2)</f>
        <v>0</v>
      </c>
      <c r="D136" s="113">
        <v>0.97799999999999998</v>
      </c>
      <c r="E136" s="113" t="e">
        <f>VLOOKUP('Fan Control'!I15,'Look Up Tables'!$R$40:$T$42,2, FALSE)</f>
        <v>#N/A</v>
      </c>
      <c r="F136" s="36">
        <v>8760</v>
      </c>
      <c r="G136" s="36">
        <f>IF('Fan Control'!G15='Look Up Tables'!$D$4,'Look Up Tables'!$C$42,'Look Up Tables'!$C$40)</f>
        <v>1.76</v>
      </c>
      <c r="H136" s="411" t="str">
        <f>IFERROR(VLOOKUP('Fan Control'!I15,'Look Up Tables'!$R$40:$T$42,3,FALSE)," ")</f>
        <v xml:space="preserve"> </v>
      </c>
      <c r="I136" s="483" t="str">
        <f t="shared" si="53"/>
        <v xml:space="preserve"> </v>
      </c>
      <c r="J136" s="480" t="str">
        <f t="shared" si="54"/>
        <v xml:space="preserve"> </v>
      </c>
    </row>
    <row r="137" spans="1:10" x14ac:dyDescent="0.2">
      <c r="A137" s="1">
        <v>9</v>
      </c>
      <c r="B137" s="476" t="str">
        <f>IFERROR(VLOOKUP('Fan Control'!J16,'Look Up Tables'!$V$40:$W$41,2,FALSE)," ")</f>
        <v xml:space="preserve"> </v>
      </c>
      <c r="C137" s="36">
        <f>ROUND('Fan Control'!H16,2)</f>
        <v>0</v>
      </c>
      <c r="D137" s="113">
        <v>0.97799999999999998</v>
      </c>
      <c r="E137" s="113" t="e">
        <f>VLOOKUP('Fan Control'!I16,'Look Up Tables'!$R$40:$T$42,2, FALSE)</f>
        <v>#N/A</v>
      </c>
      <c r="F137" s="36">
        <v>8760</v>
      </c>
      <c r="G137" s="36">
        <f>IF('Fan Control'!G16='Look Up Tables'!$D$4,'Look Up Tables'!$C$42,'Look Up Tables'!$C$40)</f>
        <v>1.76</v>
      </c>
      <c r="H137" s="411" t="str">
        <f>IFERROR(VLOOKUP('Fan Control'!I16,'Look Up Tables'!$R$40:$T$42,3,FALSE)," ")</f>
        <v xml:space="preserve"> </v>
      </c>
      <c r="I137" s="483" t="str">
        <f t="shared" si="53"/>
        <v xml:space="preserve"> </v>
      </c>
      <c r="J137" s="480" t="str">
        <f t="shared" si="54"/>
        <v xml:space="preserve"> </v>
      </c>
    </row>
    <row r="138" spans="1:10" ht="15" thickBot="1" x14ac:dyDescent="0.25">
      <c r="A138" s="1">
        <v>10</v>
      </c>
      <c r="B138" s="401" t="str">
        <f>IFERROR(VLOOKUP('Fan Control'!J17,'Look Up Tables'!$V$40:$W$41,2,FALSE)," ")</f>
        <v xml:space="preserve"> </v>
      </c>
      <c r="C138" s="44">
        <f>ROUND('Fan Control'!H17,2)</f>
        <v>0</v>
      </c>
      <c r="D138" s="115">
        <v>0.97799999999999998</v>
      </c>
      <c r="E138" s="115" t="e">
        <f>VLOOKUP('Fan Control'!I17,'Look Up Tables'!$R$40:$T$42,2, FALSE)</f>
        <v>#N/A</v>
      </c>
      <c r="F138" s="44">
        <v>8760</v>
      </c>
      <c r="G138" s="44">
        <f>IF('Fan Control'!G17='Look Up Tables'!$D$4,'Look Up Tables'!$C$42,'Look Up Tables'!$C$40)</f>
        <v>1.76</v>
      </c>
      <c r="H138" s="412" t="str">
        <f>IFERROR(VLOOKUP('Fan Control'!I17,'Look Up Tables'!$R$40:$T$42,3,FALSE)," ")</f>
        <v xml:space="preserve"> </v>
      </c>
      <c r="I138" s="484" t="str">
        <f t="shared" si="53"/>
        <v xml:space="preserve"> </v>
      </c>
      <c r="J138" s="481" t="str">
        <f t="shared" si="54"/>
        <v xml:space="preserve"> </v>
      </c>
    </row>
    <row r="139" spans="1:10" ht="15" thickBot="1" x14ac:dyDescent="0.25"/>
    <row r="140" spans="1:10" ht="18.75" thickBot="1" x14ac:dyDescent="0.3">
      <c r="B140" s="860" t="s">
        <v>716</v>
      </c>
      <c r="C140" s="861"/>
      <c r="D140" s="862"/>
    </row>
    <row r="141" spans="1:10" ht="45.75" thickBot="1" x14ac:dyDescent="0.3">
      <c r="B141" s="106" t="s">
        <v>652</v>
      </c>
      <c r="C141" s="120" t="s">
        <v>717</v>
      </c>
      <c r="D141" s="120" t="s">
        <v>718</v>
      </c>
    </row>
    <row r="142" spans="1:10" x14ac:dyDescent="0.2">
      <c r="B142" s="124" t="s">
        <v>19</v>
      </c>
      <c r="C142" s="125">
        <v>1307</v>
      </c>
      <c r="D142" s="126">
        <v>0.12520000000000001</v>
      </c>
    </row>
    <row r="143" spans="1:10" x14ac:dyDescent="0.2">
      <c r="B143" s="606" t="s">
        <v>21</v>
      </c>
      <c r="C143" s="121">
        <v>1290</v>
      </c>
      <c r="D143" s="128">
        <v>0.14299999999999999</v>
      </c>
    </row>
    <row r="144" spans="1:10" x14ac:dyDescent="0.2">
      <c r="B144" s="127" t="s">
        <v>11</v>
      </c>
      <c r="C144" s="121">
        <v>1296</v>
      </c>
      <c r="D144" s="128">
        <v>0.1429</v>
      </c>
    </row>
    <row r="145" spans="2:8" x14ac:dyDescent="0.2">
      <c r="B145" s="127" t="s">
        <v>9</v>
      </c>
      <c r="C145" s="121">
        <v>1318</v>
      </c>
      <c r="D145" s="128">
        <v>0.1244</v>
      </c>
    </row>
    <row r="146" spans="2:8" x14ac:dyDescent="0.2">
      <c r="B146" s="127" t="s">
        <v>7</v>
      </c>
      <c r="C146" s="122">
        <v>1318</v>
      </c>
      <c r="D146" s="129">
        <v>0.1171</v>
      </c>
    </row>
    <row r="147" spans="2:8" x14ac:dyDescent="0.2">
      <c r="B147" s="39" t="s">
        <v>17</v>
      </c>
      <c r="C147" s="122">
        <v>1312</v>
      </c>
      <c r="D147" s="129">
        <v>0.12039999999999999</v>
      </c>
    </row>
    <row r="148" spans="2:8" x14ac:dyDescent="0.2">
      <c r="B148" s="127" t="s">
        <v>5</v>
      </c>
      <c r="C148" s="122">
        <v>1308</v>
      </c>
      <c r="D148" s="129">
        <v>0.1245</v>
      </c>
    </row>
    <row r="149" spans="2:8" x14ac:dyDescent="0.2">
      <c r="B149" s="127" t="s">
        <v>15</v>
      </c>
      <c r="C149" s="122">
        <v>1318</v>
      </c>
      <c r="D149" s="129">
        <v>0.1164</v>
      </c>
    </row>
    <row r="150" spans="2:8" ht="15" thickBot="1" x14ac:dyDescent="0.25">
      <c r="B150" s="130" t="s">
        <v>13</v>
      </c>
      <c r="C150" s="131">
        <v>1323</v>
      </c>
      <c r="D150" s="132">
        <v>0.1167</v>
      </c>
    </row>
    <row r="151" spans="2:8" ht="15" thickBot="1" x14ac:dyDescent="0.25">
      <c r="B151" s="133"/>
      <c r="C151" s="134"/>
      <c r="D151" s="135"/>
    </row>
    <row r="152" spans="2:8" ht="18.75" thickBot="1" x14ac:dyDescent="0.3">
      <c r="B152" s="860"/>
      <c r="C152" s="861"/>
      <c r="D152" s="862"/>
    </row>
    <row r="153" spans="2:8" ht="15.75" customHeight="1" thickBot="1" x14ac:dyDescent="0.3">
      <c r="B153" s="898" t="s">
        <v>652</v>
      </c>
      <c r="C153" s="898" t="s">
        <v>719</v>
      </c>
      <c r="D153" s="900" t="s">
        <v>720</v>
      </c>
      <c r="E153" s="901"/>
      <c r="F153" s="902"/>
    </row>
    <row r="154" spans="2:8" ht="15.75" thickBot="1" x14ac:dyDescent="0.3">
      <c r="B154" s="899"/>
      <c r="C154" s="899"/>
      <c r="D154" s="106" t="s">
        <v>721</v>
      </c>
      <c r="E154" s="106" t="s">
        <v>722</v>
      </c>
      <c r="F154" s="106" t="s">
        <v>723</v>
      </c>
    </row>
    <row r="155" spans="2:8" ht="15" x14ac:dyDescent="0.25">
      <c r="B155" s="136" t="s">
        <v>19</v>
      </c>
      <c r="C155" s="137">
        <v>1674</v>
      </c>
      <c r="D155" s="138">
        <v>835</v>
      </c>
      <c r="E155" s="138">
        <v>737</v>
      </c>
      <c r="F155" s="139">
        <v>698</v>
      </c>
      <c r="H155" s="106" t="s">
        <v>724</v>
      </c>
    </row>
    <row r="156" spans="2:8" x14ac:dyDescent="0.2">
      <c r="B156" s="140" t="s">
        <v>21</v>
      </c>
      <c r="C156" s="122">
        <v>2254</v>
      </c>
      <c r="D156" s="122">
        <v>1098</v>
      </c>
      <c r="E156" s="123">
        <v>969</v>
      </c>
      <c r="F156" s="129">
        <v>918</v>
      </c>
      <c r="H156" s="36" t="s">
        <v>721</v>
      </c>
    </row>
    <row r="157" spans="2:8" x14ac:dyDescent="0.2">
      <c r="B157" s="140" t="s">
        <v>11</v>
      </c>
      <c r="C157" s="122">
        <v>2721</v>
      </c>
      <c r="D157" s="122">
        <v>1306</v>
      </c>
      <c r="E157" s="122">
        <v>1153</v>
      </c>
      <c r="F157" s="141">
        <v>1092</v>
      </c>
      <c r="H157" s="36" t="s">
        <v>722</v>
      </c>
    </row>
    <row r="158" spans="2:8" x14ac:dyDescent="0.2">
      <c r="B158" s="140" t="s">
        <v>9</v>
      </c>
      <c r="C158" s="122">
        <v>1931</v>
      </c>
      <c r="D158" s="123">
        <v>955</v>
      </c>
      <c r="E158" s="123">
        <v>842</v>
      </c>
      <c r="F158" s="129">
        <v>799</v>
      </c>
      <c r="H158" s="36" t="s">
        <v>723</v>
      </c>
    </row>
    <row r="159" spans="2:8" x14ac:dyDescent="0.2">
      <c r="B159" s="140" t="s">
        <v>7</v>
      </c>
      <c r="C159" s="122">
        <v>1458</v>
      </c>
      <c r="D159" s="123">
        <v>766</v>
      </c>
      <c r="E159" s="123">
        <v>676</v>
      </c>
      <c r="F159" s="129">
        <v>641</v>
      </c>
      <c r="H159" s="36"/>
    </row>
    <row r="160" spans="2:8" x14ac:dyDescent="0.2">
      <c r="B160" s="41" t="s">
        <v>17</v>
      </c>
      <c r="C160" s="122">
        <v>1223</v>
      </c>
      <c r="D160" s="123">
        <v>625</v>
      </c>
      <c r="E160" s="123">
        <v>551</v>
      </c>
      <c r="F160" s="129">
        <v>523</v>
      </c>
    </row>
    <row r="161" spans="2:7" x14ac:dyDescent="0.2">
      <c r="B161" s="140" t="s">
        <v>5</v>
      </c>
      <c r="C161" s="122">
        <v>1614</v>
      </c>
      <c r="D161" s="123">
        <v>819</v>
      </c>
      <c r="E161" s="123">
        <v>723</v>
      </c>
      <c r="F161" s="129">
        <v>685</v>
      </c>
    </row>
    <row r="162" spans="2:7" x14ac:dyDescent="0.2">
      <c r="B162" s="140" t="s">
        <v>15</v>
      </c>
      <c r="C162" s="122">
        <v>1860</v>
      </c>
      <c r="D162" s="123">
        <v>924</v>
      </c>
      <c r="E162" s="123">
        <v>816</v>
      </c>
      <c r="F162" s="129">
        <v>773</v>
      </c>
    </row>
    <row r="163" spans="2:7" ht="15" thickBot="1" x14ac:dyDescent="0.25">
      <c r="B163" s="142" t="s">
        <v>13</v>
      </c>
      <c r="C163" s="131">
        <v>1741</v>
      </c>
      <c r="D163" s="143">
        <v>852</v>
      </c>
      <c r="E163" s="143">
        <v>752</v>
      </c>
      <c r="F163" s="132">
        <v>713</v>
      </c>
    </row>
    <row r="164" spans="2:7" ht="15" thickBot="1" x14ac:dyDescent="0.25"/>
    <row r="165" spans="2:7" ht="18.75" thickBot="1" x14ac:dyDescent="0.3">
      <c r="B165" s="896" t="s">
        <v>725</v>
      </c>
      <c r="C165" s="897"/>
    </row>
    <row r="166" spans="2:7" x14ac:dyDescent="0.2">
      <c r="B166" s="475" t="s">
        <v>726</v>
      </c>
      <c r="C166" s="407">
        <v>2.7399999999999999E-5</v>
      </c>
    </row>
    <row r="167" spans="2:7" ht="15" thickBot="1" x14ac:dyDescent="0.25">
      <c r="B167" s="401" t="s">
        <v>727</v>
      </c>
      <c r="C167" s="402">
        <v>3.4600000000000001E-5</v>
      </c>
    </row>
    <row r="169" spans="2:7" ht="15" thickBot="1" x14ac:dyDescent="0.25"/>
    <row r="170" spans="2:7" ht="18.75" thickBot="1" x14ac:dyDescent="0.25">
      <c r="B170" s="908" t="s">
        <v>728</v>
      </c>
      <c r="C170" s="909"/>
      <c r="D170" s="909"/>
      <c r="E170" s="909"/>
      <c r="F170" s="909"/>
      <c r="G170" s="910"/>
    </row>
    <row r="171" spans="2:7" ht="15" x14ac:dyDescent="0.25">
      <c r="B171" s="903" t="s">
        <v>729</v>
      </c>
      <c r="C171" s="911" t="s">
        <v>652</v>
      </c>
      <c r="D171" s="905" t="s">
        <v>730</v>
      </c>
      <c r="E171" s="906"/>
      <c r="F171" s="907" t="s">
        <v>405</v>
      </c>
      <c r="G171" s="906"/>
    </row>
    <row r="172" spans="2:7" ht="15.75" thickBot="1" x14ac:dyDescent="0.25">
      <c r="B172" s="904"/>
      <c r="C172" s="912"/>
      <c r="D172" s="404" t="s">
        <v>731</v>
      </c>
      <c r="E172" s="405" t="s">
        <v>732</v>
      </c>
      <c r="F172" s="406" t="s">
        <v>733</v>
      </c>
      <c r="G172" s="405" t="s">
        <v>734</v>
      </c>
    </row>
    <row r="173" spans="2:7" x14ac:dyDescent="0.2">
      <c r="B173" s="459" t="s">
        <v>735</v>
      </c>
      <c r="C173" s="460" t="s">
        <v>19</v>
      </c>
      <c r="D173" s="461">
        <v>959</v>
      </c>
      <c r="E173" s="462">
        <v>0.46300000000000002</v>
      </c>
      <c r="F173" s="463">
        <v>2212</v>
      </c>
      <c r="G173" s="462">
        <v>0.48799999999999999</v>
      </c>
    </row>
    <row r="174" spans="2:7" x14ac:dyDescent="0.2">
      <c r="B174" s="464" t="s">
        <v>735</v>
      </c>
      <c r="C174" s="465" t="s">
        <v>21</v>
      </c>
      <c r="D174" s="466">
        <v>959</v>
      </c>
      <c r="E174" s="467">
        <v>0.46300000000000002</v>
      </c>
      <c r="F174" s="730">
        <v>2212</v>
      </c>
      <c r="G174" s="467">
        <v>0.48799999999999999</v>
      </c>
    </row>
    <row r="175" spans="2:7" x14ac:dyDescent="0.2">
      <c r="B175" s="464" t="s">
        <v>735</v>
      </c>
      <c r="C175" s="465" t="s">
        <v>11</v>
      </c>
      <c r="D175" s="466">
        <v>959</v>
      </c>
      <c r="E175" s="467">
        <v>0.46300000000000002</v>
      </c>
      <c r="F175" s="730">
        <v>2212</v>
      </c>
      <c r="G175" s="467">
        <v>0.48799999999999999</v>
      </c>
    </row>
    <row r="176" spans="2:7" x14ac:dyDescent="0.2">
      <c r="B176" s="464" t="s">
        <v>735</v>
      </c>
      <c r="C176" s="465" t="s">
        <v>9</v>
      </c>
      <c r="D176" s="466">
        <v>959</v>
      </c>
      <c r="E176" s="467">
        <v>0.46300000000000002</v>
      </c>
      <c r="F176" s="730">
        <v>2212</v>
      </c>
      <c r="G176" s="467">
        <v>0.48799999999999999</v>
      </c>
    </row>
    <row r="177" spans="2:7" x14ac:dyDescent="0.2">
      <c r="B177" s="464" t="s">
        <v>736</v>
      </c>
      <c r="C177" s="465" t="s">
        <v>7</v>
      </c>
      <c r="D177" s="466">
        <v>1363</v>
      </c>
      <c r="E177" s="467">
        <v>0.46300000000000002</v>
      </c>
      <c r="F177" s="730">
        <v>2810</v>
      </c>
      <c r="G177" s="467">
        <v>0.48799999999999999</v>
      </c>
    </row>
    <row r="178" spans="2:7" x14ac:dyDescent="0.2">
      <c r="B178" s="464" t="s">
        <v>736</v>
      </c>
      <c r="C178" s="465" t="s">
        <v>17</v>
      </c>
      <c r="D178" s="466">
        <v>1363</v>
      </c>
      <c r="E178" s="467">
        <v>0.46300000000000002</v>
      </c>
      <c r="F178" s="730">
        <v>2810</v>
      </c>
      <c r="G178" s="467">
        <v>0.48799999999999999</v>
      </c>
    </row>
    <row r="179" spans="2:7" x14ac:dyDescent="0.2">
      <c r="B179" s="464" t="s">
        <v>735</v>
      </c>
      <c r="C179" s="465" t="s">
        <v>5</v>
      </c>
      <c r="D179" s="466">
        <v>959</v>
      </c>
      <c r="E179" s="467">
        <v>0.46300000000000002</v>
      </c>
      <c r="F179" s="730">
        <v>2212</v>
      </c>
      <c r="G179" s="467">
        <v>0.48799999999999999</v>
      </c>
    </row>
    <row r="180" spans="2:7" x14ac:dyDescent="0.2">
      <c r="B180" s="464" t="s">
        <v>735</v>
      </c>
      <c r="C180" s="465" t="s">
        <v>15</v>
      </c>
      <c r="D180" s="466">
        <v>959</v>
      </c>
      <c r="E180" s="467">
        <v>0.46300000000000002</v>
      </c>
      <c r="F180" s="730">
        <v>2212</v>
      </c>
      <c r="G180" s="467">
        <v>0.48799999999999999</v>
      </c>
    </row>
    <row r="181" spans="2:7" ht="15" thickBot="1" x14ac:dyDescent="0.25">
      <c r="B181" s="468" t="s">
        <v>735</v>
      </c>
      <c r="C181" s="469" t="s">
        <v>13</v>
      </c>
      <c r="D181" s="470">
        <v>959</v>
      </c>
      <c r="E181" s="471">
        <v>0.46300000000000002</v>
      </c>
      <c r="F181" s="472">
        <v>2212</v>
      </c>
      <c r="G181" s="471">
        <v>0.48799999999999999</v>
      </c>
    </row>
    <row r="182" spans="2:7" ht="15" thickBot="1" x14ac:dyDescent="0.25"/>
    <row r="183" spans="2:7" ht="18.75" thickBot="1" x14ac:dyDescent="0.3">
      <c r="B183" s="891" t="s">
        <v>737</v>
      </c>
      <c r="C183" s="892"/>
      <c r="D183" s="892"/>
      <c r="E183" s="893"/>
    </row>
    <row r="184" spans="2:7" ht="15.75" thickBot="1" x14ac:dyDescent="0.3">
      <c r="B184" s="515" t="s">
        <v>738</v>
      </c>
      <c r="C184" s="516" t="s">
        <v>739</v>
      </c>
      <c r="D184" s="516" t="s">
        <v>740</v>
      </c>
      <c r="E184" s="517" t="s">
        <v>741</v>
      </c>
    </row>
    <row r="185" spans="2:7" x14ac:dyDescent="0.2">
      <c r="B185" s="507" t="s">
        <v>400</v>
      </c>
      <c r="C185" s="508">
        <v>142</v>
      </c>
      <c r="D185" s="508">
        <v>4.8999999999999998E-3</v>
      </c>
      <c r="E185" s="514">
        <v>3.8999999999999998E-3</v>
      </c>
    </row>
    <row r="186" spans="2:7" x14ac:dyDescent="0.2">
      <c r="B186" s="509" t="s">
        <v>405</v>
      </c>
      <c r="C186" s="494">
        <v>169</v>
      </c>
      <c r="D186" s="494">
        <v>5.7999999999999996E-3</v>
      </c>
      <c r="E186" s="510">
        <v>4.5999999999999999E-3</v>
      </c>
    </row>
    <row r="187" spans="2:7" ht="15" thickBot="1" x14ac:dyDescent="0.25">
      <c r="B187" s="511" t="s">
        <v>424</v>
      </c>
      <c r="C187" s="512">
        <v>145</v>
      </c>
      <c r="D187" s="512">
        <v>5.0000000000000001E-3</v>
      </c>
      <c r="E187" s="513">
        <v>4.0000000000000001E-3</v>
      </c>
    </row>
    <row r="188" spans="2:7" ht="15" thickBot="1" x14ac:dyDescent="0.25"/>
    <row r="189" spans="2:7" ht="15" thickBot="1" x14ac:dyDescent="0.25">
      <c r="B189" s="894" t="s">
        <v>742</v>
      </c>
      <c r="C189" s="895"/>
    </row>
    <row r="190" spans="2:7" ht="15" thickBot="1" x14ac:dyDescent="0.25">
      <c r="B190" s="520" t="s">
        <v>286</v>
      </c>
      <c r="C190" s="521" t="s">
        <v>743</v>
      </c>
    </row>
    <row r="191" spans="2:7" x14ac:dyDescent="0.2">
      <c r="B191" s="475" t="s">
        <v>405</v>
      </c>
      <c r="C191" s="407">
        <v>0.85</v>
      </c>
    </row>
    <row r="192" spans="2:7" x14ac:dyDescent="0.2">
      <c r="B192" s="476" t="s">
        <v>400</v>
      </c>
      <c r="C192" s="408">
        <v>0.55000000000000004</v>
      </c>
    </row>
    <row r="193" spans="2:11" ht="15" thickBot="1" x14ac:dyDescent="0.25">
      <c r="B193" s="401" t="s">
        <v>424</v>
      </c>
      <c r="C193" s="402">
        <v>0.55000000000000004</v>
      </c>
    </row>
    <row r="194" spans="2:11" ht="15" thickBot="1" x14ac:dyDescent="0.25"/>
    <row r="195" spans="2:11" ht="18.75" thickBot="1" x14ac:dyDescent="0.3">
      <c r="B195" s="888" t="s">
        <v>744</v>
      </c>
      <c r="C195" s="889"/>
      <c r="D195" s="889"/>
      <c r="E195" s="889"/>
      <c r="F195" s="889"/>
      <c r="G195" s="889"/>
      <c r="H195" s="889"/>
      <c r="I195" s="889"/>
      <c r="J195" s="889"/>
      <c r="K195" s="890"/>
    </row>
    <row r="196" spans="2:11" x14ac:dyDescent="0.2">
      <c r="B196" s="520" t="s">
        <v>745</v>
      </c>
      <c r="C196" s="520" t="s">
        <v>19</v>
      </c>
      <c r="D196" s="520" t="s">
        <v>21</v>
      </c>
      <c r="E196" s="520" t="s">
        <v>11</v>
      </c>
      <c r="F196" s="520" t="s">
        <v>9</v>
      </c>
      <c r="G196" s="520" t="s">
        <v>7</v>
      </c>
      <c r="H196" s="520" t="s">
        <v>17</v>
      </c>
      <c r="I196" s="520" t="s">
        <v>5</v>
      </c>
      <c r="J196" s="520" t="s">
        <v>15</v>
      </c>
      <c r="K196" s="520" t="s">
        <v>13</v>
      </c>
    </row>
    <row r="197" spans="2:11" x14ac:dyDescent="0.2">
      <c r="B197" s="539" t="s">
        <v>576</v>
      </c>
      <c r="C197" s="540">
        <v>870</v>
      </c>
      <c r="D197" s="540">
        <v>436</v>
      </c>
      <c r="E197" s="540">
        <v>513</v>
      </c>
      <c r="F197" s="540">
        <v>664</v>
      </c>
      <c r="G197" s="540">
        <v>729</v>
      </c>
      <c r="H197" s="540">
        <v>895</v>
      </c>
      <c r="I197" s="540">
        <v>701</v>
      </c>
      <c r="J197" s="540">
        <v>741</v>
      </c>
      <c r="K197" s="540">
        <v>678</v>
      </c>
    </row>
    <row r="198" spans="2:11" x14ac:dyDescent="0.2">
      <c r="B198" s="539" t="s">
        <v>580</v>
      </c>
      <c r="C198" s="540">
        <v>363</v>
      </c>
      <c r="D198" s="540">
        <v>161</v>
      </c>
      <c r="E198" s="540">
        <v>193</v>
      </c>
      <c r="F198" s="540">
        <v>257</v>
      </c>
      <c r="G198" s="540">
        <v>344</v>
      </c>
      <c r="H198" s="540">
        <v>421</v>
      </c>
      <c r="I198" s="540">
        <v>322</v>
      </c>
      <c r="J198" s="540">
        <v>302</v>
      </c>
      <c r="K198" s="540">
        <v>272</v>
      </c>
    </row>
    <row r="199" spans="2:11" x14ac:dyDescent="0.2">
      <c r="B199" s="539" t="s">
        <v>584</v>
      </c>
      <c r="C199" s="540">
        <v>889</v>
      </c>
      <c r="D199" s="540">
        <v>537</v>
      </c>
      <c r="E199" s="540">
        <v>753</v>
      </c>
      <c r="F199" s="540">
        <v>884</v>
      </c>
      <c r="G199" s="540">
        <v>503</v>
      </c>
      <c r="H199" s="540">
        <v>654</v>
      </c>
      <c r="I199" s="540">
        <v>753</v>
      </c>
      <c r="J199" s="540">
        <v>603</v>
      </c>
      <c r="K199" s="540">
        <v>504</v>
      </c>
    </row>
    <row r="200" spans="2:11" x14ac:dyDescent="0.2">
      <c r="B200" s="539" t="s">
        <v>588</v>
      </c>
      <c r="C200" s="540">
        <v>1401</v>
      </c>
      <c r="D200" s="540">
        <v>967</v>
      </c>
      <c r="E200" s="540">
        <v>1358</v>
      </c>
      <c r="F200" s="540">
        <v>1443</v>
      </c>
      <c r="G200" s="540">
        <v>990</v>
      </c>
      <c r="H200" s="540">
        <v>1292</v>
      </c>
      <c r="I200" s="540">
        <v>930</v>
      </c>
      <c r="J200" s="540">
        <v>1421</v>
      </c>
      <c r="K200" s="540">
        <v>1155</v>
      </c>
    </row>
    <row r="201" spans="2:11" x14ac:dyDescent="0.2">
      <c r="B201" s="539" t="s">
        <v>592</v>
      </c>
      <c r="C201" s="540">
        <v>649</v>
      </c>
      <c r="D201" s="540">
        <v>393</v>
      </c>
      <c r="E201" s="540">
        <v>487</v>
      </c>
      <c r="F201" s="540">
        <v>669</v>
      </c>
      <c r="G201" s="540">
        <v>599</v>
      </c>
      <c r="H201" s="540">
        <v>834</v>
      </c>
      <c r="I201" s="540">
        <v>603</v>
      </c>
      <c r="J201" s="540">
        <v>649</v>
      </c>
      <c r="K201" s="540">
        <v>543</v>
      </c>
    </row>
    <row r="202" spans="2:11" x14ac:dyDescent="0.2">
      <c r="B202" s="539" t="s">
        <v>598</v>
      </c>
      <c r="C202" s="540">
        <v>775</v>
      </c>
      <c r="D202" s="540">
        <v>357</v>
      </c>
      <c r="E202" s="540">
        <v>430</v>
      </c>
      <c r="F202" s="540">
        <v>571</v>
      </c>
      <c r="G202" s="540">
        <v>684</v>
      </c>
      <c r="H202" s="540">
        <v>832</v>
      </c>
      <c r="I202" s="540">
        <v>625</v>
      </c>
      <c r="J202" s="540">
        <v>619</v>
      </c>
      <c r="K202" s="540">
        <v>545</v>
      </c>
    </row>
    <row r="203" spans="2:11" x14ac:dyDescent="0.2">
      <c r="B203" s="541" t="s">
        <v>602</v>
      </c>
      <c r="C203" s="540">
        <v>1024</v>
      </c>
      <c r="D203" s="540">
        <v>511</v>
      </c>
      <c r="E203" s="540">
        <v>632</v>
      </c>
      <c r="F203" s="540">
        <v>844</v>
      </c>
      <c r="G203" s="540">
        <v>910</v>
      </c>
      <c r="H203" s="540">
        <v>1326</v>
      </c>
      <c r="I203" s="540">
        <v>833</v>
      </c>
      <c r="J203" s="540">
        <v>874</v>
      </c>
      <c r="K203" s="540">
        <v>781</v>
      </c>
    </row>
    <row r="204" spans="2:11" x14ac:dyDescent="0.2">
      <c r="B204" s="541" t="s">
        <v>606</v>
      </c>
      <c r="C204" s="540">
        <v>1885</v>
      </c>
      <c r="D204" s="540">
        <v>1193</v>
      </c>
      <c r="E204" s="540">
        <v>1507</v>
      </c>
      <c r="F204" s="540">
        <v>1935</v>
      </c>
      <c r="G204" s="540">
        <v>1691</v>
      </c>
      <c r="H204" s="540">
        <v>2113</v>
      </c>
      <c r="I204" s="540">
        <v>1744</v>
      </c>
      <c r="J204" s="540">
        <v>1874</v>
      </c>
      <c r="K204" s="540">
        <v>1578</v>
      </c>
    </row>
    <row r="205" spans="2:11" x14ac:dyDescent="0.2">
      <c r="B205" s="541" t="s">
        <v>608</v>
      </c>
      <c r="C205" s="540">
        <v>1897</v>
      </c>
      <c r="D205" s="540">
        <v>647</v>
      </c>
      <c r="E205" s="540">
        <v>802</v>
      </c>
      <c r="F205" s="540">
        <v>1069</v>
      </c>
      <c r="G205" s="540">
        <v>1645</v>
      </c>
      <c r="H205" s="540">
        <v>2009</v>
      </c>
      <c r="I205" s="540">
        <v>1388</v>
      </c>
      <c r="J205" s="540">
        <v>1377</v>
      </c>
      <c r="K205" s="540">
        <v>1199</v>
      </c>
    </row>
    <row r="206" spans="2:11" x14ac:dyDescent="0.2">
      <c r="B206" s="541" t="s">
        <v>612</v>
      </c>
      <c r="C206" s="540">
        <v>623</v>
      </c>
      <c r="D206" s="540">
        <v>211</v>
      </c>
      <c r="E206" s="540">
        <v>449</v>
      </c>
      <c r="F206" s="540">
        <v>573</v>
      </c>
      <c r="G206" s="540">
        <v>627</v>
      </c>
      <c r="H206" s="540">
        <v>859</v>
      </c>
      <c r="I206" s="540">
        <v>851</v>
      </c>
      <c r="J206" s="540">
        <v>695</v>
      </c>
      <c r="K206" s="540">
        <v>531</v>
      </c>
    </row>
    <row r="207" spans="2:11" x14ac:dyDescent="0.2">
      <c r="B207" s="541" t="s">
        <v>617</v>
      </c>
      <c r="C207" s="540">
        <v>748</v>
      </c>
      <c r="D207" s="540">
        <v>425</v>
      </c>
      <c r="E207" s="540">
        <v>520</v>
      </c>
      <c r="F207" s="540">
        <v>713</v>
      </c>
      <c r="G207" s="540">
        <v>655</v>
      </c>
      <c r="H207" s="540">
        <v>965</v>
      </c>
      <c r="I207" s="540">
        <v>746</v>
      </c>
      <c r="J207" s="540">
        <v>726</v>
      </c>
      <c r="K207" s="540">
        <v>677</v>
      </c>
    </row>
    <row r="208" spans="2:11" x14ac:dyDescent="0.2">
      <c r="B208" s="539" t="s">
        <v>623</v>
      </c>
      <c r="C208" s="540">
        <v>1000</v>
      </c>
      <c r="D208" s="540">
        <v>530</v>
      </c>
      <c r="E208" s="540">
        <v>645</v>
      </c>
      <c r="F208" s="540">
        <v>862</v>
      </c>
      <c r="G208" s="540">
        <v>824</v>
      </c>
      <c r="H208" s="540">
        <v>1111</v>
      </c>
      <c r="I208" s="540">
        <v>963</v>
      </c>
      <c r="J208" s="540">
        <v>838</v>
      </c>
      <c r="K208" s="540">
        <v>739</v>
      </c>
    </row>
    <row r="209" spans="2:11" x14ac:dyDescent="0.2">
      <c r="B209" s="539" t="s">
        <v>628</v>
      </c>
      <c r="C209" s="540">
        <v>237</v>
      </c>
      <c r="D209" s="540">
        <v>96</v>
      </c>
      <c r="E209" s="540">
        <v>120</v>
      </c>
      <c r="F209" s="540">
        <v>158</v>
      </c>
      <c r="G209" s="540">
        <v>261</v>
      </c>
      <c r="H209" s="540">
        <v>422</v>
      </c>
      <c r="I209" s="540">
        <v>227</v>
      </c>
      <c r="J209" s="540">
        <v>181</v>
      </c>
      <c r="K209" s="540">
        <v>203</v>
      </c>
    </row>
    <row r="210" spans="2:11" x14ac:dyDescent="0.2">
      <c r="B210" s="539" t="s">
        <v>634</v>
      </c>
      <c r="C210" s="540">
        <v>4257</v>
      </c>
      <c r="D210" s="540">
        <v>3018</v>
      </c>
      <c r="E210" s="540">
        <v>4184</v>
      </c>
      <c r="F210" s="540">
        <v>4281</v>
      </c>
      <c r="G210" s="540">
        <v>3511</v>
      </c>
      <c r="H210" s="540">
        <v>3904</v>
      </c>
      <c r="I210" s="540">
        <v>3677</v>
      </c>
      <c r="J210" s="540">
        <v>4301</v>
      </c>
      <c r="K210" s="540">
        <v>3574</v>
      </c>
    </row>
    <row r="211" spans="2:11" ht="15" thickBot="1" x14ac:dyDescent="0.25"/>
    <row r="212" spans="2:11" ht="18.75" thickBot="1" x14ac:dyDescent="0.3">
      <c r="B212" s="888" t="s">
        <v>746</v>
      </c>
      <c r="C212" s="889"/>
      <c r="D212" s="889"/>
      <c r="E212" s="889"/>
      <c r="F212" s="889"/>
      <c r="G212" s="889"/>
      <c r="H212" s="889"/>
      <c r="I212" s="889"/>
      <c r="J212" s="889"/>
      <c r="K212" s="890"/>
    </row>
    <row r="213" spans="2:11" x14ac:dyDescent="0.2">
      <c r="B213" s="520" t="s">
        <v>745</v>
      </c>
      <c r="C213" s="520" t="s">
        <v>19</v>
      </c>
      <c r="D213" s="520" t="s">
        <v>21</v>
      </c>
      <c r="E213" s="520" t="s">
        <v>11</v>
      </c>
      <c r="F213" s="520" t="s">
        <v>9</v>
      </c>
      <c r="G213" s="520" t="s">
        <v>7</v>
      </c>
      <c r="H213" s="520" t="s">
        <v>17</v>
      </c>
      <c r="I213" s="520" t="s">
        <v>5</v>
      </c>
      <c r="J213" s="520" t="s">
        <v>15</v>
      </c>
      <c r="K213" s="520" t="s">
        <v>13</v>
      </c>
    </row>
    <row r="214" spans="2:11" x14ac:dyDescent="0.2">
      <c r="B214" s="539" t="s">
        <v>576</v>
      </c>
      <c r="C214" s="542">
        <v>654</v>
      </c>
      <c r="D214" s="542">
        <v>984</v>
      </c>
      <c r="E214" s="542">
        <v>938</v>
      </c>
      <c r="F214" s="542">
        <v>763</v>
      </c>
      <c r="G214" s="542">
        <v>442</v>
      </c>
      <c r="H214" s="542">
        <v>418</v>
      </c>
      <c r="I214" s="542">
        <v>592</v>
      </c>
      <c r="J214" s="542">
        <v>733</v>
      </c>
      <c r="K214" s="540">
        <v>629</v>
      </c>
    </row>
    <row r="215" spans="2:11" x14ac:dyDescent="0.2">
      <c r="B215" s="539" t="s">
        <v>580</v>
      </c>
      <c r="C215" s="543">
        <v>579</v>
      </c>
      <c r="D215" s="543">
        <v>910</v>
      </c>
      <c r="E215" s="542">
        <v>886</v>
      </c>
      <c r="F215" s="543">
        <v>593</v>
      </c>
      <c r="G215" s="543">
        <v>593</v>
      </c>
      <c r="H215" s="543">
        <v>581</v>
      </c>
      <c r="I215" s="543">
        <v>804</v>
      </c>
      <c r="J215" s="543">
        <v>823</v>
      </c>
      <c r="K215" s="544">
        <v>629</v>
      </c>
    </row>
    <row r="216" spans="2:11" x14ac:dyDescent="0.2">
      <c r="B216" s="539" t="s">
        <v>584</v>
      </c>
      <c r="C216" s="543">
        <v>667</v>
      </c>
      <c r="D216" s="542">
        <v>1068</v>
      </c>
      <c r="E216" s="542">
        <v>929</v>
      </c>
      <c r="F216" s="543">
        <v>475</v>
      </c>
      <c r="G216" s="542">
        <v>1015</v>
      </c>
      <c r="H216" s="542">
        <v>1095</v>
      </c>
      <c r="I216" s="543">
        <v>513</v>
      </c>
      <c r="J216" s="542">
        <v>1546</v>
      </c>
      <c r="K216" s="540">
        <v>1362</v>
      </c>
    </row>
    <row r="217" spans="2:11" x14ac:dyDescent="0.2">
      <c r="B217" s="539" t="s">
        <v>588</v>
      </c>
      <c r="C217" s="543">
        <v>134</v>
      </c>
      <c r="D217" s="543">
        <v>81</v>
      </c>
      <c r="E217" s="543">
        <v>62</v>
      </c>
      <c r="F217" s="543">
        <v>85</v>
      </c>
      <c r="G217" s="543">
        <v>289</v>
      </c>
      <c r="H217" s="543">
        <v>311</v>
      </c>
      <c r="I217" s="542">
        <v>380</v>
      </c>
      <c r="J217" s="542">
        <v>94</v>
      </c>
      <c r="K217" s="544">
        <v>148</v>
      </c>
    </row>
    <row r="218" spans="2:11" x14ac:dyDescent="0.2">
      <c r="B218" s="539" t="s">
        <v>592</v>
      </c>
      <c r="C218" s="543">
        <v>859</v>
      </c>
      <c r="D218" s="542">
        <v>1432</v>
      </c>
      <c r="E218" s="542">
        <v>1418</v>
      </c>
      <c r="F218" s="542">
        <v>1161</v>
      </c>
      <c r="G218" s="543">
        <v>683</v>
      </c>
      <c r="H218" s="543">
        <v>725</v>
      </c>
      <c r="I218" s="542">
        <v>931</v>
      </c>
      <c r="J218" s="542">
        <v>1062</v>
      </c>
      <c r="K218" s="544">
        <v>920</v>
      </c>
    </row>
    <row r="219" spans="2:11" x14ac:dyDescent="0.2">
      <c r="B219" s="539" t="s">
        <v>598</v>
      </c>
      <c r="C219" s="543">
        <v>369</v>
      </c>
      <c r="D219" s="543">
        <v>500</v>
      </c>
      <c r="E219" s="543">
        <v>494</v>
      </c>
      <c r="F219" s="543">
        <v>421</v>
      </c>
      <c r="G219" s="543">
        <v>299</v>
      </c>
      <c r="H219" s="543">
        <v>305</v>
      </c>
      <c r="I219" s="543">
        <v>364</v>
      </c>
      <c r="J219" s="543">
        <v>392</v>
      </c>
      <c r="K219" s="544">
        <v>332</v>
      </c>
    </row>
    <row r="220" spans="2:11" x14ac:dyDescent="0.2">
      <c r="B220" s="539" t="s">
        <v>602</v>
      </c>
      <c r="C220" s="542">
        <v>1072</v>
      </c>
      <c r="D220" s="542">
        <v>1489</v>
      </c>
      <c r="E220" s="542">
        <v>1496</v>
      </c>
      <c r="F220" s="542">
        <v>1279</v>
      </c>
      <c r="G220" s="542">
        <v>878</v>
      </c>
      <c r="H220" s="542">
        <v>1009</v>
      </c>
      <c r="I220" s="542">
        <v>1058</v>
      </c>
      <c r="J220" s="542">
        <v>1247</v>
      </c>
      <c r="K220" s="540">
        <v>1023</v>
      </c>
    </row>
    <row r="221" spans="2:11" x14ac:dyDescent="0.2">
      <c r="B221" s="539" t="s">
        <v>606</v>
      </c>
      <c r="C221" s="542">
        <v>2158</v>
      </c>
      <c r="D221" s="542">
        <v>3219</v>
      </c>
      <c r="E221" s="542">
        <v>3346</v>
      </c>
      <c r="F221" s="542">
        <v>2739</v>
      </c>
      <c r="G221" s="542">
        <v>1727</v>
      </c>
      <c r="H221" s="542">
        <v>1815</v>
      </c>
      <c r="I221" s="542">
        <v>2194</v>
      </c>
      <c r="J221" s="542">
        <v>2306</v>
      </c>
      <c r="K221" s="540">
        <v>2307</v>
      </c>
    </row>
    <row r="222" spans="2:11" x14ac:dyDescent="0.2">
      <c r="B222" s="539" t="s">
        <v>608</v>
      </c>
      <c r="C222" s="543">
        <v>252</v>
      </c>
      <c r="D222" s="543">
        <v>320</v>
      </c>
      <c r="E222" s="543">
        <v>308</v>
      </c>
      <c r="F222" s="542">
        <v>287</v>
      </c>
      <c r="G222" s="543">
        <v>210</v>
      </c>
      <c r="H222" s="543">
        <v>233</v>
      </c>
      <c r="I222" s="542">
        <v>240</v>
      </c>
      <c r="J222" s="542">
        <v>250</v>
      </c>
      <c r="K222" s="544">
        <v>267</v>
      </c>
    </row>
    <row r="223" spans="2:11" x14ac:dyDescent="0.2">
      <c r="B223" s="539" t="s">
        <v>612</v>
      </c>
      <c r="C223" s="542">
        <v>292</v>
      </c>
      <c r="D223" s="542">
        <v>159</v>
      </c>
      <c r="E223" s="542">
        <v>458</v>
      </c>
      <c r="F223" s="542">
        <v>376</v>
      </c>
      <c r="G223" s="542">
        <v>264</v>
      </c>
      <c r="H223" s="542">
        <v>253</v>
      </c>
      <c r="I223" s="542">
        <v>313</v>
      </c>
      <c r="J223" s="542">
        <v>293</v>
      </c>
      <c r="K223" s="540">
        <v>326</v>
      </c>
    </row>
    <row r="224" spans="2:11" x14ac:dyDescent="0.2">
      <c r="B224" s="539" t="s">
        <v>617</v>
      </c>
      <c r="C224" s="542">
        <v>1047</v>
      </c>
      <c r="D224" s="542">
        <v>1865</v>
      </c>
      <c r="E224" s="542">
        <v>1835</v>
      </c>
      <c r="F224" s="542">
        <v>1501</v>
      </c>
      <c r="G224" s="542">
        <v>832</v>
      </c>
      <c r="H224" s="543">
        <v>894</v>
      </c>
      <c r="I224" s="542">
        <v>1219</v>
      </c>
      <c r="J224" s="542">
        <v>1336</v>
      </c>
      <c r="K224" s="540">
        <v>1191</v>
      </c>
    </row>
    <row r="225" spans="2:12" x14ac:dyDescent="0.2">
      <c r="B225" s="539" t="s">
        <v>623</v>
      </c>
      <c r="C225" s="543">
        <v>736</v>
      </c>
      <c r="D225" s="542">
        <v>1085</v>
      </c>
      <c r="E225" s="542">
        <v>1062</v>
      </c>
      <c r="F225" s="543">
        <v>872</v>
      </c>
      <c r="G225" s="543">
        <v>518</v>
      </c>
      <c r="H225" s="543">
        <v>569</v>
      </c>
      <c r="I225" s="543">
        <v>711</v>
      </c>
      <c r="J225" s="543">
        <v>761</v>
      </c>
      <c r="K225" s="544">
        <v>648</v>
      </c>
    </row>
    <row r="226" spans="2:12" x14ac:dyDescent="0.2">
      <c r="B226" s="545" t="s">
        <v>628</v>
      </c>
      <c r="C226" s="543">
        <v>771</v>
      </c>
      <c r="D226" s="542">
        <v>1108</v>
      </c>
      <c r="E226" s="542">
        <v>1094</v>
      </c>
      <c r="F226" s="542">
        <v>991</v>
      </c>
      <c r="G226" s="543">
        <v>674</v>
      </c>
      <c r="H226" s="543">
        <v>810</v>
      </c>
      <c r="I226" s="543">
        <v>890</v>
      </c>
      <c r="J226" s="542">
        <v>897</v>
      </c>
      <c r="K226" s="544">
        <v>768</v>
      </c>
    </row>
    <row r="227" spans="2:12" x14ac:dyDescent="0.2">
      <c r="B227" s="539" t="s">
        <v>634</v>
      </c>
      <c r="C227" s="543">
        <v>330</v>
      </c>
      <c r="D227" s="543">
        <v>613</v>
      </c>
      <c r="E227" s="543">
        <v>581</v>
      </c>
      <c r="F227" s="543">
        <v>475</v>
      </c>
      <c r="G227" s="543">
        <v>246</v>
      </c>
      <c r="H227" s="543">
        <v>200</v>
      </c>
      <c r="I227" s="543">
        <v>372</v>
      </c>
      <c r="J227" s="543">
        <v>391</v>
      </c>
      <c r="K227" s="544">
        <v>315</v>
      </c>
    </row>
    <row r="228" spans="2:12" ht="15" thickBot="1" x14ac:dyDescent="0.25"/>
    <row r="229" spans="2:12" x14ac:dyDescent="0.2">
      <c r="B229" s="546" t="s">
        <v>747</v>
      </c>
      <c r="C229" s="547" t="s">
        <v>748</v>
      </c>
      <c r="D229" s="547" t="s">
        <v>749</v>
      </c>
      <c r="E229" s="547" t="s">
        <v>750</v>
      </c>
    </row>
    <row r="230" spans="2:12" x14ac:dyDescent="0.2">
      <c r="B230" s="548" t="s">
        <v>751</v>
      </c>
      <c r="C230" s="548" t="s">
        <v>752</v>
      </c>
      <c r="D230" s="548" t="s">
        <v>753</v>
      </c>
      <c r="E230" s="548" t="s">
        <v>642</v>
      </c>
    </row>
    <row r="231" spans="2:12" x14ac:dyDescent="0.2">
      <c r="B231" s="548" t="s">
        <v>754</v>
      </c>
      <c r="C231" s="548" t="s">
        <v>755</v>
      </c>
      <c r="D231" s="548" t="s">
        <v>756</v>
      </c>
      <c r="E231" s="548" t="s">
        <v>644</v>
      </c>
    </row>
    <row r="232" spans="2:12" x14ac:dyDescent="0.2">
      <c r="B232" s="548" t="s">
        <v>757</v>
      </c>
      <c r="D232" s="548" t="s">
        <v>758</v>
      </c>
    </row>
    <row r="233" spans="2:12" x14ac:dyDescent="0.2">
      <c r="B233" s="548" t="s">
        <v>759</v>
      </c>
      <c r="D233" s="548" t="s">
        <v>760</v>
      </c>
    </row>
    <row r="234" spans="2:12" ht="15" thickBot="1" x14ac:dyDescent="0.25">
      <c r="D234" s="549" t="s">
        <v>761</v>
      </c>
    </row>
    <row r="237" spans="2:12" x14ac:dyDescent="0.2">
      <c r="H237" s="913" t="s">
        <v>762</v>
      </c>
      <c r="I237" s="913"/>
      <c r="J237" s="913"/>
      <c r="K237" s="913"/>
      <c r="L237" s="913"/>
    </row>
    <row r="238" spans="2:12" ht="15" thickBot="1" x14ac:dyDescent="0.25">
      <c r="H238" s="913"/>
      <c r="I238" s="913"/>
      <c r="J238" s="913"/>
      <c r="K238" s="913"/>
      <c r="L238" s="913"/>
    </row>
    <row r="239" spans="2:12" ht="36.75" customHeight="1" thickBot="1" x14ac:dyDescent="0.3">
      <c r="B239" s="550" t="s">
        <v>763</v>
      </c>
      <c r="C239" s="551"/>
      <c r="D239" s="551"/>
      <c r="E239" s="551"/>
      <c r="F239" s="551"/>
      <c r="H239" s="913"/>
      <c r="I239" s="913"/>
      <c r="J239" s="913"/>
      <c r="K239" s="913"/>
      <c r="L239" s="913"/>
    </row>
    <row r="240" spans="2:12" x14ac:dyDescent="0.2">
      <c r="B240" s="520" t="s">
        <v>747</v>
      </c>
      <c r="C240" s="520" t="s">
        <v>764</v>
      </c>
      <c r="D240" s="520" t="s">
        <v>748</v>
      </c>
      <c r="E240" s="520" t="s">
        <v>765</v>
      </c>
      <c r="F240" s="520" t="s">
        <v>766</v>
      </c>
    </row>
    <row r="241" spans="2:7" x14ac:dyDescent="0.2">
      <c r="B241" s="539" t="s">
        <v>751</v>
      </c>
      <c r="C241" s="548" t="s">
        <v>753</v>
      </c>
      <c r="D241" s="548" t="s">
        <v>752</v>
      </c>
      <c r="E241" s="557">
        <v>13.4</v>
      </c>
      <c r="F241" s="559"/>
    </row>
    <row r="242" spans="2:7" x14ac:dyDescent="0.2">
      <c r="B242" s="539" t="s">
        <v>751</v>
      </c>
      <c r="C242" s="548" t="s">
        <v>753</v>
      </c>
      <c r="D242" s="548" t="s">
        <v>755</v>
      </c>
      <c r="E242" s="557">
        <v>13.4</v>
      </c>
      <c r="F242" s="560"/>
    </row>
    <row r="243" spans="2:7" x14ac:dyDescent="0.2">
      <c r="B243" s="539" t="s">
        <v>751</v>
      </c>
      <c r="C243" s="548" t="s">
        <v>756</v>
      </c>
      <c r="D243" s="548" t="s">
        <v>752</v>
      </c>
      <c r="E243" s="557">
        <v>14.8</v>
      </c>
      <c r="F243" s="560"/>
    </row>
    <row r="244" spans="2:7" x14ac:dyDescent="0.2">
      <c r="B244" s="539" t="s">
        <v>751</v>
      </c>
      <c r="C244" s="548" t="s">
        <v>756</v>
      </c>
      <c r="D244" s="548" t="s">
        <v>755</v>
      </c>
      <c r="E244" s="557">
        <v>14.8</v>
      </c>
      <c r="F244" s="560"/>
    </row>
    <row r="245" spans="2:7" x14ac:dyDescent="0.2">
      <c r="B245" s="539" t="s">
        <v>751</v>
      </c>
      <c r="C245" s="548" t="s">
        <v>758</v>
      </c>
      <c r="D245" s="548" t="s">
        <v>752</v>
      </c>
      <c r="E245" s="557">
        <v>14.2</v>
      </c>
      <c r="F245" s="559"/>
    </row>
    <row r="246" spans="2:7" x14ac:dyDescent="0.2">
      <c r="B246" s="539" t="s">
        <v>751</v>
      </c>
      <c r="C246" s="548" t="s">
        <v>758</v>
      </c>
      <c r="D246" s="548" t="s">
        <v>755</v>
      </c>
      <c r="E246" s="557">
        <v>14.2</v>
      </c>
      <c r="F246" s="560"/>
    </row>
    <row r="247" spans="2:7" x14ac:dyDescent="0.2">
      <c r="B247" s="539" t="s">
        <v>751</v>
      </c>
      <c r="C247" s="548" t="s">
        <v>760</v>
      </c>
      <c r="D247" s="548" t="s">
        <v>752</v>
      </c>
      <c r="E247" s="557">
        <v>13.2</v>
      </c>
      <c r="F247" s="559"/>
    </row>
    <row r="248" spans="2:7" x14ac:dyDescent="0.2">
      <c r="B248" s="539" t="s">
        <v>751</v>
      </c>
      <c r="C248" s="548" t="s">
        <v>760</v>
      </c>
      <c r="D248" s="548" t="s">
        <v>755</v>
      </c>
      <c r="E248" s="557">
        <v>13.2</v>
      </c>
      <c r="F248" s="559"/>
    </row>
    <row r="249" spans="2:7" ht="15" thickBot="1" x14ac:dyDescent="0.25">
      <c r="B249" s="539" t="s">
        <v>751</v>
      </c>
      <c r="C249" s="549" t="s">
        <v>761</v>
      </c>
      <c r="D249" s="548" t="s">
        <v>752</v>
      </c>
      <c r="E249" s="557">
        <v>12.5</v>
      </c>
      <c r="F249" s="559"/>
    </row>
    <row r="250" spans="2:7" ht="15" thickBot="1" x14ac:dyDescent="0.25">
      <c r="B250" s="539" t="s">
        <v>751</v>
      </c>
      <c r="C250" s="549" t="s">
        <v>761</v>
      </c>
      <c r="D250" s="548" t="s">
        <v>755</v>
      </c>
      <c r="E250" s="557">
        <v>12.5</v>
      </c>
      <c r="F250" s="559"/>
    </row>
    <row r="251" spans="2:7" x14ac:dyDescent="0.2">
      <c r="B251" s="548" t="s">
        <v>754</v>
      </c>
      <c r="C251" s="548" t="s">
        <v>753</v>
      </c>
      <c r="D251" s="548" t="s">
        <v>752</v>
      </c>
      <c r="E251" s="557">
        <v>13.4</v>
      </c>
      <c r="F251" s="557">
        <f>6.7/3.412</f>
        <v>1.9636576787807738</v>
      </c>
      <c r="G251" s="1" t="s">
        <v>767</v>
      </c>
    </row>
    <row r="252" spans="2:7" x14ac:dyDescent="0.2">
      <c r="B252" s="548" t="s">
        <v>754</v>
      </c>
      <c r="C252" s="548" t="s">
        <v>753</v>
      </c>
      <c r="D252" s="548" t="s">
        <v>755</v>
      </c>
      <c r="E252" s="557">
        <v>14.3</v>
      </c>
      <c r="F252" s="580">
        <f>7.5/3.412</f>
        <v>2.1981242672919108</v>
      </c>
      <c r="G252" s="1" t="s">
        <v>767</v>
      </c>
    </row>
    <row r="253" spans="2:7" x14ac:dyDescent="0.2">
      <c r="B253" s="548" t="s">
        <v>754</v>
      </c>
      <c r="C253" s="548" t="s">
        <v>756</v>
      </c>
      <c r="D253" s="548" t="s">
        <v>752</v>
      </c>
      <c r="E253" s="557">
        <v>14.1</v>
      </c>
      <c r="F253" s="557">
        <v>3.4</v>
      </c>
    </row>
    <row r="254" spans="2:7" x14ac:dyDescent="0.2">
      <c r="B254" s="548" t="s">
        <v>754</v>
      </c>
      <c r="C254" s="548" t="s">
        <v>756</v>
      </c>
      <c r="D254" s="548" t="s">
        <v>755</v>
      </c>
      <c r="E254" s="557">
        <v>14.1</v>
      </c>
      <c r="F254" s="543">
        <v>3.4</v>
      </c>
    </row>
    <row r="255" spans="2:7" x14ac:dyDescent="0.2">
      <c r="B255" s="548" t="s">
        <v>754</v>
      </c>
      <c r="C255" s="548" t="s">
        <v>758</v>
      </c>
      <c r="D255" s="548" t="s">
        <v>752</v>
      </c>
      <c r="E255" s="557">
        <v>13.5</v>
      </c>
      <c r="F255" s="557">
        <v>3.3</v>
      </c>
    </row>
    <row r="256" spans="2:7" x14ac:dyDescent="0.2">
      <c r="B256" s="548" t="s">
        <v>754</v>
      </c>
      <c r="C256" s="548" t="s">
        <v>758</v>
      </c>
      <c r="D256" s="548" t="s">
        <v>755</v>
      </c>
      <c r="E256" s="557">
        <v>13.5</v>
      </c>
      <c r="F256" s="557">
        <v>3.3</v>
      </c>
    </row>
    <row r="257" spans="2:6" x14ac:dyDescent="0.2">
      <c r="B257" s="548" t="s">
        <v>754</v>
      </c>
      <c r="C257" s="548" t="s">
        <v>760</v>
      </c>
      <c r="D257" s="548" t="s">
        <v>752</v>
      </c>
      <c r="E257" s="557">
        <v>12.5</v>
      </c>
      <c r="F257" s="557">
        <v>3.2</v>
      </c>
    </row>
    <row r="258" spans="2:6" x14ac:dyDescent="0.2">
      <c r="B258" s="548" t="s">
        <v>754</v>
      </c>
      <c r="C258" s="548" t="s">
        <v>760</v>
      </c>
      <c r="D258" s="548" t="s">
        <v>755</v>
      </c>
      <c r="E258" s="557">
        <v>12.5</v>
      </c>
      <c r="F258" s="557">
        <v>3.2</v>
      </c>
    </row>
    <row r="259" spans="2:6" ht="15" thickBot="1" x14ac:dyDescent="0.25">
      <c r="B259" s="548" t="s">
        <v>754</v>
      </c>
      <c r="C259" s="549" t="s">
        <v>761</v>
      </c>
      <c r="D259" s="548" t="s">
        <v>752</v>
      </c>
      <c r="E259" s="558"/>
      <c r="F259" s="558"/>
    </row>
    <row r="260" spans="2:6" ht="15" thickBot="1" x14ac:dyDescent="0.25">
      <c r="B260" s="548" t="s">
        <v>754</v>
      </c>
      <c r="C260" s="549" t="s">
        <v>761</v>
      </c>
      <c r="D260" s="548" t="s">
        <v>755</v>
      </c>
      <c r="E260" s="558"/>
      <c r="F260" s="558"/>
    </row>
    <row r="261" spans="2:6" x14ac:dyDescent="0.2">
      <c r="B261" s="548" t="s">
        <v>757</v>
      </c>
      <c r="C261" s="548" t="s">
        <v>753</v>
      </c>
      <c r="D261" s="548" t="s">
        <v>752</v>
      </c>
      <c r="E261" s="557">
        <v>12.3</v>
      </c>
      <c r="F261" s="558"/>
    </row>
    <row r="262" spans="2:6" x14ac:dyDescent="0.2">
      <c r="B262" s="548" t="s">
        <v>757</v>
      </c>
      <c r="C262" s="548" t="s">
        <v>753</v>
      </c>
      <c r="D262" s="548" t="s">
        <v>755</v>
      </c>
      <c r="E262" s="557">
        <v>12.3</v>
      </c>
      <c r="F262" s="558"/>
    </row>
    <row r="263" spans="2:6" x14ac:dyDescent="0.2">
      <c r="B263" s="548" t="s">
        <v>757</v>
      </c>
      <c r="C263" s="548" t="s">
        <v>756</v>
      </c>
      <c r="D263" s="548" t="s">
        <v>752</v>
      </c>
      <c r="E263" s="557">
        <v>13.9</v>
      </c>
      <c r="F263" s="558"/>
    </row>
    <row r="264" spans="2:6" x14ac:dyDescent="0.2">
      <c r="B264" s="548" t="s">
        <v>757</v>
      </c>
      <c r="C264" s="548" t="s">
        <v>756</v>
      </c>
      <c r="D264" s="548" t="s">
        <v>755</v>
      </c>
      <c r="E264" s="557">
        <v>13.9</v>
      </c>
      <c r="F264" s="558"/>
    </row>
    <row r="265" spans="2:6" x14ac:dyDescent="0.2">
      <c r="B265" s="548" t="s">
        <v>757</v>
      </c>
      <c r="C265" s="548" t="s">
        <v>758</v>
      </c>
      <c r="D265" s="548" t="s">
        <v>752</v>
      </c>
      <c r="E265" s="557">
        <v>13.9</v>
      </c>
      <c r="F265" s="558"/>
    </row>
    <row r="266" spans="2:6" x14ac:dyDescent="0.2">
      <c r="B266" s="548" t="s">
        <v>757</v>
      </c>
      <c r="C266" s="548" t="s">
        <v>758</v>
      </c>
      <c r="D266" s="548" t="s">
        <v>755</v>
      </c>
      <c r="E266" s="557">
        <v>13.9</v>
      </c>
      <c r="F266" s="558"/>
    </row>
    <row r="267" spans="2:6" x14ac:dyDescent="0.2">
      <c r="B267" s="548" t="s">
        <v>757</v>
      </c>
      <c r="C267" s="548" t="s">
        <v>760</v>
      </c>
      <c r="D267" s="548" t="s">
        <v>752</v>
      </c>
      <c r="E267" s="557">
        <v>13.6</v>
      </c>
      <c r="F267" s="558"/>
    </row>
    <row r="268" spans="2:6" x14ac:dyDescent="0.2">
      <c r="B268" s="548" t="s">
        <v>757</v>
      </c>
      <c r="C268" s="548" t="s">
        <v>760</v>
      </c>
      <c r="D268" s="548" t="s">
        <v>755</v>
      </c>
      <c r="E268" s="557">
        <v>13.6</v>
      </c>
      <c r="F268" s="558"/>
    </row>
    <row r="269" spans="2:6" ht="15" thickBot="1" x14ac:dyDescent="0.25">
      <c r="B269" s="548" t="s">
        <v>757</v>
      </c>
      <c r="C269" s="549" t="s">
        <v>761</v>
      </c>
      <c r="D269" s="548" t="s">
        <v>752</v>
      </c>
      <c r="E269" s="557">
        <v>13.5</v>
      </c>
      <c r="F269" s="558"/>
    </row>
    <row r="270" spans="2:6" ht="15" thickBot="1" x14ac:dyDescent="0.25">
      <c r="B270" s="548" t="s">
        <v>757</v>
      </c>
      <c r="C270" s="549" t="s">
        <v>761</v>
      </c>
      <c r="D270" s="548" t="s">
        <v>755</v>
      </c>
      <c r="E270" s="557">
        <v>13.5</v>
      </c>
      <c r="F270" s="558"/>
    </row>
    <row r="271" spans="2:6" x14ac:dyDescent="0.2">
      <c r="B271" s="548" t="s">
        <v>759</v>
      </c>
      <c r="C271" s="548" t="s">
        <v>753</v>
      </c>
      <c r="D271" s="548" t="s">
        <v>752</v>
      </c>
      <c r="E271" s="557">
        <v>12.3</v>
      </c>
      <c r="F271" s="558"/>
    </row>
    <row r="272" spans="2:6" x14ac:dyDescent="0.2">
      <c r="B272" s="548" t="s">
        <v>759</v>
      </c>
      <c r="C272" s="548" t="s">
        <v>753</v>
      </c>
      <c r="D272" s="548" t="s">
        <v>755</v>
      </c>
      <c r="E272" s="557">
        <v>12.3</v>
      </c>
      <c r="F272" s="558"/>
    </row>
    <row r="273" spans="2:9" x14ac:dyDescent="0.2">
      <c r="B273" s="548" t="s">
        <v>759</v>
      </c>
      <c r="C273" s="548" t="s">
        <v>756</v>
      </c>
      <c r="D273" s="548" t="s">
        <v>752</v>
      </c>
      <c r="E273" s="557">
        <v>12.3</v>
      </c>
      <c r="F273" s="558"/>
    </row>
    <row r="274" spans="2:9" x14ac:dyDescent="0.2">
      <c r="B274" s="548" t="s">
        <v>759</v>
      </c>
      <c r="C274" s="548" t="s">
        <v>756</v>
      </c>
      <c r="D274" s="548" t="s">
        <v>755</v>
      </c>
      <c r="E274" s="557">
        <v>12.3</v>
      </c>
      <c r="F274" s="558"/>
    </row>
    <row r="275" spans="2:9" x14ac:dyDescent="0.2">
      <c r="B275" s="548" t="s">
        <v>759</v>
      </c>
      <c r="C275" s="548" t="s">
        <v>758</v>
      </c>
      <c r="D275" s="548" t="s">
        <v>752</v>
      </c>
      <c r="E275" s="557">
        <v>12.2</v>
      </c>
      <c r="F275" s="558"/>
    </row>
    <row r="276" spans="2:9" x14ac:dyDescent="0.2">
      <c r="B276" s="548" t="s">
        <v>759</v>
      </c>
      <c r="C276" s="548" t="s">
        <v>758</v>
      </c>
      <c r="D276" s="548" t="s">
        <v>755</v>
      </c>
      <c r="E276" s="557">
        <v>12.2</v>
      </c>
      <c r="F276" s="558"/>
    </row>
    <row r="277" spans="2:9" x14ac:dyDescent="0.2">
      <c r="B277" s="548" t="s">
        <v>759</v>
      </c>
      <c r="C277" s="548" t="s">
        <v>760</v>
      </c>
      <c r="D277" s="548" t="s">
        <v>752</v>
      </c>
      <c r="E277" s="557">
        <v>12.1</v>
      </c>
      <c r="F277" s="558"/>
    </row>
    <row r="278" spans="2:9" x14ac:dyDescent="0.2">
      <c r="B278" s="548" t="s">
        <v>759</v>
      </c>
      <c r="C278" s="548" t="s">
        <v>760</v>
      </c>
      <c r="D278" s="548" t="s">
        <v>755</v>
      </c>
      <c r="E278" s="557">
        <v>12.1</v>
      </c>
      <c r="F278" s="558"/>
    </row>
    <row r="279" spans="2:9" ht="15" thickBot="1" x14ac:dyDescent="0.25">
      <c r="B279" s="548" t="s">
        <v>759</v>
      </c>
      <c r="C279" s="549" t="s">
        <v>761</v>
      </c>
      <c r="D279" s="548" t="s">
        <v>752</v>
      </c>
      <c r="E279" s="557">
        <v>11.9</v>
      </c>
      <c r="F279" s="558"/>
    </row>
    <row r="280" spans="2:9" ht="15" thickBot="1" x14ac:dyDescent="0.25">
      <c r="B280" s="548" t="s">
        <v>759</v>
      </c>
      <c r="C280" s="549" t="s">
        <v>761</v>
      </c>
      <c r="D280" s="548" t="s">
        <v>755</v>
      </c>
      <c r="E280" s="557">
        <v>11.9</v>
      </c>
      <c r="F280" s="558"/>
    </row>
    <row r="285" spans="2:9" ht="15" thickBot="1" x14ac:dyDescent="0.25">
      <c r="H285" s="1" t="s">
        <v>768</v>
      </c>
      <c r="I285" s="1" t="s">
        <v>769</v>
      </c>
    </row>
    <row r="286" spans="2:9" ht="18.75" thickBot="1" x14ac:dyDescent="0.3">
      <c r="B286" s="917" t="s">
        <v>770</v>
      </c>
      <c r="C286" s="918"/>
      <c r="D286" s="919"/>
    </row>
    <row r="287" spans="2:9" x14ac:dyDescent="0.2">
      <c r="B287" s="475" t="s">
        <v>575</v>
      </c>
      <c r="C287" s="410" t="s">
        <v>636</v>
      </c>
      <c r="D287" s="407" t="s">
        <v>635</v>
      </c>
    </row>
    <row r="288" spans="2:9" x14ac:dyDescent="0.2">
      <c r="B288" s="476" t="s">
        <v>400</v>
      </c>
      <c r="C288" s="411">
        <v>92.7</v>
      </c>
      <c r="D288" s="408">
        <v>1.0999999999999999E-2</v>
      </c>
    </row>
    <row r="289" spans="2:7" ht="15" thickBot="1" x14ac:dyDescent="0.25">
      <c r="B289" s="401" t="s">
        <v>405</v>
      </c>
      <c r="C289" s="412">
        <v>674.9</v>
      </c>
      <c r="D289" s="402">
        <v>7.6999999999999999E-2</v>
      </c>
    </row>
    <row r="291" spans="2:7" ht="15" thickBot="1" x14ac:dyDescent="0.25"/>
    <row r="292" spans="2:7" ht="15" x14ac:dyDescent="0.2">
      <c r="B292" s="567" t="s">
        <v>771</v>
      </c>
      <c r="C292" s="567" t="s">
        <v>772</v>
      </c>
      <c r="D292" s="567" t="s">
        <v>773</v>
      </c>
      <c r="E292" s="567" t="s">
        <v>774</v>
      </c>
    </row>
    <row r="293" spans="2:7" x14ac:dyDescent="0.2">
      <c r="B293" s="568" t="s">
        <v>775</v>
      </c>
      <c r="C293" s="568" t="s">
        <v>776</v>
      </c>
      <c r="D293" s="568" t="s">
        <v>777</v>
      </c>
      <c r="E293" s="568" t="s">
        <v>778</v>
      </c>
    </row>
    <row r="294" spans="2:7" ht="15" thickBot="1" x14ac:dyDescent="0.25">
      <c r="B294" s="519" t="s">
        <v>779</v>
      </c>
      <c r="C294" s="519" t="s">
        <v>780</v>
      </c>
      <c r="D294" s="519" t="s">
        <v>781</v>
      </c>
      <c r="E294" s="568" t="s">
        <v>782</v>
      </c>
    </row>
    <row r="295" spans="2:7" ht="15" thickBot="1" x14ac:dyDescent="0.25">
      <c r="E295" s="519" t="s">
        <v>783</v>
      </c>
    </row>
    <row r="297" spans="2:7" ht="15" thickBot="1" x14ac:dyDescent="0.25"/>
    <row r="298" spans="2:7" ht="18.75" thickBot="1" x14ac:dyDescent="0.3">
      <c r="B298" s="569" t="s">
        <v>784</v>
      </c>
      <c r="C298" s="570"/>
      <c r="D298" s="570"/>
      <c r="E298" s="570"/>
      <c r="F298" s="570"/>
      <c r="G298" s="574"/>
    </row>
    <row r="299" spans="2:7" ht="15" x14ac:dyDescent="0.2">
      <c r="B299" s="571" t="s">
        <v>771</v>
      </c>
      <c r="C299" s="572" t="s">
        <v>772</v>
      </c>
      <c r="D299" s="572" t="s">
        <v>773</v>
      </c>
      <c r="E299" s="572" t="s">
        <v>774</v>
      </c>
      <c r="F299" s="572" t="s">
        <v>785</v>
      </c>
      <c r="G299" s="573" t="s">
        <v>786</v>
      </c>
    </row>
    <row r="300" spans="2:7" x14ac:dyDescent="0.2">
      <c r="B300" s="568" t="s">
        <v>775</v>
      </c>
      <c r="C300" s="568" t="s">
        <v>776</v>
      </c>
      <c r="D300" s="568" t="s">
        <v>777</v>
      </c>
      <c r="E300" s="568" t="s">
        <v>778</v>
      </c>
      <c r="F300" s="575">
        <v>0.64</v>
      </c>
      <c r="G300" s="576">
        <v>4.07</v>
      </c>
    </row>
    <row r="301" spans="2:7" x14ac:dyDescent="0.2">
      <c r="B301" s="568" t="s">
        <v>775</v>
      </c>
      <c r="C301" s="568" t="s">
        <v>776</v>
      </c>
      <c r="D301" s="568" t="s">
        <v>777</v>
      </c>
      <c r="E301" s="568" t="s">
        <v>782</v>
      </c>
      <c r="F301" s="575">
        <v>2.2000000000000002</v>
      </c>
      <c r="G301" s="576">
        <v>6.85</v>
      </c>
    </row>
    <row r="302" spans="2:7" ht="15" thickBot="1" x14ac:dyDescent="0.25">
      <c r="B302" s="568" t="s">
        <v>775</v>
      </c>
      <c r="C302" s="568" t="s">
        <v>776</v>
      </c>
      <c r="D302" s="568" t="s">
        <v>777</v>
      </c>
      <c r="E302" s="519" t="s">
        <v>783</v>
      </c>
      <c r="F302" s="575">
        <v>2.79</v>
      </c>
      <c r="G302" s="576">
        <v>8.6999999999999993</v>
      </c>
    </row>
    <row r="303" spans="2:7" ht="15" thickBot="1" x14ac:dyDescent="0.25">
      <c r="B303" s="568" t="s">
        <v>775</v>
      </c>
      <c r="C303" s="568" t="s">
        <v>776</v>
      </c>
      <c r="D303" s="519" t="s">
        <v>781</v>
      </c>
      <c r="E303" s="568" t="s">
        <v>778</v>
      </c>
      <c r="F303" s="575">
        <v>1.69</v>
      </c>
      <c r="G303" s="576">
        <v>4.71</v>
      </c>
    </row>
    <row r="304" spans="2:7" ht="15" thickBot="1" x14ac:dyDescent="0.25">
      <c r="B304" s="568" t="s">
        <v>775</v>
      </c>
      <c r="C304" s="568" t="s">
        <v>776</v>
      </c>
      <c r="D304" s="519" t="s">
        <v>781</v>
      </c>
      <c r="E304" s="568" t="s">
        <v>782</v>
      </c>
      <c r="F304" s="575">
        <v>4.25</v>
      </c>
      <c r="G304" s="576">
        <v>11.82</v>
      </c>
    </row>
    <row r="305" spans="2:7" ht="15" thickBot="1" x14ac:dyDescent="0.25">
      <c r="B305" s="568" t="s">
        <v>775</v>
      </c>
      <c r="C305" s="568" t="s">
        <v>776</v>
      </c>
      <c r="D305" s="519" t="s">
        <v>781</v>
      </c>
      <c r="E305" s="519" t="s">
        <v>783</v>
      </c>
      <c r="F305" s="575">
        <v>5.4</v>
      </c>
      <c r="G305" s="576">
        <v>15.02</v>
      </c>
    </row>
    <row r="306" spans="2:7" ht="15" thickBot="1" x14ac:dyDescent="0.25">
      <c r="B306" s="568" t="s">
        <v>775</v>
      </c>
      <c r="C306" s="519" t="s">
        <v>780</v>
      </c>
      <c r="D306" s="568" t="s">
        <v>777</v>
      </c>
      <c r="E306" s="568" t="s">
        <v>778</v>
      </c>
      <c r="F306" s="575">
        <v>0.35</v>
      </c>
      <c r="G306" s="576">
        <v>2.88</v>
      </c>
    </row>
    <row r="307" spans="2:7" ht="15" thickBot="1" x14ac:dyDescent="0.25">
      <c r="B307" s="568" t="s">
        <v>775</v>
      </c>
      <c r="C307" s="519" t="s">
        <v>780</v>
      </c>
      <c r="D307" s="568" t="s">
        <v>777</v>
      </c>
      <c r="E307" s="568" t="s">
        <v>782</v>
      </c>
      <c r="F307" s="575">
        <v>0.55000000000000004</v>
      </c>
      <c r="G307" s="576">
        <v>6.88</v>
      </c>
    </row>
    <row r="308" spans="2:7" ht="15" thickBot="1" x14ac:dyDescent="0.25">
      <c r="B308" s="568" t="s">
        <v>775</v>
      </c>
      <c r="C308" s="519" t="s">
        <v>780</v>
      </c>
      <c r="D308" s="568" t="s">
        <v>777</v>
      </c>
      <c r="E308" s="519" t="s">
        <v>783</v>
      </c>
      <c r="F308" s="575">
        <v>0.7</v>
      </c>
      <c r="G308" s="576">
        <v>8.74</v>
      </c>
    </row>
    <row r="309" spans="2:7" ht="15" thickBot="1" x14ac:dyDescent="0.25">
      <c r="B309" s="568" t="s">
        <v>775</v>
      </c>
      <c r="C309" s="519" t="s">
        <v>780</v>
      </c>
      <c r="D309" s="519" t="s">
        <v>781</v>
      </c>
      <c r="E309" s="568" t="s">
        <v>778</v>
      </c>
      <c r="F309" s="575">
        <v>0.72</v>
      </c>
      <c r="G309" s="576">
        <v>5.55</v>
      </c>
    </row>
    <row r="310" spans="2:7" ht="15" thickBot="1" x14ac:dyDescent="0.25">
      <c r="B310" s="568" t="s">
        <v>775</v>
      </c>
      <c r="C310" s="519" t="s">
        <v>780</v>
      </c>
      <c r="D310" s="519" t="s">
        <v>781</v>
      </c>
      <c r="E310" s="568" t="s">
        <v>782</v>
      </c>
      <c r="F310" s="575">
        <v>1.9</v>
      </c>
      <c r="G310" s="576">
        <v>7.08</v>
      </c>
    </row>
    <row r="311" spans="2:7" ht="15" thickBot="1" x14ac:dyDescent="0.25">
      <c r="B311" s="568" t="s">
        <v>775</v>
      </c>
      <c r="C311" s="519" t="s">
        <v>780</v>
      </c>
      <c r="D311" s="519" t="s">
        <v>781</v>
      </c>
      <c r="E311" s="519" t="s">
        <v>783</v>
      </c>
      <c r="F311" s="575">
        <v>2.42</v>
      </c>
      <c r="G311" s="576">
        <v>9</v>
      </c>
    </row>
    <row r="312" spans="2:7" ht="15" thickBot="1" x14ac:dyDescent="0.25">
      <c r="B312" s="519" t="s">
        <v>779</v>
      </c>
      <c r="C312" s="568" t="s">
        <v>776</v>
      </c>
      <c r="D312" s="568" t="s">
        <v>777</v>
      </c>
      <c r="E312" s="568" t="s">
        <v>778</v>
      </c>
      <c r="F312" s="575">
        <v>0.82</v>
      </c>
      <c r="G312" s="576">
        <v>4.07</v>
      </c>
    </row>
    <row r="313" spans="2:7" ht="15" thickBot="1" x14ac:dyDescent="0.25">
      <c r="B313" s="519" t="s">
        <v>779</v>
      </c>
      <c r="C313" s="568" t="s">
        <v>776</v>
      </c>
      <c r="D313" s="568" t="s">
        <v>777</v>
      </c>
      <c r="E313" s="568" t="s">
        <v>782</v>
      </c>
      <c r="F313" s="575">
        <v>2.27</v>
      </c>
      <c r="G313" s="576">
        <v>6.85</v>
      </c>
    </row>
    <row r="314" spans="2:7" ht="15" thickBot="1" x14ac:dyDescent="0.25">
      <c r="B314" s="519" t="s">
        <v>779</v>
      </c>
      <c r="C314" s="568" t="s">
        <v>776</v>
      </c>
      <c r="D314" s="568" t="s">
        <v>777</v>
      </c>
      <c r="E314" s="519" t="s">
        <v>783</v>
      </c>
      <c r="F314" s="575">
        <v>2.89</v>
      </c>
      <c r="G314" s="576">
        <v>8.6999999999999993</v>
      </c>
    </row>
    <row r="315" spans="2:7" ht="15" thickBot="1" x14ac:dyDescent="0.25">
      <c r="B315" s="519" t="s">
        <v>779</v>
      </c>
      <c r="C315" s="568" t="s">
        <v>776</v>
      </c>
      <c r="D315" s="519" t="s">
        <v>781</v>
      </c>
      <c r="E315" s="568" t="s">
        <v>778</v>
      </c>
      <c r="F315" s="575">
        <v>1.74</v>
      </c>
      <c r="G315" s="576">
        <v>4.71</v>
      </c>
    </row>
    <row r="316" spans="2:7" ht="15" thickBot="1" x14ac:dyDescent="0.25">
      <c r="B316" s="519" t="s">
        <v>779</v>
      </c>
      <c r="C316" s="568" t="s">
        <v>776</v>
      </c>
      <c r="D316" s="519" t="s">
        <v>781</v>
      </c>
      <c r="E316" s="568" t="s">
        <v>782</v>
      </c>
      <c r="F316" s="575">
        <v>4.37</v>
      </c>
      <c r="G316" s="576">
        <v>11.82</v>
      </c>
    </row>
    <row r="317" spans="2:7" ht="15" thickBot="1" x14ac:dyDescent="0.25">
      <c r="B317" s="519" t="s">
        <v>779</v>
      </c>
      <c r="C317" s="568" t="s">
        <v>776</v>
      </c>
      <c r="D317" s="519" t="s">
        <v>781</v>
      </c>
      <c r="E317" s="519" t="s">
        <v>783</v>
      </c>
      <c r="F317" s="577">
        <v>5.55</v>
      </c>
      <c r="G317" s="578">
        <v>15.02</v>
      </c>
    </row>
    <row r="318" spans="2:7" ht="15" thickBot="1" x14ac:dyDescent="0.25">
      <c r="B318" s="519" t="s">
        <v>779</v>
      </c>
      <c r="C318" s="519" t="s">
        <v>780</v>
      </c>
      <c r="D318" s="568" t="s">
        <v>777</v>
      </c>
      <c r="E318" s="568" t="s">
        <v>778</v>
      </c>
      <c r="F318" s="575">
        <v>0.35</v>
      </c>
      <c r="G318" s="576">
        <v>2.88</v>
      </c>
    </row>
    <row r="319" spans="2:7" ht="15" thickBot="1" x14ac:dyDescent="0.25">
      <c r="B319" s="519" t="s">
        <v>779</v>
      </c>
      <c r="C319" s="519" t="s">
        <v>780</v>
      </c>
      <c r="D319" s="568" t="s">
        <v>777</v>
      </c>
      <c r="E319" s="568" t="s">
        <v>782</v>
      </c>
      <c r="F319" s="575">
        <v>0.56999999999999995</v>
      </c>
      <c r="G319" s="576">
        <v>6.88</v>
      </c>
    </row>
    <row r="320" spans="2:7" ht="15" thickBot="1" x14ac:dyDescent="0.25">
      <c r="B320" s="519" t="s">
        <v>779</v>
      </c>
      <c r="C320" s="519" t="s">
        <v>780</v>
      </c>
      <c r="D320" s="568" t="s">
        <v>777</v>
      </c>
      <c r="E320" s="519" t="s">
        <v>783</v>
      </c>
      <c r="F320" s="575">
        <v>0.72</v>
      </c>
      <c r="G320" s="576">
        <v>8.74</v>
      </c>
    </row>
    <row r="321" spans="2:7" ht="15" thickBot="1" x14ac:dyDescent="0.25">
      <c r="B321" s="519" t="s">
        <v>779</v>
      </c>
      <c r="C321" s="519" t="s">
        <v>780</v>
      </c>
      <c r="D321" s="519" t="s">
        <v>781</v>
      </c>
      <c r="E321" s="568" t="s">
        <v>778</v>
      </c>
      <c r="F321" s="575">
        <v>0.77</v>
      </c>
      <c r="G321" s="576">
        <v>5.55</v>
      </c>
    </row>
    <row r="322" spans="2:7" ht="15" thickBot="1" x14ac:dyDescent="0.25">
      <c r="B322" s="519" t="s">
        <v>779</v>
      </c>
      <c r="C322" s="519" t="s">
        <v>780</v>
      </c>
      <c r="D322" s="519" t="s">
        <v>781</v>
      </c>
      <c r="E322" s="568" t="s">
        <v>782</v>
      </c>
      <c r="F322" s="575">
        <v>1.92</v>
      </c>
      <c r="G322" s="576">
        <v>7.08</v>
      </c>
    </row>
    <row r="323" spans="2:7" ht="15" thickBot="1" x14ac:dyDescent="0.25">
      <c r="B323" s="519" t="s">
        <v>779</v>
      </c>
      <c r="C323" s="519" t="s">
        <v>780</v>
      </c>
      <c r="D323" s="519" t="s">
        <v>781</v>
      </c>
      <c r="E323" s="519" t="s">
        <v>783</v>
      </c>
      <c r="F323" s="577">
        <v>2.44</v>
      </c>
      <c r="G323" s="578">
        <v>9</v>
      </c>
    </row>
    <row r="325" spans="2:7" ht="15" thickBot="1" x14ac:dyDescent="0.25">
      <c r="D325"/>
    </row>
    <row r="326" spans="2:7" ht="18.75" thickBot="1" x14ac:dyDescent="0.3">
      <c r="B326" s="914" t="s">
        <v>787</v>
      </c>
      <c r="C326" s="916"/>
    </row>
    <row r="327" spans="2:7" x14ac:dyDescent="0.2">
      <c r="B327" s="475" t="s">
        <v>788</v>
      </c>
      <c r="C327" s="407" t="s">
        <v>789</v>
      </c>
    </row>
    <row r="328" spans="2:7" x14ac:dyDescent="0.2">
      <c r="B328" s="476" t="s">
        <v>424</v>
      </c>
      <c r="C328" s="408">
        <v>0.45600000000000002</v>
      </c>
    </row>
    <row r="329" spans="2:7" x14ac:dyDescent="0.2">
      <c r="B329" s="476" t="s">
        <v>545</v>
      </c>
      <c r="C329" s="408">
        <v>0.58899999999999997</v>
      </c>
    </row>
    <row r="330" spans="2:7" ht="15" thickBot="1" x14ac:dyDescent="0.25">
      <c r="B330" s="401" t="s">
        <v>549</v>
      </c>
      <c r="C330" s="402">
        <v>0.42799999999999999</v>
      </c>
    </row>
    <row r="331" spans="2:7" ht="15" thickBot="1" x14ac:dyDescent="0.25"/>
    <row r="332" spans="2:7" ht="18.75" thickBot="1" x14ac:dyDescent="0.3">
      <c r="B332" s="914" t="s">
        <v>790</v>
      </c>
      <c r="C332" s="916"/>
    </row>
    <row r="333" spans="2:7" x14ac:dyDescent="0.2">
      <c r="B333" s="475" t="s">
        <v>286</v>
      </c>
      <c r="C333" s="407" t="s">
        <v>709</v>
      </c>
    </row>
    <row r="334" spans="2:7" x14ac:dyDescent="0.2">
      <c r="B334" s="476" t="s">
        <v>400</v>
      </c>
      <c r="C334" s="408">
        <v>1.26</v>
      </c>
    </row>
    <row r="335" spans="2:7" ht="15" thickBot="1" x14ac:dyDescent="0.25">
      <c r="B335" s="401" t="s">
        <v>405</v>
      </c>
      <c r="C335" s="402">
        <v>1.51</v>
      </c>
    </row>
    <row r="336" spans="2:7" ht="15" thickBot="1" x14ac:dyDescent="0.25"/>
    <row r="337" spans="2:5" ht="18.75" thickBot="1" x14ac:dyDescent="0.3">
      <c r="B337" s="914" t="s">
        <v>791</v>
      </c>
      <c r="C337" s="916"/>
    </row>
    <row r="338" spans="2:5" x14ac:dyDescent="0.2">
      <c r="B338" s="475" t="s">
        <v>286</v>
      </c>
      <c r="C338" s="407" t="s">
        <v>296</v>
      </c>
    </row>
    <row r="339" spans="2:5" x14ac:dyDescent="0.2">
      <c r="B339" s="476" t="s">
        <v>400</v>
      </c>
      <c r="C339" s="408">
        <v>3.42</v>
      </c>
    </row>
    <row r="340" spans="2:5" x14ac:dyDescent="0.2">
      <c r="B340" s="476" t="s">
        <v>405</v>
      </c>
      <c r="C340" s="408">
        <v>1</v>
      </c>
    </row>
    <row r="341" spans="2:5" ht="15" thickBot="1" x14ac:dyDescent="0.25">
      <c r="B341" s="401" t="s">
        <v>424</v>
      </c>
      <c r="C341" s="402">
        <v>2.74</v>
      </c>
    </row>
    <row r="342" spans="2:5" ht="15" thickBot="1" x14ac:dyDescent="0.25"/>
    <row r="343" spans="2:5" ht="18.75" thickBot="1" x14ac:dyDescent="0.3">
      <c r="B343" s="914" t="s">
        <v>792</v>
      </c>
      <c r="C343" s="915"/>
      <c r="D343" s="915"/>
      <c r="E343" s="916"/>
    </row>
    <row r="344" spans="2:5" x14ac:dyDescent="0.2">
      <c r="B344" s="475" t="s">
        <v>286</v>
      </c>
      <c r="C344" s="410" t="s">
        <v>793</v>
      </c>
      <c r="D344" s="410" t="s">
        <v>794</v>
      </c>
      <c r="E344" s="407" t="s">
        <v>296</v>
      </c>
    </row>
    <row r="345" spans="2:5" x14ac:dyDescent="0.2">
      <c r="B345" s="476" t="s">
        <v>400</v>
      </c>
      <c r="C345" s="411">
        <v>19.5</v>
      </c>
      <c r="D345" s="411">
        <v>12.4</v>
      </c>
      <c r="E345" s="408">
        <v>2.04</v>
      </c>
    </row>
    <row r="346" spans="2:5" ht="15" thickBot="1" x14ac:dyDescent="0.25">
      <c r="B346" s="401" t="s">
        <v>405</v>
      </c>
      <c r="C346" s="412">
        <v>71.2</v>
      </c>
      <c r="D346" s="412">
        <v>28.4</v>
      </c>
      <c r="E346" s="402">
        <v>1.25</v>
      </c>
    </row>
  </sheetData>
  <mergeCells count="50">
    <mergeCell ref="H237:L239"/>
    <mergeCell ref="B343:E343"/>
    <mergeCell ref="B332:C332"/>
    <mergeCell ref="B326:C326"/>
    <mergeCell ref="B337:C337"/>
    <mergeCell ref="B286:D286"/>
    <mergeCell ref="B127:D127"/>
    <mergeCell ref="B195:K195"/>
    <mergeCell ref="B212:K212"/>
    <mergeCell ref="B183:E183"/>
    <mergeCell ref="B189:C189"/>
    <mergeCell ref="B165:C165"/>
    <mergeCell ref="B153:B154"/>
    <mergeCell ref="C153:C154"/>
    <mergeCell ref="D153:F153"/>
    <mergeCell ref="B140:D140"/>
    <mergeCell ref="B152:D152"/>
    <mergeCell ref="B171:B172"/>
    <mergeCell ref="D171:E171"/>
    <mergeCell ref="F171:G171"/>
    <mergeCell ref="B170:G170"/>
    <mergeCell ref="C171:C172"/>
    <mergeCell ref="B95:D95"/>
    <mergeCell ref="F95:H95"/>
    <mergeCell ref="B61:C61"/>
    <mergeCell ref="B85:D85"/>
    <mergeCell ref="B113:D113"/>
    <mergeCell ref="B106:D106"/>
    <mergeCell ref="G96:H96"/>
    <mergeCell ref="F85:I85"/>
    <mergeCell ref="B72:H72"/>
    <mergeCell ref="I65:I66"/>
    <mergeCell ref="I64:M64"/>
    <mergeCell ref="H2:O2"/>
    <mergeCell ref="S2:AN2"/>
    <mergeCell ref="R38:T38"/>
    <mergeCell ref="G18:K18"/>
    <mergeCell ref="G19:I19"/>
    <mergeCell ref="L18:AA18"/>
    <mergeCell ref="N38:P38"/>
    <mergeCell ref="J38:L38"/>
    <mergeCell ref="F38:H38"/>
    <mergeCell ref="F45:H45"/>
    <mergeCell ref="J45:L45"/>
    <mergeCell ref="B52:C52"/>
    <mergeCell ref="I52:J52"/>
    <mergeCell ref="B17:Y17"/>
    <mergeCell ref="N45:P45"/>
    <mergeCell ref="B38:D38"/>
    <mergeCell ref="B45:D45"/>
  </mergeCells>
  <phoneticPr fontId="90" type="noConversion"/>
  <conditionalFormatting sqref="AR59 AR63">
    <cfRule type="expression" dxfId="26" priority="25">
      <formula>AND(#REF!&gt;0,#REF!=0)</formula>
    </cfRule>
    <cfRule type="expression" dxfId="25" priority="26">
      <formula>AND(LEN($C61&amp;#REF!&amp;$B61&amp;$J59)&gt;1,COUNTIFS($C$6:$C$10156,$C61,#REF!,#REF!,$B$6:$B$10156,$B61,$H$6:$H$10140,$J59)&gt;1)</formula>
    </cfRule>
  </conditionalFormatting>
  <conditionalFormatting sqref="AT2">
    <cfRule type="expression" dxfId="24" priority="17">
      <formula>AND(#REF!&gt;0,#REF!=0)</formula>
    </cfRule>
    <cfRule type="expression" dxfId="23" priority="18">
      <formula>AND(LEN($C2&amp;#REF!&amp;$B2&amp;$J2)&gt;1,COUNTIFS($C$6:$C$10156,$C2,#REF!,#REF!,$B$6:$B$10156,$B2,$H$6:$H$10140,$J2)&gt;1)</formula>
    </cfRule>
  </conditionalFormatting>
  <pageMargins left="0.7" right="0.7" top="0.75" bottom="0.75" header="0.3" footer="0.3"/>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4C94C-F7E5-434A-8A3D-AE49C7869CF6}">
  <dimension ref="A1"/>
  <sheetViews>
    <sheetView workbookViewId="0"/>
  </sheetViews>
  <sheetFormatPr defaultRowHeight="14.25" x14ac:dyDescent="0.2"/>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8" tint="0.59999389629810485"/>
  </sheetPr>
  <dimension ref="A1:AT65"/>
  <sheetViews>
    <sheetView zoomScaleNormal="100" workbookViewId="0">
      <selection activeCell="U8" sqref="U8"/>
    </sheetView>
  </sheetViews>
  <sheetFormatPr defaultColWidth="8.625" defaultRowHeight="14.25" x14ac:dyDescent="0.2"/>
  <cols>
    <col min="1" max="1" width="3.625" style="145" customWidth="1"/>
    <col min="2" max="2" width="6.125" style="145" customWidth="1"/>
    <col min="3" max="6" width="18" style="145" customWidth="1"/>
    <col min="7" max="7" width="16.625" style="145" customWidth="1"/>
    <col min="8" max="8" width="15.625" style="145" customWidth="1"/>
    <col min="9" max="9" width="21.125" style="145" customWidth="1"/>
    <col min="10" max="10" width="12.125" style="145" customWidth="1"/>
    <col min="11" max="11" width="11.125" style="145" customWidth="1"/>
    <col min="12" max="12" width="9.125" style="145" customWidth="1"/>
    <col min="13" max="13" width="8.625" style="145" customWidth="1"/>
    <col min="14" max="14" width="8.625" style="145" hidden="1" customWidth="1"/>
    <col min="15" max="15" width="9.625" style="145" hidden="1" customWidth="1"/>
    <col min="16" max="16" width="8.625" style="145" hidden="1" customWidth="1"/>
    <col min="17" max="17" width="12.625" style="145" hidden="1" customWidth="1"/>
    <col min="18" max="18" width="13.125" style="145" customWidth="1"/>
    <col min="19" max="20" width="11.5" style="145" bestFit="1" customWidth="1"/>
    <col min="21" max="21" width="11.5" style="145" customWidth="1"/>
    <col min="22" max="22" width="23.625" style="145" hidden="1" customWidth="1"/>
    <col min="23" max="23" width="11.125" style="145" customWidth="1"/>
    <col min="24" max="24" width="8.625" style="145" customWidth="1"/>
    <col min="25" max="16383" width="8.625" style="145"/>
    <col min="16384" max="16384" width="8.625" style="145" bestFit="1" customWidth="1"/>
  </cols>
  <sheetData>
    <row r="1" spans="1:46" x14ac:dyDescent="0.2">
      <c r="A1" s="144" t="s">
        <v>795</v>
      </c>
      <c r="N1" s="145" t="s">
        <v>207</v>
      </c>
      <c r="O1" s="145" t="s">
        <v>207</v>
      </c>
      <c r="P1" s="145" t="s">
        <v>207</v>
      </c>
      <c r="Q1" s="145" t="s">
        <v>207</v>
      </c>
    </row>
    <row r="2" spans="1:46" ht="9.75" customHeight="1" x14ac:dyDescent="0.2"/>
    <row r="3" spans="1:46" ht="34.5" customHeight="1" x14ac:dyDescent="0.5">
      <c r="B3" s="788" t="s">
        <v>23</v>
      </c>
      <c r="C3" s="784"/>
      <c r="D3" s="784"/>
      <c r="E3" s="784"/>
      <c r="F3" s="784"/>
      <c r="G3" s="784"/>
      <c r="H3" s="784"/>
      <c r="I3" s="785"/>
      <c r="J3" s="785"/>
      <c r="K3" s="785"/>
      <c r="L3" s="785"/>
      <c r="M3" s="785"/>
      <c r="N3" s="785"/>
      <c r="O3" s="785"/>
      <c r="Z3" s="380"/>
      <c r="AA3" s="381"/>
      <c r="AB3" s="381"/>
      <c r="AC3" s="381"/>
      <c r="AD3" s="381"/>
    </row>
    <row r="4" spans="1:46" ht="29.1" customHeight="1" x14ac:dyDescent="0.2">
      <c r="B4" s="923" t="s">
        <v>210</v>
      </c>
      <c r="C4" s="923"/>
      <c r="D4" s="923"/>
      <c r="E4" s="923"/>
      <c r="F4" s="923"/>
      <c r="G4" s="923"/>
      <c r="H4" s="923"/>
      <c r="I4" s="923"/>
      <c r="J4" s="923"/>
      <c r="K4" s="923"/>
      <c r="L4" s="923"/>
      <c r="M4" s="923"/>
      <c r="N4" s="923"/>
      <c r="O4" s="923"/>
      <c r="Z4" s="381"/>
      <c r="AA4" s="381"/>
      <c r="AB4" s="381"/>
      <c r="AC4" s="381"/>
      <c r="AD4" s="381"/>
    </row>
    <row r="5" spans="1:46" ht="9" customHeight="1" thickBot="1" x14ac:dyDescent="0.3">
      <c r="B5" s="148"/>
      <c r="C5" s="148"/>
      <c r="D5" s="148"/>
      <c r="E5" s="148"/>
      <c r="F5" s="148"/>
      <c r="G5" s="148"/>
      <c r="Z5" s="381"/>
      <c r="AA5" s="381"/>
      <c r="AB5" s="381"/>
      <c r="AC5" s="381"/>
      <c r="AD5" s="381"/>
    </row>
    <row r="6" spans="1:46" s="149" customFormat="1" ht="22.35" customHeight="1" x14ac:dyDescent="0.2">
      <c r="B6" s="926" t="s">
        <v>275</v>
      </c>
      <c r="C6" s="753" t="s">
        <v>796</v>
      </c>
      <c r="D6" s="754"/>
      <c r="E6" s="754"/>
      <c r="F6" s="754"/>
      <c r="G6" s="754"/>
      <c r="H6" s="754"/>
      <c r="I6" s="754"/>
      <c r="J6" s="754"/>
      <c r="K6" s="754"/>
      <c r="L6" s="754"/>
      <c r="M6" s="755"/>
      <c r="N6" s="920" t="s">
        <v>797</v>
      </c>
      <c r="O6" s="921"/>
      <c r="P6" s="921"/>
      <c r="Q6" s="921"/>
      <c r="R6" s="921"/>
      <c r="S6" s="921"/>
      <c r="T6" s="921"/>
      <c r="U6" s="922"/>
      <c r="V6" s="924" t="s">
        <v>219</v>
      </c>
      <c r="W6" s="926" t="s">
        <v>798</v>
      </c>
      <c r="Z6" s="381"/>
      <c r="AA6" s="381"/>
      <c r="AB6" s="381"/>
      <c r="AC6" s="381"/>
      <c r="AD6" s="381"/>
    </row>
    <row r="7" spans="1:46" s="150" customFormat="1" ht="59.25" customHeight="1" thickBot="1" x14ac:dyDescent="0.25">
      <c r="B7" s="928"/>
      <c r="C7" s="756" t="s">
        <v>799</v>
      </c>
      <c r="D7" s="757" t="s">
        <v>141</v>
      </c>
      <c r="E7" s="757" t="s">
        <v>143</v>
      </c>
      <c r="F7" s="758" t="s">
        <v>284</v>
      </c>
      <c r="G7" s="759" t="s">
        <v>145</v>
      </c>
      <c r="H7" s="759" t="s">
        <v>800</v>
      </c>
      <c r="I7" s="759" t="s">
        <v>801</v>
      </c>
      <c r="J7" s="759" t="s">
        <v>149</v>
      </c>
      <c r="K7" s="759" t="s">
        <v>151</v>
      </c>
      <c r="L7" s="759" t="s">
        <v>153</v>
      </c>
      <c r="M7" s="760" t="s">
        <v>155</v>
      </c>
      <c r="N7" s="761" t="s">
        <v>802</v>
      </c>
      <c r="O7" s="762" t="s">
        <v>803</v>
      </c>
      <c r="P7" s="762" t="s">
        <v>804</v>
      </c>
      <c r="Q7" s="762" t="s">
        <v>805</v>
      </c>
      <c r="R7" s="762" t="s">
        <v>192</v>
      </c>
      <c r="S7" s="763" t="s">
        <v>806</v>
      </c>
      <c r="T7" s="763" t="s">
        <v>807</v>
      </c>
      <c r="U7" s="764" t="s">
        <v>808</v>
      </c>
      <c r="V7" s="925"/>
      <c r="W7" s="927"/>
      <c r="Z7" s="381"/>
      <c r="AA7" s="381"/>
      <c r="AB7" s="381"/>
      <c r="AC7" s="381"/>
      <c r="AD7" s="381"/>
    </row>
    <row r="8" spans="1:46" s="149" customFormat="1" ht="29.25" customHeight="1" x14ac:dyDescent="0.2">
      <c r="B8" s="376">
        <v>1</v>
      </c>
      <c r="C8" s="166"/>
      <c r="D8" s="168"/>
      <c r="E8" s="168"/>
      <c r="F8" s="168"/>
      <c r="G8" s="168"/>
      <c r="H8" s="168"/>
      <c r="I8" s="168"/>
      <c r="J8" s="168"/>
      <c r="K8" s="168"/>
      <c r="L8" s="168"/>
      <c r="M8" s="169"/>
      <c r="N8" s="426">
        <f>'Look Up Tables'!K21</f>
        <v>0</v>
      </c>
      <c r="O8" s="193">
        <f>'Look Up Tables'!AA21</f>
        <v>0</v>
      </c>
      <c r="P8" s="193">
        <v>365</v>
      </c>
      <c r="Q8" s="319">
        <v>24</v>
      </c>
      <c r="R8" s="581" t="str">
        <f>IFERROR(IF(G8="Retrofit",ROUND(M8*(N8-O8)*P8,2),""),"")</f>
        <v/>
      </c>
      <c r="S8" s="496" t="str">
        <f>IFERROR(IF(G8="Retrofit",ROUND(M8*((N8-O8)/Q8),4),""),"")</f>
        <v/>
      </c>
      <c r="T8" s="496" t="str">
        <f>IFERROR(IF(G8="Retrofit",ROUND(M8*((N8-O8)/Q8),4),""),"")</f>
        <v/>
      </c>
      <c r="U8" s="503" t="str">
        <f t="shared" ref="U8" si="0">IFERROR(ROUND((S8+T8)/2,4),"")</f>
        <v/>
      </c>
      <c r="V8" s="457" t="str">
        <f>IFERROR(R8*Incentives!$C$4+U8*Incentives!$C$5,"")</f>
        <v/>
      </c>
      <c r="W8" s="413" t="str">
        <f>IFERROR(V8*'Project Summary'!$H$37/'Project Summary'!$G$37,"")</f>
        <v/>
      </c>
      <c r="X8" s="150"/>
      <c r="Y8" s="150"/>
      <c r="Z8" s="381"/>
      <c r="AA8" s="381"/>
      <c r="AB8" s="381"/>
      <c r="AC8" s="381"/>
      <c r="AD8" s="381"/>
      <c r="AE8" s="150"/>
      <c r="AF8" s="150"/>
      <c r="AG8" s="150"/>
      <c r="AH8" s="150"/>
      <c r="AI8" s="150"/>
      <c r="AJ8" s="150"/>
      <c r="AK8" s="150"/>
      <c r="AL8" s="150"/>
      <c r="AM8" s="150"/>
      <c r="AN8" s="150"/>
      <c r="AO8" s="150"/>
      <c r="AP8" s="150"/>
      <c r="AQ8" s="150"/>
      <c r="AR8" s="150"/>
      <c r="AS8" s="150"/>
      <c r="AT8" s="150"/>
    </row>
    <row r="9" spans="1:46" s="149" customFormat="1" ht="29.25" customHeight="1" x14ac:dyDescent="0.2">
      <c r="B9" s="327">
        <v>2</v>
      </c>
      <c r="C9" s="170"/>
      <c r="D9" s="171"/>
      <c r="E9" s="171"/>
      <c r="F9" s="171"/>
      <c r="G9" s="171"/>
      <c r="H9" s="171"/>
      <c r="I9" s="171"/>
      <c r="J9" s="171"/>
      <c r="K9" s="171"/>
      <c r="L9" s="171"/>
      <c r="M9" s="172"/>
      <c r="N9" s="427">
        <f>'Look Up Tables'!K22</f>
        <v>0</v>
      </c>
      <c r="O9" s="156">
        <f>'Look Up Tables'!AA22</f>
        <v>0</v>
      </c>
      <c r="P9" s="156">
        <v>365</v>
      </c>
      <c r="Q9" s="322">
        <v>24</v>
      </c>
      <c r="R9" s="582" t="str">
        <f t="shared" ref="R9:R17" si="1">IFERROR(IF(G9="Retrofit",ROUND(M9*(N9-O9)*P9,2),""),"")</f>
        <v/>
      </c>
      <c r="S9" s="498" t="str">
        <f t="shared" ref="S9:S17" si="2">IFERROR(IF(G9="Retrofit",ROUND(M9*((N9-O9)/Q9),4),""),"")</f>
        <v/>
      </c>
      <c r="T9" s="498" t="str">
        <f t="shared" ref="T9:T17" si="3">IFERROR(IF(G9="Retrofit",ROUND(M9*((N9-O9)/Q9),4),""),"")</f>
        <v/>
      </c>
      <c r="U9" s="504" t="str">
        <f t="shared" ref="U9:U17" si="4">IFERROR(ROUND((S9+T9)/2,4),"")</f>
        <v/>
      </c>
      <c r="V9" s="731" t="str">
        <f>IFERROR(R9*Incentives!$C$4+U9*Incentives!$C$5,"")</f>
        <v/>
      </c>
      <c r="W9" s="414" t="str">
        <f>IFERROR(V9*'Project Summary'!$H$37/'Project Summary'!$G$37,"")</f>
        <v/>
      </c>
      <c r="X9" s="150"/>
      <c r="Y9" s="150"/>
      <c r="Z9" s="381"/>
      <c r="AA9" s="381"/>
      <c r="AB9" s="381"/>
      <c r="AC9" s="381"/>
      <c r="AD9" s="381"/>
      <c r="AE9" s="150"/>
      <c r="AF9" s="150"/>
      <c r="AG9" s="150"/>
      <c r="AH9" s="150"/>
      <c r="AI9" s="150"/>
      <c r="AJ9" s="150"/>
      <c r="AK9" s="150"/>
      <c r="AL9" s="150"/>
      <c r="AM9" s="150"/>
      <c r="AN9" s="150"/>
      <c r="AO9" s="150"/>
      <c r="AP9" s="150"/>
      <c r="AQ9" s="150"/>
      <c r="AR9" s="150"/>
      <c r="AS9" s="150"/>
      <c r="AT9" s="150"/>
    </row>
    <row r="10" spans="1:46" s="149" customFormat="1" ht="29.25" customHeight="1" x14ac:dyDescent="0.2">
      <c r="B10" s="327">
        <v>3</v>
      </c>
      <c r="C10" s="170"/>
      <c r="D10" s="171"/>
      <c r="E10" s="171"/>
      <c r="F10" s="171"/>
      <c r="G10" s="171"/>
      <c r="H10" s="171"/>
      <c r="I10" s="171"/>
      <c r="J10" s="171"/>
      <c r="K10" s="171"/>
      <c r="L10" s="171"/>
      <c r="M10" s="172"/>
      <c r="N10" s="427">
        <f>'Look Up Tables'!K23</f>
        <v>0</v>
      </c>
      <c r="O10" s="156">
        <f>'Look Up Tables'!AA23</f>
        <v>0</v>
      </c>
      <c r="P10" s="156">
        <v>365</v>
      </c>
      <c r="Q10" s="322">
        <v>24</v>
      </c>
      <c r="R10" s="582" t="str">
        <f t="shared" si="1"/>
        <v/>
      </c>
      <c r="S10" s="498" t="str">
        <f t="shared" si="2"/>
        <v/>
      </c>
      <c r="T10" s="498" t="str">
        <f t="shared" si="3"/>
        <v/>
      </c>
      <c r="U10" s="504" t="str">
        <f t="shared" si="4"/>
        <v/>
      </c>
      <c r="V10" s="731" t="str">
        <f>IFERROR(R10*Incentives!$C$4+U10*Incentives!$C$5,"")</f>
        <v/>
      </c>
      <c r="W10" s="414" t="str">
        <f>IFERROR(V10*'Project Summary'!$H$37/'Project Summary'!$G$37,"")</f>
        <v/>
      </c>
      <c r="X10" s="150"/>
      <c r="Y10" s="150"/>
      <c r="Z10" s="381"/>
      <c r="AA10" s="381"/>
      <c r="AB10" s="381"/>
      <c r="AC10" s="381"/>
      <c r="AD10" s="381"/>
      <c r="AE10" s="150"/>
      <c r="AF10" s="150"/>
      <c r="AG10" s="150"/>
      <c r="AH10" s="150"/>
      <c r="AI10" s="150"/>
      <c r="AJ10" s="150"/>
      <c r="AK10" s="150"/>
      <c r="AL10" s="150"/>
      <c r="AM10" s="150"/>
      <c r="AN10" s="150"/>
      <c r="AO10" s="150"/>
      <c r="AP10" s="150"/>
      <c r="AQ10" s="150"/>
      <c r="AR10" s="150"/>
      <c r="AS10" s="150"/>
      <c r="AT10" s="150"/>
    </row>
    <row r="11" spans="1:46" s="149" customFormat="1" ht="29.25" customHeight="1" x14ac:dyDescent="0.2">
      <c r="B11" s="327">
        <v>4</v>
      </c>
      <c r="C11" s="170"/>
      <c r="D11" s="171"/>
      <c r="E11" s="171"/>
      <c r="F11" s="171"/>
      <c r="G11" s="171"/>
      <c r="H11" s="171"/>
      <c r="I11" s="171"/>
      <c r="J11" s="171"/>
      <c r="K11" s="171"/>
      <c r="L11" s="171"/>
      <c r="M11" s="172"/>
      <c r="N11" s="427">
        <f>'Look Up Tables'!K24</f>
        <v>0</v>
      </c>
      <c r="O11" s="156">
        <f>'Look Up Tables'!AA24</f>
        <v>0</v>
      </c>
      <c r="P11" s="156">
        <v>365</v>
      </c>
      <c r="Q11" s="322">
        <v>24</v>
      </c>
      <c r="R11" s="582" t="str">
        <f t="shared" si="1"/>
        <v/>
      </c>
      <c r="S11" s="498" t="str">
        <f t="shared" si="2"/>
        <v/>
      </c>
      <c r="T11" s="498" t="str">
        <f t="shared" si="3"/>
        <v/>
      </c>
      <c r="U11" s="504" t="str">
        <f t="shared" si="4"/>
        <v/>
      </c>
      <c r="V11" s="731" t="str">
        <f>IFERROR(R11*Incentives!$C$4+U11*Incentives!$C$5,"")</f>
        <v/>
      </c>
      <c r="W11" s="414" t="str">
        <f>IFERROR(V11*'Project Summary'!$H$37/'Project Summary'!$G$37,"")</f>
        <v/>
      </c>
      <c r="X11" s="150"/>
      <c r="Y11" s="150"/>
      <c r="Z11" s="381"/>
      <c r="AA11" s="381"/>
      <c r="AB11" s="381"/>
      <c r="AC11" s="381"/>
      <c r="AD11" s="381"/>
      <c r="AE11" s="150"/>
      <c r="AF11" s="150"/>
      <c r="AG11" s="150"/>
      <c r="AH11" s="150"/>
      <c r="AI11" s="150"/>
      <c r="AJ11" s="150"/>
      <c r="AK11" s="150"/>
      <c r="AL11" s="150"/>
      <c r="AM11" s="150"/>
      <c r="AN11" s="150"/>
      <c r="AO11" s="150"/>
      <c r="AP11" s="150"/>
      <c r="AQ11" s="150"/>
      <c r="AR11" s="150"/>
      <c r="AS11" s="150"/>
      <c r="AT11" s="150"/>
    </row>
    <row r="12" spans="1:46" s="149" customFormat="1" ht="29.25" customHeight="1" x14ac:dyDescent="0.2">
      <c r="B12" s="327">
        <v>5</v>
      </c>
      <c r="C12" s="170"/>
      <c r="D12" s="171"/>
      <c r="E12" s="171"/>
      <c r="F12" s="171"/>
      <c r="G12" s="171"/>
      <c r="H12" s="171"/>
      <c r="I12" s="171"/>
      <c r="J12" s="171"/>
      <c r="K12" s="171"/>
      <c r="L12" s="171"/>
      <c r="M12" s="172"/>
      <c r="N12" s="427">
        <f>'Look Up Tables'!K25</f>
        <v>0</v>
      </c>
      <c r="O12" s="156">
        <f>'Look Up Tables'!AA25</f>
        <v>0</v>
      </c>
      <c r="P12" s="156">
        <v>365</v>
      </c>
      <c r="Q12" s="322">
        <v>24</v>
      </c>
      <c r="R12" s="582" t="str">
        <f t="shared" si="1"/>
        <v/>
      </c>
      <c r="S12" s="498" t="str">
        <f t="shared" si="2"/>
        <v/>
      </c>
      <c r="T12" s="498" t="str">
        <f t="shared" si="3"/>
        <v/>
      </c>
      <c r="U12" s="504" t="str">
        <f t="shared" si="4"/>
        <v/>
      </c>
      <c r="V12" s="731" t="str">
        <f>IFERROR(R12*Incentives!$C$4+U12*Incentives!$C$5,"")</f>
        <v/>
      </c>
      <c r="W12" s="414" t="str">
        <f>IFERROR(V12*'Project Summary'!$H$37/'Project Summary'!$G$37,"")</f>
        <v/>
      </c>
      <c r="X12" s="150"/>
      <c r="Y12" s="150"/>
      <c r="Z12" s="381"/>
      <c r="AA12" s="381"/>
      <c r="AB12" s="381"/>
      <c r="AC12" s="381"/>
      <c r="AD12" s="381"/>
      <c r="AE12" s="150"/>
      <c r="AF12" s="150"/>
      <c r="AG12" s="150"/>
      <c r="AH12" s="150"/>
      <c r="AI12" s="150"/>
      <c r="AJ12" s="150"/>
      <c r="AK12" s="150"/>
      <c r="AL12" s="150"/>
      <c r="AM12" s="150"/>
      <c r="AN12" s="150"/>
      <c r="AO12" s="150"/>
      <c r="AP12" s="150"/>
      <c r="AQ12" s="150"/>
      <c r="AR12" s="150"/>
      <c r="AS12" s="150"/>
      <c r="AT12" s="150"/>
    </row>
    <row r="13" spans="1:46" s="149" customFormat="1" ht="29.25" customHeight="1" x14ac:dyDescent="0.2">
      <c r="B13" s="327">
        <v>6</v>
      </c>
      <c r="C13" s="170"/>
      <c r="D13" s="171"/>
      <c r="E13" s="171"/>
      <c r="F13" s="171"/>
      <c r="G13" s="171"/>
      <c r="H13" s="171"/>
      <c r="I13" s="171"/>
      <c r="J13" s="171"/>
      <c r="K13" s="171"/>
      <c r="L13" s="171"/>
      <c r="M13" s="172"/>
      <c r="N13" s="427">
        <f>'Look Up Tables'!K26</f>
        <v>0</v>
      </c>
      <c r="O13" s="156">
        <f>'Look Up Tables'!AA26</f>
        <v>0</v>
      </c>
      <c r="P13" s="156">
        <v>365</v>
      </c>
      <c r="Q13" s="322">
        <v>24</v>
      </c>
      <c r="R13" s="582" t="str">
        <f t="shared" si="1"/>
        <v/>
      </c>
      <c r="S13" s="498" t="str">
        <f t="shared" si="2"/>
        <v/>
      </c>
      <c r="T13" s="498" t="str">
        <f t="shared" si="3"/>
        <v/>
      </c>
      <c r="U13" s="504" t="str">
        <f t="shared" si="4"/>
        <v/>
      </c>
      <c r="V13" s="731" t="str">
        <f>IFERROR(R13*Incentives!$C$4+U13*Incentives!$C$5,"")</f>
        <v/>
      </c>
      <c r="W13" s="414" t="str">
        <f>IFERROR(V13*'Project Summary'!$H$37/'Project Summary'!$G$37,"")</f>
        <v/>
      </c>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row>
    <row r="14" spans="1:46" s="149" customFormat="1" ht="29.25" customHeight="1" x14ac:dyDescent="0.2">
      <c r="B14" s="327">
        <v>7</v>
      </c>
      <c r="C14" s="170"/>
      <c r="D14" s="171"/>
      <c r="E14" s="171"/>
      <c r="F14" s="171"/>
      <c r="G14" s="171"/>
      <c r="H14" s="171"/>
      <c r="I14" s="171"/>
      <c r="J14" s="171"/>
      <c r="K14" s="171"/>
      <c r="L14" s="171"/>
      <c r="M14" s="172"/>
      <c r="N14" s="427">
        <f>'Look Up Tables'!K27</f>
        <v>0</v>
      </c>
      <c r="O14" s="156">
        <f>'Look Up Tables'!AA27</f>
        <v>0</v>
      </c>
      <c r="P14" s="156">
        <v>365</v>
      </c>
      <c r="Q14" s="322">
        <v>24</v>
      </c>
      <c r="R14" s="582" t="str">
        <f t="shared" si="1"/>
        <v/>
      </c>
      <c r="S14" s="498" t="str">
        <f t="shared" si="2"/>
        <v/>
      </c>
      <c r="T14" s="498" t="str">
        <f t="shared" si="3"/>
        <v/>
      </c>
      <c r="U14" s="504" t="str">
        <f t="shared" si="4"/>
        <v/>
      </c>
      <c r="V14" s="731" t="str">
        <f>IFERROR(R14*Incentives!$C$4+U14*Incentives!$C$5,"")</f>
        <v/>
      </c>
      <c r="W14" s="414" t="str">
        <f>IFERROR(V14*'Project Summary'!$H$37/'Project Summary'!$G$37,"")</f>
        <v/>
      </c>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row>
    <row r="15" spans="1:46" s="149" customFormat="1" ht="29.25" customHeight="1" x14ac:dyDescent="0.2">
      <c r="B15" s="327">
        <v>8</v>
      </c>
      <c r="C15" s="170"/>
      <c r="D15" s="171"/>
      <c r="E15" s="171"/>
      <c r="F15" s="171"/>
      <c r="G15" s="171"/>
      <c r="H15" s="171"/>
      <c r="I15" s="171"/>
      <c r="J15" s="171"/>
      <c r="K15" s="171"/>
      <c r="L15" s="171"/>
      <c r="M15" s="172"/>
      <c r="N15" s="427">
        <f>'Look Up Tables'!K28</f>
        <v>0</v>
      </c>
      <c r="O15" s="156">
        <f>'Look Up Tables'!AA28</f>
        <v>0</v>
      </c>
      <c r="P15" s="156">
        <v>365</v>
      </c>
      <c r="Q15" s="322">
        <v>24</v>
      </c>
      <c r="R15" s="582" t="str">
        <f t="shared" si="1"/>
        <v/>
      </c>
      <c r="S15" s="498" t="str">
        <f t="shared" si="2"/>
        <v/>
      </c>
      <c r="T15" s="498" t="str">
        <f t="shared" si="3"/>
        <v/>
      </c>
      <c r="U15" s="504" t="str">
        <f t="shared" si="4"/>
        <v/>
      </c>
      <c r="V15" s="731" t="str">
        <f>IFERROR(R15*Incentives!$C$4+U15*Incentives!$C$5,"")</f>
        <v/>
      </c>
      <c r="W15" s="414" t="str">
        <f>IFERROR(V15*'Project Summary'!$H$37/'Project Summary'!$G$37,"")</f>
        <v/>
      </c>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row>
    <row r="16" spans="1:46" s="149" customFormat="1" ht="29.25" customHeight="1" x14ac:dyDescent="0.2">
      <c r="B16" s="327">
        <v>9</v>
      </c>
      <c r="C16" s="170"/>
      <c r="D16" s="171"/>
      <c r="E16" s="171"/>
      <c r="F16" s="171"/>
      <c r="G16" s="171"/>
      <c r="H16" s="171"/>
      <c r="I16" s="171"/>
      <c r="J16" s="171"/>
      <c r="K16" s="171"/>
      <c r="L16" s="171"/>
      <c r="M16" s="172"/>
      <c r="N16" s="427">
        <f>'Look Up Tables'!K29</f>
        <v>0</v>
      </c>
      <c r="O16" s="156">
        <f>'Look Up Tables'!AA29</f>
        <v>0</v>
      </c>
      <c r="P16" s="156">
        <v>365</v>
      </c>
      <c r="Q16" s="322">
        <v>24</v>
      </c>
      <c r="R16" s="582" t="str">
        <f t="shared" si="1"/>
        <v/>
      </c>
      <c r="S16" s="498" t="str">
        <f t="shared" si="2"/>
        <v/>
      </c>
      <c r="T16" s="498" t="str">
        <f t="shared" si="3"/>
        <v/>
      </c>
      <c r="U16" s="504" t="str">
        <f t="shared" si="4"/>
        <v/>
      </c>
      <c r="V16" s="731" t="str">
        <f>IFERROR(R16*Incentives!$C$4+U16*Incentives!$C$5,"")</f>
        <v/>
      </c>
      <c r="W16" s="414" t="str">
        <f>IFERROR(V16*'Project Summary'!$H$37/'Project Summary'!$G$37,"")</f>
        <v/>
      </c>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row>
    <row r="17" spans="2:46" s="149" customFormat="1" ht="29.25" customHeight="1" thickBot="1" x14ac:dyDescent="0.25">
      <c r="B17" s="328">
        <v>10</v>
      </c>
      <c r="C17" s="174"/>
      <c r="D17" s="177"/>
      <c r="E17" s="177"/>
      <c r="F17" s="177"/>
      <c r="G17" s="177"/>
      <c r="H17" s="177"/>
      <c r="I17" s="177"/>
      <c r="J17" s="177"/>
      <c r="K17" s="177"/>
      <c r="L17" s="177"/>
      <c r="M17" s="178"/>
      <c r="N17" s="428">
        <f>'Look Up Tables'!K30</f>
        <v>0</v>
      </c>
      <c r="O17" s="415">
        <f>'Look Up Tables'!AA30</f>
        <v>0</v>
      </c>
      <c r="P17" s="415">
        <v>365</v>
      </c>
      <c r="Q17" s="416">
        <v>24</v>
      </c>
      <c r="R17" s="583" t="str">
        <f t="shared" si="1"/>
        <v/>
      </c>
      <c r="S17" s="499" t="str">
        <f t="shared" si="2"/>
        <v/>
      </c>
      <c r="T17" s="499" t="str">
        <f t="shared" si="3"/>
        <v/>
      </c>
      <c r="U17" s="505" t="str">
        <f t="shared" si="4"/>
        <v/>
      </c>
      <c r="V17" s="458" t="str">
        <f>IFERROR(R17*Incentives!$C$4+U17*Incentives!$C$5,"")</f>
        <v/>
      </c>
      <c r="W17" s="417" t="str">
        <f>IFERROR(V17*'Project Summary'!$H$37/'Project Summary'!$G$37,"")</f>
        <v/>
      </c>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row>
    <row r="18" spans="2:46"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row>
    <row r="19" spans="2:46"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row>
    <row r="20" spans="2:46"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row>
    <row r="21" spans="2:46"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row>
    <row r="22" spans="2:46"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row>
    <row r="23" spans="2:46"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row>
    <row r="24" spans="2:46"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row>
    <row r="25" spans="2:46"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row>
    <row r="26" spans="2:46"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row>
    <row r="27" spans="2:46"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row>
    <row r="28" spans="2:46"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row>
    <row r="29" spans="2:46"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row>
    <row r="30" spans="2:46"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row>
    <row r="31" spans="2:46"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row>
    <row r="32" spans="2:46"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row>
    <row r="33" spans="2:45"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row>
    <row r="34" spans="2:45"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row>
    <row r="35" spans="2:45"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row>
    <row r="36" spans="2:45"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row>
    <row r="37" spans="2:45"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row>
    <row r="38" spans="2:45"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row>
    <row r="39" spans="2:45"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row>
    <row r="40" spans="2:45"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row>
    <row r="41" spans="2:45"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row>
    <row r="42" spans="2:45"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row>
    <row r="43" spans="2:45"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row>
    <row r="44" spans="2:45"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row>
    <row r="45" spans="2:45"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row>
    <row r="46" spans="2:45"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row>
    <row r="47" spans="2:45"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row>
    <row r="48" spans="2:45"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row>
    <row r="49" spans="2:45"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row>
    <row r="50" spans="2:45"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row>
    <row r="51" spans="2:45"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row>
    <row r="52" spans="2:45"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row>
    <row r="53" spans="2:45"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row>
    <row r="54" spans="2:45"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row>
    <row r="55" spans="2:45"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row>
    <row r="56" spans="2:45"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row>
    <row r="57" spans="2:45"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row>
    <row r="58" spans="2:45"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row>
    <row r="59" spans="2:45"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row>
    <row r="60" spans="2:45"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row>
    <row r="61" spans="2:45"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row>
    <row r="62" spans="2:45"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row>
    <row r="63" spans="2:45"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row>
    <row r="64" spans="2:45"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row>
    <row r="65" spans="2:45"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row>
  </sheetData>
  <sheetProtection algorithmName="SHA-512" hashValue="KPTHhPnCPDmWgUsppgGw8l7hg+4xtN/d4HCP3DtYDxoq9gOoosmbXujzoZ1+k6t/MT/TtQJ1ohx5pKjc9DkI+w==" saltValue="aVEFgghyZqGC4MzP2rBmYQ==" spinCount="100000" sheet="1" formatColumns="0"/>
  <protectedRanges>
    <protectedRange sqref="C8:M17" name="HighEffRefFreeze"/>
  </protectedRanges>
  <mergeCells count="5">
    <mergeCell ref="N6:U6"/>
    <mergeCell ref="B4:O4"/>
    <mergeCell ref="V6:V7"/>
    <mergeCell ref="W6:W7"/>
    <mergeCell ref="B6:B7"/>
  </mergeCells>
  <phoneticPr fontId="90" type="noConversion"/>
  <conditionalFormatting sqref="G8:G17">
    <cfRule type="expression" dxfId="22" priority="1">
      <formula>$G8="New Construction"</formula>
    </cfRule>
  </conditionalFormatting>
  <hyperlinks>
    <hyperlink ref="F7" r:id="rId1" tooltip="Follow this link to view the Energy Star certified Commercial Refrigerators and Freezers products page" xr:uid="{D650FA3D-A861-4826-8C56-0E7EF4DCF203}"/>
  </hyperlinks>
  <pageMargins left="0.5" right="0.5" top="0.5" bottom="0.5" header="0.3" footer="0.3"/>
  <pageSetup orientation="portrait" r:id="rId2"/>
  <drawing r:id="rId3"/>
  <extLst>
    <ext xmlns:x14="http://schemas.microsoft.com/office/spreadsheetml/2009/9/main" uri="{CCE6A557-97BC-4b89-ADB6-D9C93CAAB3DF}">
      <x14:dataValidations xmlns:xm="http://schemas.microsoft.com/office/excel/2006/main" xWindow="560" yWindow="455" count="5">
        <x14:dataValidation type="list" allowBlank="1" showInputMessage="1" showErrorMessage="1" xr:uid="{946DF7A1-2EE1-4B9A-8D49-DDCDF98DE96E}">
          <x14:formula1>
            <xm:f>'Look Up Tables'!$D$3:$D$4</xm:f>
          </x14:formula1>
          <xm:sqref>H8:H17</xm:sqref>
        </x14:dataValidation>
        <x14:dataValidation type="list" allowBlank="1" showInputMessage="1" showErrorMessage="1" xr:uid="{212B4EFC-166C-4813-9EDF-2AD25A63DA53}">
          <x14:formula1>
            <xm:f>'Look Up Tables'!$B$3:$B$6</xm:f>
          </x14:formula1>
          <xm:sqref>J8:J17</xm:sqref>
        </x14:dataValidation>
        <x14:dataValidation type="list" allowBlank="1" showInputMessage="1" showErrorMessage="1" xr:uid="{0EC7BEFC-B51B-452D-8286-7428B2CF44F1}">
          <x14:formula1>
            <xm:f>'Look Up Tables'!$F$3:$F$4</xm:f>
          </x14:formula1>
          <xm:sqref>L8:L17</xm:sqref>
        </x14:dataValidation>
        <x14:dataValidation type="list" allowBlank="1" showInputMessage="1" showErrorMessage="1" promptTitle="Retrofit Only" prompt="All cases are considered Replace on Burnout. If new Construction, please contact CLEAResult for further assistance._x000a_" xr:uid="{F2503E78-F4EB-4A31-8C83-23BBC8C0A2EF}">
          <x14:formula1>
            <xm:f>'Look Up Tables'!$F$33:$F$34</xm:f>
          </x14:formula1>
          <xm:sqref>G8:G17</xm:sqref>
        </x14:dataValidation>
        <x14:dataValidation type="list" allowBlank="1" showInputMessage="1" showErrorMessage="1" xr:uid="{1643967A-51BA-4964-A4B5-8610C8184D6C}">
          <x14:formula1>
            <xm:f>'Look Up Tables'!$D$9:$D$10</xm:f>
          </x14:formula1>
          <xm:sqref>I8:I17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47AAC-1D3C-4C02-94E8-008A2B5F2B56}">
  <sheetPr codeName="Sheet6">
    <tabColor theme="8" tint="0.59999389629810485"/>
  </sheetPr>
  <dimension ref="A1:AP65"/>
  <sheetViews>
    <sheetView zoomScaleNormal="100" workbookViewId="0">
      <selection activeCell="Q8" sqref="Q8"/>
    </sheetView>
  </sheetViews>
  <sheetFormatPr defaultColWidth="8.625" defaultRowHeight="14.25" x14ac:dyDescent="0.2"/>
  <cols>
    <col min="1" max="1" width="3.625" style="145" customWidth="1"/>
    <col min="2" max="2" width="6.125" style="145" customWidth="1"/>
    <col min="3" max="5" width="17.5" style="145" customWidth="1"/>
    <col min="6" max="6" width="16.625" style="145" bestFit="1" customWidth="1"/>
    <col min="7" max="7" width="14.125" style="145" customWidth="1"/>
    <col min="8" max="8" width="15.625" style="145" customWidth="1"/>
    <col min="9" max="10" width="12.625" style="145" customWidth="1"/>
    <col min="11" max="12" width="16.125" style="145" customWidth="1"/>
    <col min="13" max="13" width="9.125" style="145" customWidth="1"/>
    <col min="14" max="17" width="12.625" style="145" customWidth="1"/>
    <col min="18" max="18" width="8.625" style="145" hidden="1" customWidth="1"/>
    <col min="19" max="19" width="14.125" style="145" bestFit="1" customWidth="1"/>
    <col min="20" max="25" width="8.625" style="145"/>
    <col min="26" max="26" width="19.625" style="145" customWidth="1"/>
    <col min="27" max="16384" width="8.625" style="145"/>
  </cols>
  <sheetData>
    <row r="1" spans="1:42" x14ac:dyDescent="0.2">
      <c r="A1" s="144" t="s">
        <v>795</v>
      </c>
      <c r="R1" s="145" t="s">
        <v>207</v>
      </c>
    </row>
    <row r="2" spans="1:42" ht="9.75" customHeight="1" x14ac:dyDescent="0.2"/>
    <row r="3" spans="1:42" ht="34.5" customHeight="1" x14ac:dyDescent="0.5">
      <c r="B3" s="788" t="s">
        <v>220</v>
      </c>
      <c r="C3" s="784"/>
      <c r="D3" s="784"/>
      <c r="E3" s="784"/>
      <c r="F3" s="784"/>
      <c r="G3" s="784"/>
      <c r="H3" s="784"/>
      <c r="I3" s="785"/>
      <c r="J3" s="785"/>
      <c r="K3" s="785"/>
      <c r="L3" s="785"/>
      <c r="M3" s="785"/>
      <c r="N3" s="785"/>
    </row>
    <row r="4" spans="1:42" ht="29.1" customHeight="1" x14ac:dyDescent="0.2">
      <c r="B4" s="923" t="s">
        <v>210</v>
      </c>
      <c r="C4" s="923"/>
      <c r="D4" s="923"/>
      <c r="E4" s="923"/>
      <c r="F4" s="923"/>
      <c r="G4" s="923"/>
      <c r="H4" s="923"/>
      <c r="I4" s="923"/>
      <c r="J4" s="923"/>
      <c r="K4" s="923"/>
      <c r="L4" s="923"/>
      <c r="M4" s="923"/>
      <c r="N4" s="923"/>
      <c r="O4" s="207"/>
      <c r="P4" s="207"/>
      <c r="U4" s="380"/>
      <c r="V4" s="380"/>
      <c r="W4" s="380"/>
      <c r="X4" s="380"/>
      <c r="Y4" s="380"/>
      <c r="Z4" s="380"/>
    </row>
    <row r="5" spans="1:42" ht="9" customHeight="1" thickBot="1" x14ac:dyDescent="0.3">
      <c r="B5" s="148"/>
      <c r="C5" s="148"/>
      <c r="D5" s="148"/>
      <c r="E5" s="148"/>
      <c r="F5" s="148"/>
      <c r="G5" s="148"/>
      <c r="U5" s="380"/>
      <c r="V5" s="380"/>
      <c r="W5" s="380"/>
      <c r="X5" s="380"/>
      <c r="Y5" s="380"/>
      <c r="Z5" s="380"/>
    </row>
    <row r="6" spans="1:42" s="149" customFormat="1" ht="22.35" customHeight="1" x14ac:dyDescent="0.2">
      <c r="B6" s="926" t="s">
        <v>275</v>
      </c>
      <c r="C6" s="929" t="s">
        <v>796</v>
      </c>
      <c r="D6" s="930"/>
      <c r="E6" s="930"/>
      <c r="F6" s="930"/>
      <c r="G6" s="930"/>
      <c r="H6" s="930"/>
      <c r="I6" s="930"/>
      <c r="J6" s="930"/>
      <c r="K6" s="930"/>
      <c r="L6" s="930"/>
      <c r="M6" s="930"/>
      <c r="N6" s="931" t="s">
        <v>797</v>
      </c>
      <c r="O6" s="932"/>
      <c r="P6" s="932"/>
      <c r="Q6" s="933"/>
      <c r="R6" s="934" t="s">
        <v>219</v>
      </c>
      <c r="S6" s="926" t="s">
        <v>798</v>
      </c>
      <c r="U6" s="380"/>
      <c r="V6" s="380"/>
      <c r="W6" s="380"/>
      <c r="X6" s="380"/>
      <c r="Y6" s="380"/>
      <c r="Z6" s="380"/>
    </row>
    <row r="7" spans="1:42" s="150" customFormat="1" ht="33.75" customHeight="1" thickBot="1" x14ac:dyDescent="0.25">
      <c r="B7" s="928"/>
      <c r="C7" s="761" t="s">
        <v>799</v>
      </c>
      <c r="D7" s="766" t="s">
        <v>141</v>
      </c>
      <c r="E7" s="766" t="s">
        <v>143</v>
      </c>
      <c r="F7" s="762" t="s">
        <v>145</v>
      </c>
      <c r="G7" s="762" t="s">
        <v>147</v>
      </c>
      <c r="H7" s="762" t="s">
        <v>800</v>
      </c>
      <c r="I7" s="762" t="s">
        <v>159</v>
      </c>
      <c r="J7" s="762" t="s">
        <v>809</v>
      </c>
      <c r="K7" s="762" t="s">
        <v>810</v>
      </c>
      <c r="L7" s="762" t="s">
        <v>811</v>
      </c>
      <c r="M7" s="763" t="s">
        <v>155</v>
      </c>
      <c r="N7" s="761" t="s">
        <v>192</v>
      </c>
      <c r="O7" s="762" t="s">
        <v>806</v>
      </c>
      <c r="P7" s="762" t="s">
        <v>807</v>
      </c>
      <c r="Q7" s="764" t="s">
        <v>808</v>
      </c>
      <c r="R7" s="934"/>
      <c r="S7" s="928"/>
      <c r="U7" s="380"/>
      <c r="V7" s="380"/>
      <c r="W7" s="380"/>
      <c r="X7" s="380"/>
      <c r="Y7" s="380"/>
      <c r="Z7" s="380"/>
    </row>
    <row r="8" spans="1:42" s="149" customFormat="1" ht="21.75" customHeight="1" x14ac:dyDescent="0.2">
      <c r="B8" s="376">
        <v>1</v>
      </c>
      <c r="C8" s="166"/>
      <c r="D8" s="168"/>
      <c r="E8" s="168"/>
      <c r="F8" s="168"/>
      <c r="G8" s="168"/>
      <c r="H8" s="168"/>
      <c r="I8" s="168"/>
      <c r="J8" s="168"/>
      <c r="K8" s="385"/>
      <c r="L8" s="385"/>
      <c r="M8" s="169"/>
      <c r="N8" s="587" t="str">
        <f>IFERROR(IF(F8="Retrofit",ROUND('Look Up Tables'!M115*M8,2),""),"")</f>
        <v/>
      </c>
      <c r="O8" s="496" t="str">
        <f>IFERROR(IF(F8="Retrofit",ROUND(('Look Up Tables'!N115)*'Evap Fan Motors'!M8,4),""),"")</f>
        <v/>
      </c>
      <c r="P8" s="496" t="str">
        <f>IFERROR(IF(F8="Retrofit",ROUND(('Look Up Tables'!O115)*'Evap Fan Motors'!M8,4),""),"")</f>
        <v/>
      </c>
      <c r="Q8" s="503" t="str">
        <f t="shared" ref="Q8:Q17" si="0">IFERROR(ROUND((O8+P8)/2,4),"")</f>
        <v/>
      </c>
      <c r="R8" s="150" t="str">
        <f>IFERROR(N8*Incentives!$C$4+Q8*Incentives!$C$5,"")</f>
        <v/>
      </c>
      <c r="S8" s="191" t="str">
        <f>IFERROR(R8*'Project Summary'!$H$37/'Project Summary'!$G$37,"")</f>
        <v/>
      </c>
      <c r="T8" s="150"/>
      <c r="U8" s="380"/>
      <c r="V8" s="380"/>
      <c r="W8" s="380"/>
      <c r="X8" s="380"/>
      <c r="Y8" s="380"/>
      <c r="Z8" s="380"/>
      <c r="AA8" s="150"/>
      <c r="AB8" s="150"/>
      <c r="AC8" s="150"/>
      <c r="AD8" s="150"/>
      <c r="AE8" s="150"/>
      <c r="AF8" s="150"/>
      <c r="AG8" s="150"/>
      <c r="AH8" s="150"/>
      <c r="AI8" s="150"/>
      <c r="AJ8" s="150"/>
      <c r="AK8" s="150"/>
      <c r="AL8" s="150"/>
      <c r="AM8" s="150"/>
      <c r="AN8" s="150"/>
      <c r="AO8" s="150"/>
      <c r="AP8" s="150"/>
    </row>
    <row r="9" spans="1:42" s="149" customFormat="1" ht="21.75" customHeight="1" x14ac:dyDescent="0.2">
      <c r="B9" s="327">
        <v>2</v>
      </c>
      <c r="C9" s="170"/>
      <c r="D9" s="171"/>
      <c r="E9" s="171"/>
      <c r="F9" s="171"/>
      <c r="G9" s="171"/>
      <c r="H9" s="171"/>
      <c r="I9" s="171"/>
      <c r="J9" s="171"/>
      <c r="K9" s="386"/>
      <c r="L9" s="386"/>
      <c r="M9" s="172"/>
      <c r="N9" s="588" t="str">
        <f>IFERROR(IF(F9="Retrofit",ROUND('Look Up Tables'!M116*M9,2),""),"")</f>
        <v/>
      </c>
      <c r="O9" s="498" t="str">
        <f>IFERROR(IF(F9="Retrofit",ROUND(('Look Up Tables'!N116)*'Evap Fan Motors'!M9,4),""),"")</f>
        <v/>
      </c>
      <c r="P9" s="498" t="str">
        <f>IFERROR(IF(F9="Retrofit",ROUND(('Look Up Tables'!O116)*'Evap Fan Motors'!M9,4),""),"")</f>
        <v/>
      </c>
      <c r="Q9" s="504" t="str">
        <f t="shared" si="0"/>
        <v/>
      </c>
      <c r="R9" s="150" t="str">
        <f>IFERROR(N9*Incentives!$C$4+Q9*Incentives!$C$5,"")</f>
        <v/>
      </c>
      <c r="S9" s="157" t="str">
        <f>IFERROR(R9*'Project Summary'!$H$37/'Project Summary'!$G$37,"")</f>
        <v/>
      </c>
      <c r="T9" s="150"/>
      <c r="U9" s="380"/>
      <c r="V9" s="380"/>
      <c r="W9" s="380"/>
      <c r="X9" s="380"/>
      <c r="Y9" s="380"/>
      <c r="Z9" s="380"/>
      <c r="AA9" s="150"/>
      <c r="AB9" s="150"/>
      <c r="AC9" s="150"/>
      <c r="AD9" s="150"/>
      <c r="AE9" s="150"/>
      <c r="AF9" s="150"/>
      <c r="AG9" s="150"/>
      <c r="AH9" s="150"/>
      <c r="AI9" s="150"/>
      <c r="AJ9" s="150"/>
      <c r="AK9" s="150"/>
      <c r="AL9" s="150"/>
      <c r="AM9" s="150"/>
      <c r="AN9" s="150"/>
      <c r="AO9" s="150"/>
      <c r="AP9" s="150"/>
    </row>
    <row r="10" spans="1:42" s="149" customFormat="1" ht="21.75" customHeight="1" x14ac:dyDescent="0.2">
      <c r="B10" s="327">
        <v>3</v>
      </c>
      <c r="C10" s="170"/>
      <c r="D10" s="171"/>
      <c r="E10" s="171"/>
      <c r="F10" s="171"/>
      <c r="G10" s="171"/>
      <c r="H10" s="171"/>
      <c r="I10" s="171"/>
      <c r="J10" s="171"/>
      <c r="K10" s="386"/>
      <c r="L10" s="386"/>
      <c r="M10" s="172"/>
      <c r="N10" s="588" t="str">
        <f>IFERROR(IF(F10="Retrofit",ROUND('Look Up Tables'!M117*M10,2),""),"")</f>
        <v/>
      </c>
      <c r="O10" s="498" t="str">
        <f>IFERROR(IF(F10="Retrofit",ROUND(('Look Up Tables'!N117)*'Evap Fan Motors'!M10,4),""),"")</f>
        <v/>
      </c>
      <c r="P10" s="498" t="str">
        <f>IFERROR(IF(F10="Retrofit",ROUND(('Look Up Tables'!O117)*'Evap Fan Motors'!M10,4),""),"")</f>
        <v/>
      </c>
      <c r="Q10" s="504" t="str">
        <f t="shared" si="0"/>
        <v/>
      </c>
      <c r="R10" s="150" t="str">
        <f>IFERROR(N10*Incentives!$C$4+Q10*Incentives!$C$5,"")</f>
        <v/>
      </c>
      <c r="S10" s="157" t="str">
        <f>IFERROR(R10*'Project Summary'!$H$37/'Project Summary'!$G$37,"")</f>
        <v/>
      </c>
      <c r="T10" s="150"/>
      <c r="U10" s="380"/>
      <c r="V10" s="380"/>
      <c r="W10" s="380"/>
      <c r="X10" s="380"/>
      <c r="Y10" s="380"/>
      <c r="Z10" s="380"/>
      <c r="AA10" s="150"/>
      <c r="AB10" s="150"/>
      <c r="AC10" s="150"/>
      <c r="AD10" s="150"/>
      <c r="AE10" s="150"/>
      <c r="AF10" s="150"/>
      <c r="AG10" s="150"/>
      <c r="AH10" s="150"/>
      <c r="AI10" s="150"/>
      <c r="AJ10" s="150"/>
      <c r="AK10" s="150"/>
      <c r="AL10" s="150"/>
      <c r="AM10" s="150"/>
      <c r="AN10" s="150"/>
      <c r="AO10" s="150"/>
      <c r="AP10" s="150"/>
    </row>
    <row r="11" spans="1:42" s="149" customFormat="1" ht="21.75" customHeight="1" x14ac:dyDescent="0.2">
      <c r="B11" s="327">
        <v>4</v>
      </c>
      <c r="C11" s="170"/>
      <c r="D11" s="171"/>
      <c r="E11" s="171"/>
      <c r="F11" s="171"/>
      <c r="G11" s="171"/>
      <c r="H11" s="171"/>
      <c r="I11" s="171"/>
      <c r="J11" s="171"/>
      <c r="K11" s="386"/>
      <c r="L11" s="386"/>
      <c r="M11" s="172"/>
      <c r="N11" s="588" t="str">
        <f>IFERROR(IF(F11="Retrofit",ROUND('Look Up Tables'!M118*M11,2),""),"")</f>
        <v/>
      </c>
      <c r="O11" s="498" t="str">
        <f>IFERROR(IF(F11="Retrofit",ROUND(('Look Up Tables'!N118)*'Evap Fan Motors'!M11,4),""),"")</f>
        <v/>
      </c>
      <c r="P11" s="498" t="str">
        <f>IFERROR(IF(F11="Retrofit",ROUND(('Look Up Tables'!O118)*'Evap Fan Motors'!M11,4),""),"")</f>
        <v/>
      </c>
      <c r="Q11" s="504" t="str">
        <f t="shared" si="0"/>
        <v/>
      </c>
      <c r="R11" s="150" t="str">
        <f>IFERROR(N11*Incentives!$C$4+Q11*Incentives!$C$5,"")</f>
        <v/>
      </c>
      <c r="S11" s="157" t="str">
        <f>IFERROR(R11*'Project Summary'!$H$37/'Project Summary'!$G$37,"")</f>
        <v/>
      </c>
      <c r="T11" s="150"/>
      <c r="U11" s="380"/>
      <c r="V11" s="380"/>
      <c r="W11" s="380"/>
      <c r="X11" s="380"/>
      <c r="Y11" s="380"/>
      <c r="Z11" s="380"/>
      <c r="AA11" s="150"/>
      <c r="AB11" s="150"/>
      <c r="AC11" s="150"/>
      <c r="AD11" s="150"/>
      <c r="AE11" s="150"/>
      <c r="AF11" s="150"/>
      <c r="AG11" s="150"/>
      <c r="AH11" s="150"/>
      <c r="AI11" s="150"/>
      <c r="AJ11" s="150"/>
      <c r="AK11" s="150"/>
      <c r="AL11" s="150"/>
      <c r="AM11" s="150"/>
      <c r="AN11" s="150"/>
      <c r="AO11" s="150"/>
      <c r="AP11" s="150"/>
    </row>
    <row r="12" spans="1:42" s="149" customFormat="1" ht="21.75" customHeight="1" x14ac:dyDescent="0.2">
      <c r="B12" s="327">
        <v>5</v>
      </c>
      <c r="C12" s="170"/>
      <c r="D12" s="171"/>
      <c r="E12" s="171"/>
      <c r="F12" s="171"/>
      <c r="G12" s="171"/>
      <c r="H12" s="171"/>
      <c r="I12" s="171"/>
      <c r="J12" s="171"/>
      <c r="K12" s="386"/>
      <c r="L12" s="386"/>
      <c r="M12" s="172"/>
      <c r="N12" s="588" t="str">
        <f>IFERROR(IF(F12="Retrofit",ROUND('Look Up Tables'!M119*M12,2),""),"")</f>
        <v/>
      </c>
      <c r="O12" s="498" t="str">
        <f>IFERROR(IF(F12="Retrofit",ROUND(('Look Up Tables'!N119)*'Evap Fan Motors'!M12,4),""),"")</f>
        <v/>
      </c>
      <c r="P12" s="498" t="str">
        <f>IFERROR(IF(F12="Retrofit",ROUND(('Look Up Tables'!O119)*'Evap Fan Motors'!M12,4),""),"")</f>
        <v/>
      </c>
      <c r="Q12" s="504" t="str">
        <f t="shared" si="0"/>
        <v/>
      </c>
      <c r="R12" s="150" t="str">
        <f>IFERROR(N12*Incentives!$C$4+Q12*Incentives!$C$5,"")</f>
        <v/>
      </c>
      <c r="S12" s="157" t="str">
        <f>IFERROR(R12*'Project Summary'!$H$37/'Project Summary'!$G$37,"")</f>
        <v/>
      </c>
      <c r="T12" s="150"/>
      <c r="U12" s="380"/>
      <c r="V12" s="380"/>
      <c r="W12" s="380"/>
      <c r="X12" s="380"/>
      <c r="Y12" s="380"/>
      <c r="Z12" s="380"/>
      <c r="AA12" s="150"/>
      <c r="AB12" s="150"/>
      <c r="AC12" s="150"/>
      <c r="AD12" s="150"/>
      <c r="AE12" s="150"/>
      <c r="AF12" s="150"/>
      <c r="AG12" s="150"/>
      <c r="AH12" s="150"/>
      <c r="AI12" s="150"/>
      <c r="AJ12" s="150"/>
      <c r="AK12" s="150"/>
      <c r="AL12" s="150"/>
      <c r="AM12" s="150"/>
      <c r="AN12" s="150"/>
      <c r="AO12" s="150"/>
      <c r="AP12" s="150"/>
    </row>
    <row r="13" spans="1:42" s="149" customFormat="1" ht="21.75" customHeight="1" x14ac:dyDescent="0.2">
      <c r="B13" s="327">
        <v>6</v>
      </c>
      <c r="C13" s="170"/>
      <c r="D13" s="171"/>
      <c r="E13" s="171"/>
      <c r="F13" s="171"/>
      <c r="G13" s="171"/>
      <c r="H13" s="171"/>
      <c r="I13" s="171"/>
      <c r="J13" s="171"/>
      <c r="K13" s="386"/>
      <c r="L13" s="386"/>
      <c r="M13" s="172"/>
      <c r="N13" s="588" t="str">
        <f>IFERROR(IF(F13="Retrofit",ROUND('Look Up Tables'!M120*M13,2),""),"")</f>
        <v/>
      </c>
      <c r="O13" s="498" t="str">
        <f>IFERROR(IF(F13="Retrofit",ROUND(('Look Up Tables'!N120)*'Evap Fan Motors'!M13,4),""),"")</f>
        <v/>
      </c>
      <c r="P13" s="498" t="str">
        <f>IFERROR(IF(F13="Retrofit",ROUND(('Look Up Tables'!O120)*'Evap Fan Motors'!M13,4),""),"")</f>
        <v/>
      </c>
      <c r="Q13" s="504" t="str">
        <f t="shared" si="0"/>
        <v/>
      </c>
      <c r="R13" s="150" t="str">
        <f>IFERROR(N13*Incentives!$C$4+Q13*Incentives!$C$5,"")</f>
        <v/>
      </c>
      <c r="S13" s="157" t="str">
        <f>IFERROR(R13*'Project Summary'!$H$37/'Project Summary'!$G$37,"")</f>
        <v/>
      </c>
      <c r="T13" s="150"/>
      <c r="U13" s="380"/>
      <c r="V13" s="380"/>
      <c r="W13" s="380"/>
      <c r="X13" s="380"/>
      <c r="Y13" s="380"/>
      <c r="Z13" s="380"/>
      <c r="AA13" s="150"/>
      <c r="AB13" s="150"/>
      <c r="AC13" s="150"/>
      <c r="AD13" s="150"/>
      <c r="AE13" s="150"/>
      <c r="AF13" s="150"/>
      <c r="AG13" s="150"/>
      <c r="AH13" s="150"/>
      <c r="AI13" s="150"/>
      <c r="AJ13" s="150"/>
      <c r="AK13" s="150"/>
      <c r="AL13" s="150"/>
      <c r="AM13" s="150"/>
      <c r="AN13" s="150"/>
      <c r="AO13" s="150"/>
      <c r="AP13" s="150"/>
    </row>
    <row r="14" spans="1:42" s="149" customFormat="1" ht="21.75" customHeight="1" x14ac:dyDescent="0.2">
      <c r="B14" s="327">
        <v>7</v>
      </c>
      <c r="C14" s="170"/>
      <c r="D14" s="171"/>
      <c r="E14" s="171"/>
      <c r="F14" s="171"/>
      <c r="G14" s="171"/>
      <c r="H14" s="171"/>
      <c r="I14" s="171"/>
      <c r="J14" s="171"/>
      <c r="K14" s="386"/>
      <c r="L14" s="386"/>
      <c r="M14" s="172"/>
      <c r="N14" s="588" t="str">
        <f>IFERROR(IF(F14="Retrofit",ROUND('Look Up Tables'!M121*M14,2),""),"")</f>
        <v/>
      </c>
      <c r="O14" s="498" t="str">
        <f>IFERROR(IF(F14="Retrofit",ROUND(('Look Up Tables'!N121)*'Evap Fan Motors'!M14,4),""),"")</f>
        <v/>
      </c>
      <c r="P14" s="498" t="str">
        <f>IFERROR(IF(F14="Retrofit",ROUND(('Look Up Tables'!O121)*'Evap Fan Motors'!M14,4),""),"")</f>
        <v/>
      </c>
      <c r="Q14" s="504" t="str">
        <f t="shared" si="0"/>
        <v/>
      </c>
      <c r="R14" s="150" t="str">
        <f>IFERROR(N14*Incentives!$C$4+Q14*Incentives!$C$5,"")</f>
        <v/>
      </c>
      <c r="S14" s="157" t="str">
        <f>IFERROR(R14*'Project Summary'!$H$37/'Project Summary'!$G$37,"")</f>
        <v/>
      </c>
      <c r="T14" s="150"/>
      <c r="U14" s="380"/>
      <c r="V14" s="380"/>
      <c r="W14" s="380"/>
      <c r="X14" s="380"/>
      <c r="Y14" s="380"/>
      <c r="Z14" s="380"/>
      <c r="AA14" s="150"/>
      <c r="AB14" s="150"/>
      <c r="AC14" s="150"/>
      <c r="AD14" s="150"/>
      <c r="AE14" s="150"/>
      <c r="AF14" s="150"/>
      <c r="AG14" s="150"/>
      <c r="AH14" s="150"/>
      <c r="AI14" s="150"/>
      <c r="AJ14" s="150"/>
      <c r="AK14" s="150"/>
      <c r="AL14" s="150"/>
      <c r="AM14" s="150"/>
      <c r="AN14" s="150"/>
      <c r="AO14" s="150"/>
      <c r="AP14" s="150"/>
    </row>
    <row r="15" spans="1:42" s="149" customFormat="1" ht="21.75" customHeight="1" x14ac:dyDescent="0.2">
      <c r="B15" s="327">
        <v>8</v>
      </c>
      <c r="C15" s="170"/>
      <c r="D15" s="171"/>
      <c r="E15" s="171"/>
      <c r="F15" s="171"/>
      <c r="G15" s="171"/>
      <c r="H15" s="171"/>
      <c r="I15" s="171"/>
      <c r="J15" s="171"/>
      <c r="K15" s="386"/>
      <c r="L15" s="386"/>
      <c r="M15" s="172"/>
      <c r="N15" s="588" t="str">
        <f>IFERROR(IF(F15="Retrofit",ROUND('Look Up Tables'!M122*M15,2),""),"")</f>
        <v/>
      </c>
      <c r="O15" s="498" t="str">
        <f>IFERROR(IF(F15="Retrofit",ROUND(('Look Up Tables'!N122)*'Evap Fan Motors'!M15,4),""),"")</f>
        <v/>
      </c>
      <c r="P15" s="498" t="str">
        <f>IFERROR(IF(F15="Retrofit",ROUND(('Look Up Tables'!O122)*'Evap Fan Motors'!M15,4),""),"")</f>
        <v/>
      </c>
      <c r="Q15" s="504" t="str">
        <f t="shared" si="0"/>
        <v/>
      </c>
      <c r="R15" s="150" t="str">
        <f>IFERROR(N15*Incentives!$C$4+Q15*Incentives!$C$5,"")</f>
        <v/>
      </c>
      <c r="S15" s="157" t="str">
        <f>IFERROR(R15*'Project Summary'!$H$37/'Project Summary'!$G$37,"")</f>
        <v/>
      </c>
      <c r="T15" s="150"/>
      <c r="U15" s="380"/>
      <c r="V15" s="380"/>
      <c r="W15" s="380"/>
      <c r="X15" s="380"/>
      <c r="Y15" s="380"/>
      <c r="Z15" s="380"/>
      <c r="AA15" s="150"/>
      <c r="AB15" s="150"/>
      <c r="AC15" s="150"/>
      <c r="AD15" s="150"/>
      <c r="AE15" s="150"/>
      <c r="AF15" s="150"/>
      <c r="AG15" s="150"/>
      <c r="AH15" s="150"/>
      <c r="AI15" s="150"/>
      <c r="AJ15" s="150"/>
      <c r="AK15" s="150"/>
      <c r="AL15" s="150"/>
      <c r="AM15" s="150"/>
      <c r="AN15" s="150"/>
      <c r="AO15" s="150"/>
      <c r="AP15" s="150"/>
    </row>
    <row r="16" spans="1:42" s="149" customFormat="1" ht="21.75" customHeight="1" x14ac:dyDescent="0.2">
      <c r="B16" s="327">
        <v>9</v>
      </c>
      <c r="C16" s="170"/>
      <c r="D16" s="171"/>
      <c r="E16" s="171"/>
      <c r="F16" s="171"/>
      <c r="G16" s="171"/>
      <c r="H16" s="171"/>
      <c r="I16" s="171"/>
      <c r="J16" s="171"/>
      <c r="K16" s="386"/>
      <c r="L16" s="386"/>
      <c r="M16" s="172"/>
      <c r="N16" s="588" t="str">
        <f>IFERROR(IF(F16="Retrofit",ROUND('Look Up Tables'!M123*M16,2),""),"")</f>
        <v/>
      </c>
      <c r="O16" s="498" t="str">
        <f>IFERROR(IF(F16="Retrofit",ROUND(('Look Up Tables'!N123)*'Evap Fan Motors'!M16,4),""),"")</f>
        <v/>
      </c>
      <c r="P16" s="498" t="str">
        <f>IFERROR(IF(F16="Retrofit",ROUND(('Look Up Tables'!O123)*'Evap Fan Motors'!M16,4),""),"")</f>
        <v/>
      </c>
      <c r="Q16" s="504" t="str">
        <f t="shared" si="0"/>
        <v/>
      </c>
      <c r="R16" s="150" t="str">
        <f>IFERROR(N16*Incentives!$C$4+Q16*Incentives!$C$5,"")</f>
        <v/>
      </c>
      <c r="S16" s="157" t="str">
        <f>IFERROR(R16*'Project Summary'!$H$37/'Project Summary'!$G$37,"")</f>
        <v/>
      </c>
      <c r="T16" s="150"/>
      <c r="U16" s="380"/>
      <c r="V16" s="380"/>
      <c r="W16" s="380"/>
      <c r="X16" s="380"/>
      <c r="Y16" s="380"/>
      <c r="Z16" s="380"/>
      <c r="AA16" s="150"/>
      <c r="AB16" s="150"/>
      <c r="AC16" s="150"/>
      <c r="AD16" s="150"/>
      <c r="AE16" s="150"/>
      <c r="AF16" s="150"/>
      <c r="AG16" s="150"/>
      <c r="AH16" s="150"/>
      <c r="AI16" s="150"/>
      <c r="AJ16" s="150"/>
      <c r="AK16" s="150"/>
      <c r="AL16" s="150"/>
      <c r="AM16" s="150"/>
      <c r="AN16" s="150"/>
      <c r="AO16" s="150"/>
      <c r="AP16" s="150"/>
    </row>
    <row r="17" spans="2:42" s="149" customFormat="1" ht="21.75" customHeight="1" thickBot="1" x14ac:dyDescent="0.25">
      <c r="B17" s="328">
        <v>10</v>
      </c>
      <c r="C17" s="174"/>
      <c r="D17" s="177"/>
      <c r="E17" s="177"/>
      <c r="F17" s="177"/>
      <c r="G17" s="176"/>
      <c r="H17" s="176"/>
      <c r="I17" s="177"/>
      <c r="J17" s="177"/>
      <c r="K17" s="665"/>
      <c r="L17" s="665"/>
      <c r="M17" s="178"/>
      <c r="N17" s="588" t="str">
        <f>IFERROR(IF(F17="Retrofit",ROUND('Look Up Tables'!M124*M17,2),""),"")</f>
        <v/>
      </c>
      <c r="O17" s="499" t="str">
        <f>IFERROR(IF(F17="Retrofit",ROUND(('Look Up Tables'!N124)*'Evap Fan Motors'!M17,4),""),"")</f>
        <v/>
      </c>
      <c r="P17" s="499" t="str">
        <f>IFERROR(IF(F17="Retrofit",ROUND(('Look Up Tables'!O124)*'Evap Fan Motors'!M17,4),""),"")</f>
        <v/>
      </c>
      <c r="Q17" s="505" t="str">
        <f t="shared" si="0"/>
        <v/>
      </c>
      <c r="R17" s="150" t="str">
        <f>IFERROR(N17*Incentives!$C$4+Q17*Incentives!$C$5,"")</f>
        <v/>
      </c>
      <c r="S17" s="304" t="str">
        <f>IFERROR(R17*'Project Summary'!$H$37/'Project Summary'!$G$37,"")</f>
        <v/>
      </c>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row>
    <row r="18" spans="2:42"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row>
    <row r="19" spans="2:42"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row>
    <row r="20" spans="2:42"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row>
    <row r="21" spans="2:42"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row>
    <row r="22" spans="2:42"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row>
    <row r="23" spans="2:42"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row>
    <row r="24" spans="2:42"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row>
    <row r="25" spans="2:42"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row>
    <row r="26" spans="2:42"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row>
    <row r="27" spans="2:42"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row>
    <row r="28" spans="2:42"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row>
    <row r="29" spans="2:42"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row>
    <row r="30" spans="2:42"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row>
    <row r="31" spans="2:42"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row>
    <row r="32" spans="2:42"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row>
    <row r="33" spans="2:42"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row>
    <row r="34" spans="2:42"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row>
    <row r="35" spans="2:42"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row>
    <row r="36" spans="2:42"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row>
    <row r="37" spans="2:42"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row>
    <row r="38" spans="2:42"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row>
    <row r="39" spans="2:42"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row>
    <row r="40" spans="2:42"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row>
    <row r="41" spans="2:42"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row>
    <row r="42" spans="2:42"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row>
    <row r="43" spans="2:42"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row>
    <row r="44" spans="2:42"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row>
    <row r="45" spans="2:42"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row>
    <row r="46" spans="2:42"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row>
    <row r="47" spans="2:42"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row>
    <row r="48" spans="2:42"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row>
    <row r="49" spans="2:42"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row>
    <row r="50" spans="2:42"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row>
    <row r="51" spans="2:42"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row>
    <row r="52" spans="2:42"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row>
    <row r="53" spans="2:42"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row>
    <row r="54" spans="2:42"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row>
    <row r="55" spans="2:42"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row>
    <row r="56" spans="2:42"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row>
    <row r="57" spans="2:42"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row>
    <row r="58" spans="2:42"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row>
    <row r="59" spans="2:42"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row>
    <row r="60" spans="2:42"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row>
    <row r="61" spans="2:42"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row>
    <row r="62" spans="2:42"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row>
    <row r="63" spans="2:42"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row>
    <row r="64" spans="2:42"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row>
    <row r="65" spans="2:42"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row>
  </sheetData>
  <sheetProtection algorithmName="SHA-512" hashValue="WVbzpKVO1CjZsfi3qfnhPsLpRPSCKZQzh1Y509t4m3BTNhunTGnSChenZu36bS4AbQtJlyRoELRH9vWboqUt9A==" saltValue="T2HhKOHmmA57/PbQuakleg==" spinCount="100000" sheet="1" formatColumns="0"/>
  <protectedRanges>
    <protectedRange sqref="C8:M17" name="EvapFanMotors"/>
  </protectedRanges>
  <mergeCells count="6">
    <mergeCell ref="C6:M6"/>
    <mergeCell ref="N6:Q6"/>
    <mergeCell ref="B4:N4"/>
    <mergeCell ref="R6:R7"/>
    <mergeCell ref="S6:S7"/>
    <mergeCell ref="B6:B7"/>
  </mergeCells>
  <conditionalFormatting sqref="F8:F17">
    <cfRule type="expression" dxfId="21"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24" yWindow="317" count="5">
        <x14:dataValidation type="list" allowBlank="1" showInputMessage="1" showErrorMessage="1" xr:uid="{F3E8827F-FD31-4637-8A56-BC5A16D6CD90}">
          <x14:formula1>
            <xm:f>'Look Up Tables'!$D$3:$D$4</xm:f>
          </x14:formula1>
          <xm:sqref>H8:H17</xm:sqref>
        </x14:dataValidation>
        <x14:dataValidation type="list" allowBlank="1" showInputMessage="1" showErrorMessage="1" xr:uid="{5575D01D-9A60-4C7A-B6AA-62DF03228DC3}">
          <x14:formula1>
            <xm:f>'Look Up Tables'!$B$33:$B$34</xm:f>
          </x14:formula1>
          <xm:sqref>I8:I17</xm:sqref>
        </x14:dataValidation>
        <x14:dataValidation type="list" allowBlank="1" showInputMessage="1" showErrorMessage="1" promptTitle="Retrofit Only" prompt="This measure is intended for Retrofit applications only. If your application is a New Construction application, please contact CLEAResult staff." xr:uid="{539FFD60-75AF-452F-8B1A-7EEAE567EEAA}">
          <x14:formula1>
            <xm:f>'Look Up Tables'!$F$33:$F$34</xm:f>
          </x14:formula1>
          <xm:sqref>F8:F17</xm:sqref>
        </x14:dataValidation>
        <x14:dataValidation type="list" allowBlank="1" showInputMessage="1" showErrorMessage="1" xr:uid="{0A6D6FE0-13BC-474A-B993-164C7D2F0054}">
          <x14:formula1>
            <xm:f>'Look Up Tables'!$B$9:$B$10</xm:f>
          </x14:formula1>
          <xm:sqref>G8:G17</xm:sqref>
        </x14:dataValidation>
        <x14:dataValidation type="list" allowBlank="1" showInputMessage="1" showErrorMessage="1" xr:uid="{85EB5BFF-D0BC-4D86-8687-DD901A0B7BDD}">
          <x14:formula1>
            <xm:f>'Look Up Tables'!$B$35:$B$36</xm:f>
          </x14:formula1>
          <xm:sqref>J8:J17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2E27E-6D0E-4950-AACB-FA58288800E0}">
  <sheetPr codeName="Sheet9">
    <tabColor theme="8" tint="0.59999389629810485"/>
  </sheetPr>
  <dimension ref="A1:AR65"/>
  <sheetViews>
    <sheetView zoomScaleNormal="100" workbookViewId="0">
      <selection activeCell="P8" sqref="P8"/>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8" width="15.625" style="145" customWidth="1"/>
    <col min="9" max="9" width="11.125" style="145" customWidth="1"/>
    <col min="10" max="12" width="8.625" style="145" hidden="1" customWidth="1"/>
    <col min="13" max="16" width="12.625" style="145" customWidth="1"/>
    <col min="17" max="18" width="8.625" style="145" hidden="1" customWidth="1"/>
    <col min="19" max="19" width="23.625" style="145" hidden="1" customWidth="1"/>
    <col min="20" max="20" width="20" style="145" hidden="1" customWidth="1"/>
    <col min="21" max="21" width="14.125" style="145" customWidth="1"/>
    <col min="22" max="16384" width="8.625" style="145"/>
  </cols>
  <sheetData>
    <row r="1" spans="1:44" x14ac:dyDescent="0.2">
      <c r="A1" s="144" t="s">
        <v>795</v>
      </c>
      <c r="J1" s="145" t="s">
        <v>207</v>
      </c>
      <c r="K1" s="145" t="s">
        <v>207</v>
      </c>
      <c r="L1" s="145" t="s">
        <v>207</v>
      </c>
      <c r="Q1" s="145" t="s">
        <v>207</v>
      </c>
      <c r="R1" s="145" t="s">
        <v>207</v>
      </c>
      <c r="S1" s="145" t="s">
        <v>207</v>
      </c>
      <c r="T1" s="145" t="s">
        <v>207</v>
      </c>
    </row>
    <row r="2" spans="1:44" ht="9.75" customHeight="1" x14ac:dyDescent="0.2"/>
    <row r="3" spans="1:44" ht="34.5" customHeight="1" x14ac:dyDescent="0.5">
      <c r="B3" s="783" t="s">
        <v>221</v>
      </c>
      <c r="C3" s="784"/>
      <c r="D3" s="784"/>
      <c r="E3" s="784"/>
      <c r="F3" s="784"/>
      <c r="G3" s="784"/>
      <c r="H3" s="784"/>
      <c r="I3" s="785"/>
      <c r="J3" s="785"/>
    </row>
    <row r="4" spans="1:44" ht="29.1" customHeight="1" x14ac:dyDescent="0.2">
      <c r="B4" s="923" t="s">
        <v>210</v>
      </c>
      <c r="C4" s="923"/>
      <c r="D4" s="923"/>
      <c r="E4" s="923"/>
      <c r="F4" s="923"/>
      <c r="G4" s="923"/>
      <c r="H4" s="923"/>
      <c r="I4" s="923"/>
      <c r="J4" s="923"/>
      <c r="K4" s="207"/>
      <c r="L4" s="207"/>
      <c r="AB4" s="935"/>
      <c r="AC4" s="935"/>
      <c r="AD4" s="935"/>
      <c r="AE4" s="935"/>
      <c r="AF4" s="935"/>
      <c r="AG4" s="935"/>
    </row>
    <row r="5" spans="1:44" ht="9" customHeight="1" thickBot="1" x14ac:dyDescent="0.3">
      <c r="B5" s="148"/>
      <c r="C5" s="148"/>
      <c r="D5" s="148"/>
      <c r="E5" s="148"/>
      <c r="F5" s="148"/>
      <c r="AB5" s="935"/>
      <c r="AC5" s="935"/>
      <c r="AD5" s="935"/>
      <c r="AE5" s="935"/>
      <c r="AF5" s="935"/>
      <c r="AG5" s="935"/>
    </row>
    <row r="6" spans="1:44" s="149" customFormat="1" ht="22.35" customHeight="1" x14ac:dyDescent="0.2">
      <c r="B6" s="926" t="s">
        <v>275</v>
      </c>
      <c r="C6" s="929" t="s">
        <v>796</v>
      </c>
      <c r="D6" s="930"/>
      <c r="E6" s="930"/>
      <c r="F6" s="930"/>
      <c r="G6" s="930"/>
      <c r="H6" s="930"/>
      <c r="I6" s="936"/>
      <c r="J6" s="921" t="s">
        <v>797</v>
      </c>
      <c r="K6" s="921"/>
      <c r="L6" s="921"/>
      <c r="M6" s="921"/>
      <c r="N6" s="921"/>
      <c r="O6" s="921"/>
      <c r="P6" s="922"/>
      <c r="Q6" s="926" t="s">
        <v>812</v>
      </c>
      <c r="R6" s="939" t="s">
        <v>813</v>
      </c>
      <c r="S6" s="926" t="s">
        <v>814</v>
      </c>
      <c r="T6" s="937" t="s">
        <v>219</v>
      </c>
      <c r="U6" s="926" t="s">
        <v>798</v>
      </c>
      <c r="W6" s="150"/>
      <c r="X6" s="150"/>
      <c r="Y6" s="150"/>
      <c r="Z6" s="150"/>
      <c r="AA6" s="150"/>
      <c r="AB6" s="935"/>
      <c r="AC6" s="935"/>
      <c r="AD6" s="935"/>
      <c r="AE6" s="935"/>
      <c r="AF6" s="935"/>
      <c r="AG6" s="935"/>
    </row>
    <row r="7" spans="1:44" s="150" customFormat="1" ht="33.75" customHeight="1" thickBot="1" x14ac:dyDescent="0.25">
      <c r="B7" s="928"/>
      <c r="C7" s="761" t="s">
        <v>799</v>
      </c>
      <c r="D7" s="766" t="s">
        <v>141</v>
      </c>
      <c r="E7" s="766" t="s">
        <v>143</v>
      </c>
      <c r="F7" s="762" t="s">
        <v>145</v>
      </c>
      <c r="G7" s="762" t="s">
        <v>800</v>
      </c>
      <c r="H7" s="762" t="s">
        <v>815</v>
      </c>
      <c r="I7" s="764" t="s">
        <v>816</v>
      </c>
      <c r="J7" s="762" t="s">
        <v>817</v>
      </c>
      <c r="K7" s="762" t="s">
        <v>818</v>
      </c>
      <c r="L7" s="762" t="s">
        <v>819</v>
      </c>
      <c r="M7" s="762" t="s">
        <v>192</v>
      </c>
      <c r="N7" s="763" t="s">
        <v>806</v>
      </c>
      <c r="O7" s="763" t="s">
        <v>807</v>
      </c>
      <c r="P7" s="764" t="s">
        <v>808</v>
      </c>
      <c r="Q7" s="927"/>
      <c r="R7" s="940"/>
      <c r="S7" s="927"/>
      <c r="T7" s="938"/>
      <c r="U7" s="928"/>
      <c r="AB7" s="935"/>
      <c r="AC7" s="935"/>
      <c r="AD7" s="935"/>
      <c r="AE7" s="935"/>
      <c r="AF7" s="935"/>
      <c r="AG7" s="935"/>
    </row>
    <row r="8" spans="1:44" s="149" customFormat="1" ht="21.75" customHeight="1" thickBot="1" x14ac:dyDescent="0.25">
      <c r="B8" s="376">
        <v>1</v>
      </c>
      <c r="C8" s="166"/>
      <c r="D8" s="168"/>
      <c r="E8" s="168"/>
      <c r="F8" s="168"/>
      <c r="G8" s="168"/>
      <c r="H8" s="168"/>
      <c r="I8" s="169"/>
      <c r="J8" s="426">
        <v>0.13</v>
      </c>
      <c r="K8" s="193">
        <v>0.90700000000000003</v>
      </c>
      <c r="L8" s="593">
        <v>8760</v>
      </c>
      <c r="M8" s="591" t="str">
        <f>IFERROR(IF(F8="Retrofit",ROUND(I8*J8*(K8-VLOOKUP(H8,'Look Up Tables'!$B$328:$C$330,2,FALSE))*L8*VLOOKUP(G8,'Look Up Tables'!$B$334:$C$335,2,FALSE),2),""),"")</f>
        <v/>
      </c>
      <c r="N8" s="496" t="str">
        <f>IFERROR(IF(F8="Retrofit",ROUND(M8*'Look Up Tables'!$C$167,4),""),"")</f>
        <v/>
      </c>
      <c r="O8" s="496" t="str">
        <f>IFERROR(IF(F8="Retrofit",ROUND(M8*'Look Up Tables'!$C$166,4),""),"")</f>
        <v/>
      </c>
      <c r="P8" s="500" t="str">
        <f t="shared" ref="P8:P17" si="0">IFERROR(ROUND((N8+O8)/2,4),"")</f>
        <v/>
      </c>
      <c r="Q8" s="497" t="str">
        <f>IF(G8='Look Up Tables'!$D$3,"Frz",IF(G8='Look Up Tables'!$D$4,"Cool",""))</f>
        <v/>
      </c>
      <c r="R8" s="403" t="str">
        <f>IF(H8="","",IF(H8='Look Up Tables'!$R$40,"OnOff",IF(H8='Look Up Tables'!$R$41,"MP",IF(H8='Look Up Tables'!$R$42="Unknown",""))))</f>
        <v/>
      </c>
      <c r="S8" s="403" t="str">
        <f t="shared" ref="S8:S17" si="1">IF(H8="","",_xlfn.CONCAT("ASHTRCntrl",R8,Q8))</f>
        <v/>
      </c>
      <c r="T8" s="181" t="str">
        <f>IFERROR(M8*Incentives!$C$4+P8*Incentives!$C$5,"")</f>
        <v/>
      </c>
      <c r="U8" s="490" t="str">
        <f>IFERROR(T8*'Project Summary'!$H$37/'Project Summary'!$G$37,"")</f>
        <v/>
      </c>
      <c r="V8" s="150"/>
      <c r="W8" s="150"/>
      <c r="X8" s="150"/>
      <c r="Y8" s="150"/>
      <c r="Z8" s="150"/>
      <c r="AA8" s="150"/>
      <c r="AB8" s="935"/>
      <c r="AC8" s="935"/>
      <c r="AD8" s="935"/>
      <c r="AE8" s="935"/>
      <c r="AF8" s="935"/>
      <c r="AG8" s="935"/>
      <c r="AH8" s="150"/>
      <c r="AI8" s="150"/>
      <c r="AJ8" s="150"/>
      <c r="AK8" s="150"/>
      <c r="AL8" s="150"/>
      <c r="AM8" s="150"/>
      <c r="AN8" s="150"/>
      <c r="AO8" s="150"/>
      <c r="AP8" s="150"/>
      <c r="AQ8" s="150"/>
      <c r="AR8" s="150"/>
    </row>
    <row r="9" spans="1:44" s="149" customFormat="1" ht="21.75" customHeight="1" thickBot="1" x14ac:dyDescent="0.25">
      <c r="B9" s="327">
        <v>2</v>
      </c>
      <c r="C9" s="170"/>
      <c r="D9" s="171"/>
      <c r="E9" s="171"/>
      <c r="F9" s="171"/>
      <c r="G9" s="171"/>
      <c r="H9" s="171"/>
      <c r="I9" s="172"/>
      <c r="J9" s="732">
        <v>0.13</v>
      </c>
      <c r="K9" s="160">
        <v>0.90700000000000003</v>
      </c>
      <c r="L9" s="594">
        <v>8760</v>
      </c>
      <c r="M9" s="733" t="str">
        <f>IFERROR(IF(F9="Retrofit",ROUND(I9*J9*(K9-VLOOKUP(H9,'Look Up Tables'!$B$328:$C$330,2,FALSE))*L9*VLOOKUP(G9,'Look Up Tables'!$B$334:$C$335,2,FALSE),2),""),"")</f>
        <v/>
      </c>
      <c r="N9" s="498" t="str">
        <f>IFERROR(IF(F9="Retrofit",ROUND(M9*'Look Up Tables'!$C$167,4),""),"")</f>
        <v/>
      </c>
      <c r="O9" s="498" t="str">
        <f>IFERROR(IF(F9="Retrofit",ROUND(M9*'Look Up Tables'!$C$166,4),""),"")</f>
        <v/>
      </c>
      <c r="P9" s="501" t="str">
        <f t="shared" si="0"/>
        <v/>
      </c>
      <c r="Q9" s="734" t="str">
        <f>IF(G9='Look Up Tables'!$D$3,"Frz",IF(G9='Look Up Tables'!$D$4,"Cool",""))</f>
        <v/>
      </c>
      <c r="R9" s="307" t="str">
        <f>IF(H9="","",IF(H9='Look Up Tables'!$R$40,"OnOff",IF(H9='Look Up Tables'!$R$41,"MP",IF(H9='Look Up Tables'!$R$42="Unknown",""))))</f>
        <v/>
      </c>
      <c r="S9" s="307" t="str">
        <f t="shared" si="1"/>
        <v/>
      </c>
      <c r="T9" s="181" t="str">
        <f>IFERROR(M9*Incentives!$C$4+P9*Incentives!$C$5,"")</f>
        <v/>
      </c>
      <c r="U9" s="491" t="str">
        <f>IFERROR(T9*'Project Summary'!$H$37/'Project Summary'!$G$37,"")</f>
        <v/>
      </c>
      <c r="V9" s="150"/>
      <c r="W9" s="150"/>
      <c r="X9" s="150"/>
      <c r="Y9" s="150"/>
      <c r="Z9" s="150"/>
      <c r="AA9" s="150"/>
      <c r="AB9" s="935"/>
      <c r="AC9" s="935"/>
      <c r="AD9" s="935"/>
      <c r="AE9" s="935"/>
      <c r="AF9" s="935"/>
      <c r="AG9" s="935"/>
      <c r="AH9" s="150"/>
      <c r="AI9" s="150"/>
      <c r="AJ9" s="150"/>
      <c r="AK9" s="150"/>
      <c r="AL9" s="150"/>
      <c r="AM9" s="150"/>
      <c r="AN9" s="150"/>
      <c r="AO9" s="150"/>
      <c r="AP9" s="150"/>
      <c r="AQ9" s="150"/>
      <c r="AR9" s="150"/>
    </row>
    <row r="10" spans="1:44" s="149" customFormat="1" ht="21.75" customHeight="1" thickBot="1" x14ac:dyDescent="0.25">
      <c r="B10" s="327">
        <v>3</v>
      </c>
      <c r="C10" s="170"/>
      <c r="D10" s="171"/>
      <c r="E10" s="171"/>
      <c r="F10" s="171"/>
      <c r="G10" s="171"/>
      <c r="H10" s="171"/>
      <c r="I10" s="172"/>
      <c r="J10" s="732">
        <v>0.13</v>
      </c>
      <c r="K10" s="160">
        <v>0.90700000000000003</v>
      </c>
      <c r="L10" s="594">
        <v>8760</v>
      </c>
      <c r="M10" s="733" t="str">
        <f>IFERROR(IF(F10="Retrofit",ROUND(I10*J10*(K10-VLOOKUP(H10,'Look Up Tables'!$B$328:$C$330,2,FALSE))*L10*VLOOKUP(G10,'Look Up Tables'!$B$334:$C$335,2,FALSE),2),""),"")</f>
        <v/>
      </c>
      <c r="N10" s="498" t="str">
        <f>IFERROR(IF(F10="Retrofit",ROUND(M10*'Look Up Tables'!$C$167,4),""),"")</f>
        <v/>
      </c>
      <c r="O10" s="498" t="str">
        <f>IFERROR(IF(F10="Retrofit",ROUND(M10*'Look Up Tables'!$C$166,4),""),"")</f>
        <v/>
      </c>
      <c r="P10" s="501" t="str">
        <f t="shared" si="0"/>
        <v/>
      </c>
      <c r="Q10" s="734" t="str">
        <f>IF(G10='Look Up Tables'!$D$3,"Frz",IF(G10='Look Up Tables'!$D$4,"Cool",""))</f>
        <v/>
      </c>
      <c r="R10" s="307" t="str">
        <f>IF(H10="","",IF(H10='Look Up Tables'!$R$40,"OnOff",IF(H10='Look Up Tables'!$R$41,"MP",IF(H10='Look Up Tables'!$R$42="Unknown",""))))</f>
        <v/>
      </c>
      <c r="S10" s="307" t="str">
        <f t="shared" si="1"/>
        <v/>
      </c>
      <c r="T10" s="181" t="str">
        <f>IFERROR(M10*Incentives!$C$4+P10*Incentives!$C$5,"")</f>
        <v/>
      </c>
      <c r="U10" s="491" t="str">
        <f>IFERROR(T10*'Project Summary'!$H$37/'Project Summary'!$G$37,"")</f>
        <v/>
      </c>
      <c r="V10" s="150"/>
      <c r="W10" s="150"/>
      <c r="X10" s="150"/>
      <c r="Y10" s="150"/>
      <c r="Z10" s="150"/>
      <c r="AA10" s="150"/>
      <c r="AB10" s="935"/>
      <c r="AC10" s="935"/>
      <c r="AD10" s="935"/>
      <c r="AE10" s="935"/>
      <c r="AF10" s="935"/>
      <c r="AG10" s="935"/>
      <c r="AH10" s="150"/>
      <c r="AI10" s="150"/>
      <c r="AJ10" s="150"/>
      <c r="AK10" s="150"/>
      <c r="AL10" s="150"/>
      <c r="AM10" s="150"/>
      <c r="AN10" s="150"/>
      <c r="AO10" s="150"/>
      <c r="AP10" s="150"/>
      <c r="AQ10" s="150"/>
      <c r="AR10" s="150"/>
    </row>
    <row r="11" spans="1:44" s="149" customFormat="1" ht="21.75" customHeight="1" thickBot="1" x14ac:dyDescent="0.25">
      <c r="B11" s="327">
        <v>4</v>
      </c>
      <c r="C11" s="170"/>
      <c r="D11" s="171"/>
      <c r="E11" s="171"/>
      <c r="F11" s="171"/>
      <c r="G11" s="171"/>
      <c r="H11" s="173"/>
      <c r="I11" s="172"/>
      <c r="J11" s="732">
        <v>0.13</v>
      </c>
      <c r="K11" s="160">
        <v>0.90700000000000003</v>
      </c>
      <c r="L11" s="594">
        <v>8760</v>
      </c>
      <c r="M11" s="733" t="str">
        <f>IFERROR(IF(F11="Retrofit",ROUND(I11*J11*(K11-VLOOKUP(H11,'Look Up Tables'!$B$328:$C$330,2,FALSE))*L11*VLOOKUP(G11,'Look Up Tables'!$B$334:$C$335,2,FALSE),2),""),"")</f>
        <v/>
      </c>
      <c r="N11" s="498" t="str">
        <f>IFERROR(IF(F11="Retrofit",ROUND(M11*'Look Up Tables'!$C$167,4),""),"")</f>
        <v/>
      </c>
      <c r="O11" s="498" t="str">
        <f>IFERROR(IF(F11="Retrofit",ROUND(M11*'Look Up Tables'!$C$166,4),""),"")</f>
        <v/>
      </c>
      <c r="P11" s="501" t="str">
        <f t="shared" si="0"/>
        <v/>
      </c>
      <c r="Q11" s="734" t="str">
        <f>IF(G11='Look Up Tables'!$D$3,"Frz",IF(G11='Look Up Tables'!$D$4,"Cool",""))</f>
        <v/>
      </c>
      <c r="R11" s="307" t="str">
        <f>IF(H11="","",IF(H11='Look Up Tables'!$R$40,"OnOff",IF(H11='Look Up Tables'!$R$41,"MP",IF(H11='Look Up Tables'!$R$42="Unknown",""))))</f>
        <v/>
      </c>
      <c r="S11" s="307" t="str">
        <f t="shared" si="1"/>
        <v/>
      </c>
      <c r="T11" s="181" t="str">
        <f>IFERROR(M11*Incentives!$C$4+P11*Incentives!$C$5,"")</f>
        <v/>
      </c>
      <c r="U11" s="491" t="str">
        <f>IFERROR(T11*'Project Summary'!$H$37/'Project Summary'!$G$37,"")</f>
        <v/>
      </c>
      <c r="V11" s="150"/>
      <c r="W11" s="150"/>
      <c r="X11" s="150"/>
      <c r="Y11" s="150"/>
      <c r="Z11" s="150"/>
      <c r="AA11" s="150"/>
      <c r="AB11" s="935"/>
      <c r="AC11" s="935"/>
      <c r="AD11" s="935"/>
      <c r="AE11" s="935"/>
      <c r="AF11" s="935"/>
      <c r="AG11" s="935"/>
      <c r="AH11" s="150"/>
      <c r="AI11" s="150"/>
      <c r="AJ11" s="150"/>
      <c r="AK11" s="150"/>
      <c r="AL11" s="150"/>
      <c r="AM11" s="150"/>
      <c r="AN11" s="150"/>
      <c r="AO11" s="150"/>
      <c r="AP11" s="150"/>
      <c r="AQ11" s="150"/>
      <c r="AR11" s="150"/>
    </row>
    <row r="12" spans="1:44" s="149" customFormat="1" ht="21.75" customHeight="1" thickBot="1" x14ac:dyDescent="0.25">
      <c r="B12" s="327">
        <v>5</v>
      </c>
      <c r="C12" s="170"/>
      <c r="D12" s="171"/>
      <c r="E12" s="171"/>
      <c r="F12" s="171"/>
      <c r="G12" s="171"/>
      <c r="H12" s="171"/>
      <c r="I12" s="172"/>
      <c r="J12" s="732">
        <v>0.13</v>
      </c>
      <c r="K12" s="160">
        <v>0.90700000000000003</v>
      </c>
      <c r="L12" s="594">
        <v>8760</v>
      </c>
      <c r="M12" s="733" t="str">
        <f>IFERROR(IF(F12="Retrofit",ROUND(I12*J12*(K12-VLOOKUP(H12,'Look Up Tables'!$B$328:$C$330,2,FALSE))*L12*VLOOKUP(G12,'Look Up Tables'!$B$334:$C$335,2,FALSE),2),""),"")</f>
        <v/>
      </c>
      <c r="N12" s="498" t="str">
        <f>IFERROR(IF(F12="Retrofit",ROUND(M12*'Look Up Tables'!$C$167,4),""),"")</f>
        <v/>
      </c>
      <c r="O12" s="498" t="str">
        <f>IFERROR(IF(F12="Retrofit",ROUND(M12*'Look Up Tables'!$C$166,4),""),"")</f>
        <v/>
      </c>
      <c r="P12" s="501" t="str">
        <f t="shared" si="0"/>
        <v/>
      </c>
      <c r="Q12" s="734" t="str">
        <f>IF(G12='Look Up Tables'!$D$3,"Frz",IF(G12='Look Up Tables'!$D$4,"Cool",""))</f>
        <v/>
      </c>
      <c r="R12" s="307" t="str">
        <f>IF(H12="","",IF(H12='Look Up Tables'!$R$40,"OnOff",IF(H12='Look Up Tables'!$R$41,"MP",IF(H12='Look Up Tables'!$R$42="Unknown",""))))</f>
        <v/>
      </c>
      <c r="S12" s="307" t="str">
        <f t="shared" si="1"/>
        <v/>
      </c>
      <c r="T12" s="181" t="str">
        <f>IFERROR(M12*Incentives!$C$4+P12*Incentives!$C$5,"")</f>
        <v/>
      </c>
      <c r="U12" s="491" t="str">
        <f>IFERROR(T12*'Project Summary'!$H$37/'Project Summary'!$G$37,"")</f>
        <v/>
      </c>
      <c r="V12" s="150"/>
      <c r="W12" s="150"/>
      <c r="X12" s="150"/>
      <c r="Y12" s="150"/>
      <c r="Z12" s="150"/>
      <c r="AA12" s="150"/>
      <c r="AB12" s="935"/>
      <c r="AC12" s="935"/>
      <c r="AD12" s="935"/>
      <c r="AE12" s="935"/>
      <c r="AF12" s="935"/>
      <c r="AG12" s="935"/>
      <c r="AH12" s="150"/>
      <c r="AI12" s="150"/>
      <c r="AJ12" s="150"/>
      <c r="AK12" s="150"/>
      <c r="AL12" s="150"/>
      <c r="AM12" s="150"/>
      <c r="AN12" s="150"/>
      <c r="AO12" s="150"/>
      <c r="AP12" s="150"/>
      <c r="AQ12" s="150"/>
      <c r="AR12" s="150"/>
    </row>
    <row r="13" spans="1:44" s="149" customFormat="1" ht="21.75" customHeight="1" thickBot="1" x14ac:dyDescent="0.25">
      <c r="B13" s="327">
        <v>6</v>
      </c>
      <c r="C13" s="170"/>
      <c r="D13" s="171"/>
      <c r="E13" s="171"/>
      <c r="F13" s="171"/>
      <c r="G13" s="171"/>
      <c r="H13" s="171"/>
      <c r="I13" s="172"/>
      <c r="J13" s="732">
        <v>0.13</v>
      </c>
      <c r="K13" s="160">
        <v>0.90700000000000003</v>
      </c>
      <c r="L13" s="594">
        <v>8760</v>
      </c>
      <c r="M13" s="733" t="str">
        <f>IFERROR(IF(F13="Retrofit",ROUND(I13*J13*(K13-VLOOKUP(H13,'Look Up Tables'!$B$328:$C$330,2,FALSE))*L13*VLOOKUP(G13,'Look Up Tables'!$B$334:$C$335,2,FALSE),2),""),"")</f>
        <v/>
      </c>
      <c r="N13" s="498" t="str">
        <f>IFERROR(IF(F13="Retrofit",ROUND(M13*'Look Up Tables'!$C$167,4),""),"")</f>
        <v/>
      </c>
      <c r="O13" s="498" t="str">
        <f>IFERROR(IF(F13="Retrofit",ROUND(M13*'Look Up Tables'!$C$166,4),""),"")</f>
        <v/>
      </c>
      <c r="P13" s="501" t="str">
        <f t="shared" si="0"/>
        <v/>
      </c>
      <c r="Q13" s="734" t="str">
        <f>IF(G13='Look Up Tables'!$D$3,"Frz",IF(G13='Look Up Tables'!$D$4,"Cool",""))</f>
        <v/>
      </c>
      <c r="R13" s="307" t="str">
        <f>IF(H13="","",IF(H13='Look Up Tables'!$R$40,"OnOff",IF(H13='Look Up Tables'!$R$41,"MP",IF(H13='Look Up Tables'!$R$42="Unknown",""))))</f>
        <v/>
      </c>
      <c r="S13" s="307" t="str">
        <f t="shared" si="1"/>
        <v/>
      </c>
      <c r="T13" s="181" t="str">
        <f>IFERROR(M13*Incentives!$C$4+P13*Incentives!$C$5,"")</f>
        <v/>
      </c>
      <c r="U13" s="491" t="str">
        <f>IFERROR(T13*'Project Summary'!$H$37/'Project Summary'!$G$37,"")</f>
        <v/>
      </c>
      <c r="V13" s="150"/>
      <c r="W13" s="150"/>
      <c r="X13" s="150"/>
      <c r="Y13" s="150"/>
      <c r="Z13" s="150"/>
      <c r="AA13" s="150"/>
      <c r="AB13" s="935"/>
      <c r="AC13" s="935"/>
      <c r="AD13" s="935"/>
      <c r="AE13" s="935"/>
      <c r="AF13" s="935"/>
      <c r="AG13" s="935"/>
      <c r="AH13" s="150"/>
      <c r="AI13" s="150"/>
      <c r="AJ13" s="150"/>
      <c r="AK13" s="150"/>
      <c r="AL13" s="150"/>
      <c r="AM13" s="150"/>
      <c r="AN13" s="150"/>
      <c r="AO13" s="150"/>
      <c r="AP13" s="150"/>
      <c r="AQ13" s="150"/>
      <c r="AR13" s="150"/>
    </row>
    <row r="14" spans="1:44" s="149" customFormat="1" ht="21.75" customHeight="1" thickBot="1" x14ac:dyDescent="0.25">
      <c r="B14" s="327">
        <v>7</v>
      </c>
      <c r="C14" s="170"/>
      <c r="D14" s="171"/>
      <c r="E14" s="171"/>
      <c r="F14" s="171"/>
      <c r="G14" s="171"/>
      <c r="H14" s="171"/>
      <c r="I14" s="172"/>
      <c r="J14" s="732">
        <v>0.13</v>
      </c>
      <c r="K14" s="160">
        <v>0.90700000000000003</v>
      </c>
      <c r="L14" s="594">
        <v>8760</v>
      </c>
      <c r="M14" s="733" t="str">
        <f>IFERROR(IF(F14="Retrofit",ROUND(I14*J14*(K14-VLOOKUP(H14,'Look Up Tables'!$B$328:$C$330,2,FALSE))*L14*VLOOKUP(G14,'Look Up Tables'!$B$334:$C$335,2,FALSE),2),""),"")</f>
        <v/>
      </c>
      <c r="N14" s="498" t="str">
        <f>IFERROR(IF(F14="Retrofit",ROUND(M14*'Look Up Tables'!$C$167,4),""),"")</f>
        <v/>
      </c>
      <c r="O14" s="498" t="str">
        <f>IFERROR(IF(F14="Retrofit",ROUND(M14*'Look Up Tables'!$C$166,4),""),"")</f>
        <v/>
      </c>
      <c r="P14" s="501" t="str">
        <f t="shared" si="0"/>
        <v/>
      </c>
      <c r="Q14" s="734" t="str">
        <f>IF(G14='Look Up Tables'!$D$3,"Frz",IF(G14='Look Up Tables'!$D$4,"Cool",""))</f>
        <v/>
      </c>
      <c r="R14" s="307" t="str">
        <f>IF(H14="","",IF(H14='Look Up Tables'!$R$40,"OnOff",IF(H14='Look Up Tables'!$R$41,"MP",IF(H14='Look Up Tables'!$R$42="Unknown",""))))</f>
        <v/>
      </c>
      <c r="S14" s="307" t="str">
        <f t="shared" si="1"/>
        <v/>
      </c>
      <c r="T14" s="181" t="str">
        <f>IFERROR(M14*Incentives!$C$4+P14*Incentives!$C$5,"")</f>
        <v/>
      </c>
      <c r="U14" s="491" t="str">
        <f>IFERROR(T14*'Project Summary'!$H$37/'Project Summary'!$G$37,"")</f>
        <v/>
      </c>
      <c r="V14" s="150"/>
      <c r="W14" s="150"/>
      <c r="X14" s="150"/>
      <c r="Y14" s="150"/>
      <c r="Z14" s="150"/>
      <c r="AA14" s="150"/>
      <c r="AB14" s="935"/>
      <c r="AC14" s="935"/>
      <c r="AD14" s="935"/>
      <c r="AE14" s="935"/>
      <c r="AF14" s="935"/>
      <c r="AG14" s="935"/>
      <c r="AH14" s="150"/>
      <c r="AI14" s="150"/>
      <c r="AJ14" s="150"/>
      <c r="AK14" s="150"/>
      <c r="AL14" s="150"/>
      <c r="AM14" s="150"/>
      <c r="AN14" s="150"/>
      <c r="AO14" s="150"/>
      <c r="AP14" s="150"/>
      <c r="AQ14" s="150"/>
      <c r="AR14" s="150"/>
    </row>
    <row r="15" spans="1:44" s="149" customFormat="1" ht="21.75" customHeight="1" thickBot="1" x14ac:dyDescent="0.25">
      <c r="B15" s="327">
        <v>8</v>
      </c>
      <c r="C15" s="170"/>
      <c r="D15" s="171"/>
      <c r="E15" s="171"/>
      <c r="F15" s="171"/>
      <c r="G15" s="171"/>
      <c r="H15" s="171"/>
      <c r="I15" s="172"/>
      <c r="J15" s="732">
        <v>0.13</v>
      </c>
      <c r="K15" s="160">
        <v>0.90700000000000003</v>
      </c>
      <c r="L15" s="594">
        <v>8760</v>
      </c>
      <c r="M15" s="733" t="str">
        <f>IFERROR(IF(F15="Retrofit",ROUND(I15*J15*(K15-VLOOKUP(H15,'Look Up Tables'!$B$328:$C$330,2,FALSE))*L15*VLOOKUP(G15,'Look Up Tables'!$B$334:$C$335,2,FALSE),2),""),"")</f>
        <v/>
      </c>
      <c r="N15" s="498" t="str">
        <f>IFERROR(IF(F15="Retrofit",ROUND(M15*'Look Up Tables'!$C$167,4),""),"")</f>
        <v/>
      </c>
      <c r="O15" s="498" t="str">
        <f>IFERROR(IF(F15="Retrofit",ROUND(M15*'Look Up Tables'!$C$166,4),""),"")</f>
        <v/>
      </c>
      <c r="P15" s="501" t="str">
        <f t="shared" si="0"/>
        <v/>
      </c>
      <c r="Q15" s="734" t="str">
        <f>IF(G15='Look Up Tables'!$D$3,"Frz",IF(G15='Look Up Tables'!$D$4,"Cool",""))</f>
        <v/>
      </c>
      <c r="R15" s="307" t="str">
        <f>IF(H15="","",IF(H15='Look Up Tables'!$R$40,"OnOff",IF(H15='Look Up Tables'!$R$41,"MP",IF(H15='Look Up Tables'!$R$42="Unknown",""))))</f>
        <v/>
      </c>
      <c r="S15" s="307" t="str">
        <f t="shared" si="1"/>
        <v/>
      </c>
      <c r="T15" s="181" t="str">
        <f>IFERROR(M15*Incentives!$C$4+P15*Incentives!$C$5,"")</f>
        <v/>
      </c>
      <c r="U15" s="491" t="str">
        <f>IFERROR(T15*'Project Summary'!$H$37/'Project Summary'!$G$37,"")</f>
        <v/>
      </c>
      <c r="V15" s="150"/>
      <c r="W15" s="150"/>
      <c r="X15" s="150"/>
      <c r="Y15" s="150"/>
      <c r="Z15" s="150"/>
      <c r="AA15" s="150"/>
      <c r="AB15" s="935"/>
      <c r="AC15" s="935"/>
      <c r="AD15" s="935"/>
      <c r="AE15" s="935"/>
      <c r="AF15" s="935"/>
      <c r="AG15" s="935"/>
      <c r="AH15" s="150"/>
      <c r="AI15" s="150"/>
      <c r="AJ15" s="150"/>
      <c r="AK15" s="150"/>
      <c r="AL15" s="150"/>
      <c r="AM15" s="150"/>
      <c r="AN15" s="150"/>
      <c r="AO15" s="150"/>
      <c r="AP15" s="150"/>
      <c r="AQ15" s="150"/>
      <c r="AR15" s="150"/>
    </row>
    <row r="16" spans="1:44" s="149" customFormat="1" ht="21.75" customHeight="1" thickBot="1" x14ac:dyDescent="0.25">
      <c r="B16" s="327">
        <v>9</v>
      </c>
      <c r="C16" s="170"/>
      <c r="D16" s="171"/>
      <c r="E16" s="171"/>
      <c r="F16" s="171"/>
      <c r="G16" s="171"/>
      <c r="H16" s="171"/>
      <c r="I16" s="172"/>
      <c r="J16" s="732">
        <v>0.13</v>
      </c>
      <c r="K16" s="160">
        <v>0.90700000000000003</v>
      </c>
      <c r="L16" s="594">
        <v>8760</v>
      </c>
      <c r="M16" s="733" t="str">
        <f>IFERROR(IF(F16="Retrofit",ROUND(I16*J16*(K16-VLOOKUP(H16,'Look Up Tables'!$B$328:$C$330,2,FALSE))*L16*VLOOKUP(G16,'Look Up Tables'!$B$334:$C$335,2,FALSE),2),""),"")</f>
        <v/>
      </c>
      <c r="N16" s="498" t="str">
        <f>IFERROR(IF(F16="Retrofit",ROUND(M16*'Look Up Tables'!$C$167,4),""),"")</f>
        <v/>
      </c>
      <c r="O16" s="498" t="str">
        <f>IFERROR(IF(F16="Retrofit",ROUND(M16*'Look Up Tables'!$C$166,4),""),"")</f>
        <v/>
      </c>
      <c r="P16" s="501" t="str">
        <f t="shared" si="0"/>
        <v/>
      </c>
      <c r="Q16" s="734" t="str">
        <f>IF(G16='Look Up Tables'!$D$3,"Frz",IF(G16='Look Up Tables'!$D$4,"Cool",""))</f>
        <v/>
      </c>
      <c r="R16" s="307" t="str">
        <f>IF(H16="","",IF(H16='Look Up Tables'!$R$40,"OnOff",IF(H16='Look Up Tables'!$R$41,"MP",IF(H16='Look Up Tables'!$R$42="Unknown",""))))</f>
        <v/>
      </c>
      <c r="S16" s="307" t="str">
        <f t="shared" si="1"/>
        <v/>
      </c>
      <c r="T16" s="181" t="str">
        <f>IFERROR(M16*Incentives!$C$4+P16*Incentives!$C$5,"")</f>
        <v/>
      </c>
      <c r="U16" s="491" t="str">
        <f>IFERROR(T16*'Project Summary'!$H$37/'Project Summary'!$G$37,"")</f>
        <v/>
      </c>
      <c r="V16" s="150"/>
      <c r="W16" s="150"/>
      <c r="X16" s="150"/>
      <c r="Y16" s="150"/>
      <c r="Z16" s="150"/>
      <c r="AA16" s="150"/>
      <c r="AB16" s="935"/>
      <c r="AC16" s="935"/>
      <c r="AD16" s="935"/>
      <c r="AE16" s="935"/>
      <c r="AF16" s="935"/>
      <c r="AG16" s="935"/>
      <c r="AH16" s="150"/>
      <c r="AI16" s="150"/>
      <c r="AJ16" s="150"/>
      <c r="AK16" s="150"/>
      <c r="AL16" s="150"/>
      <c r="AM16" s="150"/>
      <c r="AN16" s="150"/>
      <c r="AO16" s="150"/>
      <c r="AP16" s="150"/>
      <c r="AQ16" s="150"/>
      <c r="AR16" s="150"/>
    </row>
    <row r="17" spans="2:44" s="149" customFormat="1" ht="21.75" customHeight="1" thickBot="1" x14ac:dyDescent="0.25">
      <c r="B17" s="328">
        <v>10</v>
      </c>
      <c r="C17" s="174"/>
      <c r="D17" s="177"/>
      <c r="E17" s="177"/>
      <c r="F17" s="177"/>
      <c r="G17" s="177"/>
      <c r="H17" s="177"/>
      <c r="I17" s="178"/>
      <c r="J17" s="664">
        <v>0.13</v>
      </c>
      <c r="K17" s="164">
        <v>0.90700000000000003</v>
      </c>
      <c r="L17" s="595">
        <v>8760</v>
      </c>
      <c r="M17" s="592" t="str">
        <f>IFERROR(IF(F17="Retrofit",ROUND(I17*J17*(K17-VLOOKUP(H17,'Look Up Tables'!$B$328:$C$330,2,FALSE))*L17*VLOOKUP(G17,'Look Up Tables'!$B$334:$C$335,2,FALSE),2),""),"")</f>
        <v/>
      </c>
      <c r="N17" s="499" t="str">
        <f>IFERROR(IF(F17="Retrofit",ROUND(M17*'Look Up Tables'!$C$167,4),""),"")</f>
        <v/>
      </c>
      <c r="O17" s="499" t="str">
        <f>IFERROR(IF(F17="Retrofit",ROUND(M17*'Look Up Tables'!$C$166,4),""),"")</f>
        <v/>
      </c>
      <c r="P17" s="502" t="str">
        <f t="shared" si="0"/>
        <v/>
      </c>
      <c r="Q17" s="323" t="str">
        <f>IF(G17='Look Up Tables'!$D$3,"Frz",IF(G17='Look Up Tables'!$D$4,"Cool",""))</f>
        <v/>
      </c>
      <c r="R17" s="308" t="str">
        <f>IF(H17="","",IF(H17='Look Up Tables'!$R$40,"OnOff",IF(H17='Look Up Tables'!$R$41,"MP",IF(H17='Look Up Tables'!$R$42="Unknown",""))))</f>
        <v/>
      </c>
      <c r="S17" s="308" t="str">
        <f t="shared" si="1"/>
        <v/>
      </c>
      <c r="T17" s="181" t="str">
        <f>IFERROR(M17*Incentives!$C$4+P17*Incentives!$C$5,"")</f>
        <v/>
      </c>
      <c r="U17" s="492" t="str">
        <f>IFERROR(T17*'Project Summary'!$H$37/'Project Summary'!$G$37,"")</f>
        <v/>
      </c>
      <c r="V17" s="150"/>
      <c r="W17" s="150"/>
      <c r="X17" s="150"/>
      <c r="Y17" s="150"/>
      <c r="Z17" s="150"/>
      <c r="AA17" s="150"/>
      <c r="AB17" s="935"/>
      <c r="AC17" s="935"/>
      <c r="AD17" s="935"/>
      <c r="AE17" s="935"/>
      <c r="AF17" s="935"/>
      <c r="AG17" s="935"/>
      <c r="AH17" s="150"/>
      <c r="AI17" s="150"/>
      <c r="AJ17" s="150"/>
      <c r="AK17" s="150"/>
      <c r="AL17" s="150"/>
      <c r="AM17" s="150"/>
      <c r="AN17" s="150"/>
      <c r="AO17" s="150"/>
      <c r="AP17" s="150"/>
      <c r="AQ17" s="150"/>
      <c r="AR17" s="150"/>
    </row>
    <row r="18" spans="2:44"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row>
    <row r="19" spans="2:44"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row>
    <row r="20" spans="2:44"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row>
    <row r="21" spans="2:44"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row>
    <row r="22" spans="2:44"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row>
    <row r="23" spans="2:44"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row>
    <row r="24" spans="2:44"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row>
    <row r="25" spans="2:44"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row>
    <row r="26" spans="2:44"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row>
    <row r="27" spans="2:44"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row>
    <row r="28" spans="2:44"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row>
    <row r="29" spans="2:44"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row>
    <row r="30" spans="2:44"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row>
    <row r="31" spans="2:44"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row>
    <row r="32" spans="2:44"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row>
    <row r="33" spans="2:44"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row>
    <row r="34" spans="2:44"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row>
    <row r="35" spans="2:44"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row>
    <row r="36" spans="2:44"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row>
    <row r="37" spans="2:44"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row>
    <row r="38" spans="2:44"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row>
    <row r="39" spans="2:44"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row>
    <row r="40" spans="2:44"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row>
    <row r="41" spans="2:44"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row>
    <row r="42" spans="2:44"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row>
    <row r="43" spans="2:44"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row>
    <row r="44" spans="2:44"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row>
    <row r="45" spans="2:44"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row>
    <row r="46" spans="2:44"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row>
    <row r="47" spans="2:44"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row>
    <row r="48" spans="2:44"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row>
    <row r="49" spans="2:44"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row>
    <row r="50" spans="2:44"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row>
    <row r="51" spans="2:44"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row>
    <row r="52" spans="2:44"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row>
    <row r="53" spans="2:44"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row>
    <row r="54" spans="2:44"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row>
    <row r="55" spans="2:44"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row>
    <row r="56" spans="2:44"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row>
    <row r="57" spans="2:44"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row>
    <row r="58" spans="2:44"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row>
    <row r="59" spans="2:44"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row>
    <row r="60" spans="2:44"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row>
    <row r="61" spans="2:44"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row>
    <row r="62" spans="2:44"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row>
    <row r="63" spans="2:44"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row>
    <row r="64" spans="2:44"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row>
    <row r="65" spans="2:44"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row>
  </sheetData>
  <sheetProtection algorithmName="SHA-512" hashValue="0f2LFaa3suXjQJ0myzRKCmy6S8Q6kzK6mwQ428hfU1Za6vXFx/tPmxh1UUPim4yn0g7lvv890GVPM1UAe0a4qw==" saltValue="m9gZUbHoEpAE3DtFM2HNEg==" spinCount="100000" sheet="1" formatColumns="0"/>
  <mergeCells count="10">
    <mergeCell ref="AB4:AG17"/>
    <mergeCell ref="B4:J4"/>
    <mergeCell ref="C6:I6"/>
    <mergeCell ref="J6:P6"/>
    <mergeCell ref="T6:T7"/>
    <mergeCell ref="U6:U7"/>
    <mergeCell ref="B6:B7"/>
    <mergeCell ref="S6:S7"/>
    <mergeCell ref="Q6:Q7"/>
    <mergeCell ref="R6:R7"/>
  </mergeCells>
  <conditionalFormatting sqref="F8:F17">
    <cfRule type="expression" dxfId="20"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Retrofit Only" prompt="This measure is for retrofit projects only. If new Construction, please contact CLEAResult for further assistance._x000a_" xr:uid="{7971FF9C-8E99-4299-A2FE-20EFBD612D44}">
          <x14:formula1>
            <xm:f>'Look Up Tables'!$F$33:$F$34</xm:f>
          </x14:formula1>
          <xm:sqref>F8:F17</xm:sqref>
        </x14:dataValidation>
        <x14:dataValidation type="list" allowBlank="1" showInputMessage="1" showErrorMessage="1" xr:uid="{8E2C3451-017E-49AF-A58A-0072335C75EF}">
          <x14:formula1>
            <xm:f>'Look Up Tables'!$D$3:$D$4</xm:f>
          </x14:formula1>
          <xm:sqref>G8:G17</xm:sqref>
        </x14:dataValidation>
        <x14:dataValidation type="list" allowBlank="1" showInputMessage="1" showErrorMessage="1" xr:uid="{74BDEDFA-8F74-43D6-A4F5-81A123ECD79D}">
          <x14:formula1>
            <xm:f>'Look Up Tables'!$J$77:$J$79</xm:f>
          </x14:formula1>
          <xm:sqref>H8:H17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E14A8-6726-446B-A3D8-DB146FA3E704}">
  <sheetPr codeName="Sheet8">
    <tabColor theme="8" tint="0.59999389629810485"/>
  </sheetPr>
  <dimension ref="A1:AS65"/>
  <sheetViews>
    <sheetView zoomScale="80" zoomScaleNormal="80" workbookViewId="0">
      <selection activeCell="C8" sqref="C8"/>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31.125" style="145" customWidth="1"/>
    <col min="8" max="9" width="12.125" style="145" customWidth="1"/>
    <col min="10" max="10" width="9.125" style="145" customWidth="1"/>
    <col min="11" max="11" width="11.625" style="145" hidden="1" customWidth="1"/>
    <col min="12" max="12" width="25.125" style="145" hidden="1" customWidth="1"/>
    <col min="13" max="15" width="8.625" style="145" hidden="1" customWidth="1"/>
    <col min="16" max="16" width="9.625" style="145" hidden="1" customWidth="1"/>
    <col min="17" max="20" width="12.625" style="145" customWidth="1"/>
    <col min="21" max="21" width="8.625" style="145" hidden="1" customWidth="1"/>
    <col min="22" max="22" width="13.125" style="145" customWidth="1"/>
    <col min="23" max="25" width="8.625" style="145"/>
    <col min="26" max="26" width="23.625" style="145" customWidth="1"/>
    <col min="27" max="16383" width="8.625" style="145"/>
    <col min="16384" max="16384" width="8.625" style="145" bestFit="1" customWidth="1"/>
  </cols>
  <sheetData>
    <row r="1" spans="1:45" x14ac:dyDescent="0.2">
      <c r="A1" s="144" t="s">
        <v>795</v>
      </c>
      <c r="K1" s="145" t="s">
        <v>207</v>
      </c>
      <c r="L1" s="145" t="s">
        <v>207</v>
      </c>
      <c r="M1" s="145" t="s">
        <v>207</v>
      </c>
      <c r="N1" s="145" t="s">
        <v>207</v>
      </c>
      <c r="O1" s="145" t="s">
        <v>207</v>
      </c>
      <c r="P1" s="145" t="s">
        <v>207</v>
      </c>
      <c r="U1" s="145" t="s">
        <v>207</v>
      </c>
    </row>
    <row r="2" spans="1:45" ht="9.75" customHeight="1" x14ac:dyDescent="0.2"/>
    <row r="3" spans="1:45" ht="34.5" customHeight="1" x14ac:dyDescent="0.5">
      <c r="B3" s="188" t="s">
        <v>31</v>
      </c>
      <c r="C3" s="147"/>
      <c r="D3" s="147"/>
      <c r="E3" s="147"/>
      <c r="F3" s="147"/>
      <c r="G3" s="147"/>
      <c r="Z3" s="379"/>
    </row>
    <row r="4" spans="1:45" ht="29.1" customHeight="1" x14ac:dyDescent="0.2">
      <c r="B4" s="189" t="s">
        <v>210</v>
      </c>
      <c r="C4" s="190"/>
      <c r="D4" s="190"/>
      <c r="E4" s="190"/>
      <c r="F4" s="190"/>
      <c r="G4" s="190"/>
      <c r="H4" s="190"/>
      <c r="I4" s="190"/>
      <c r="J4" s="190"/>
      <c r="K4" s="190"/>
      <c r="L4" s="190"/>
      <c r="M4" s="190"/>
      <c r="N4" s="190"/>
      <c r="O4" s="190"/>
      <c r="P4" s="190"/>
      <c r="Z4" s="379"/>
    </row>
    <row r="5" spans="1:45" ht="9" customHeight="1" thickBot="1" x14ac:dyDescent="0.3">
      <c r="B5" s="148"/>
      <c r="C5" s="148"/>
      <c r="D5" s="148"/>
      <c r="E5" s="148"/>
      <c r="F5" s="148"/>
      <c r="Z5" s="379"/>
    </row>
    <row r="6" spans="1:45" s="149" customFormat="1" ht="22.35" customHeight="1" x14ac:dyDescent="0.2">
      <c r="B6" s="941" t="s">
        <v>275</v>
      </c>
      <c r="C6" s="943" t="s">
        <v>796</v>
      </c>
      <c r="D6" s="944"/>
      <c r="E6" s="944"/>
      <c r="F6" s="944"/>
      <c r="G6" s="944"/>
      <c r="H6" s="944"/>
      <c r="I6" s="944"/>
      <c r="J6" s="945"/>
      <c r="K6" s="946" t="s">
        <v>797</v>
      </c>
      <c r="L6" s="947"/>
      <c r="M6" s="947"/>
      <c r="N6" s="947"/>
      <c r="O6" s="947"/>
      <c r="P6" s="947"/>
      <c r="Q6" s="947"/>
      <c r="R6" s="947"/>
      <c r="S6" s="947"/>
      <c r="T6" s="948"/>
      <c r="U6" s="949" t="s">
        <v>219</v>
      </c>
      <c r="V6" s="941" t="s">
        <v>798</v>
      </c>
      <c r="Z6" s="379"/>
    </row>
    <row r="7" spans="1:45" s="150" customFormat="1" ht="33.75" customHeight="1" thickBot="1" x14ac:dyDescent="0.25">
      <c r="B7" s="942"/>
      <c r="C7" s="151" t="s">
        <v>799</v>
      </c>
      <c r="D7" s="152" t="s">
        <v>141</v>
      </c>
      <c r="E7" s="152" t="s">
        <v>143</v>
      </c>
      <c r="F7" s="153" t="s">
        <v>145</v>
      </c>
      <c r="G7" s="153" t="s">
        <v>171</v>
      </c>
      <c r="H7" s="153" t="s">
        <v>173</v>
      </c>
      <c r="I7" s="179" t="s">
        <v>820</v>
      </c>
      <c r="J7" s="154" t="s">
        <v>155</v>
      </c>
      <c r="K7" s="151" t="s">
        <v>652</v>
      </c>
      <c r="L7" s="153" t="s">
        <v>774</v>
      </c>
      <c r="M7" s="153" t="s">
        <v>821</v>
      </c>
      <c r="N7" s="153" t="s">
        <v>822</v>
      </c>
      <c r="O7" s="153" t="s">
        <v>296</v>
      </c>
      <c r="P7" s="153" t="s">
        <v>823</v>
      </c>
      <c r="Q7" s="199" t="s">
        <v>192</v>
      </c>
      <c r="R7" s="199" t="s">
        <v>806</v>
      </c>
      <c r="S7" s="199" t="s">
        <v>807</v>
      </c>
      <c r="T7" s="200" t="s">
        <v>808</v>
      </c>
      <c r="U7" s="949"/>
      <c r="V7" s="950"/>
      <c r="Z7" s="379"/>
    </row>
    <row r="8" spans="1:45" s="149" customFormat="1" ht="21.75" customHeight="1" x14ac:dyDescent="0.2">
      <c r="B8" s="155">
        <v>1</v>
      </c>
      <c r="C8" s="166"/>
      <c r="D8" s="167"/>
      <c r="E8" s="167"/>
      <c r="F8" s="168"/>
      <c r="G8" s="168"/>
      <c r="H8" s="168"/>
      <c r="I8" s="168"/>
      <c r="J8" s="186"/>
      <c r="K8" s="192" t="str">
        <f>'Project Summary'!$C$10</f>
        <v/>
      </c>
      <c r="L8" s="193" t="str">
        <f>IF(OR(G8='Look Up Tables'!$I$53,G8='Look Up Tables'!$I$55),"Medium Temperature",IF(OR(G8='Look Up Tables'!$I$54,G8='Look Up Tables'!$I$56),"Low Temperature","Unknown"))</f>
        <v>Unknown</v>
      </c>
      <c r="M8" s="193">
        <f>IFERROR(VLOOKUP(G8,'Look Up Tables'!$I$53:$J$58,2,FALSE),0)</f>
        <v>0</v>
      </c>
      <c r="N8" s="193">
        <f>IFERROR(VLOOKUP(K8,'Look Up Tables'!$B$73:$H$82,'Float Control'!M8,FALSE),0)</f>
        <v>0</v>
      </c>
      <c r="O8" s="193">
        <f>IFERROR(VLOOKUP(G8,'Look Up Tables'!$B$54:$C$57,2,FALSE),0)</f>
        <v>0</v>
      </c>
      <c r="P8" s="319">
        <v>4.7149999999999999</v>
      </c>
      <c r="Q8" s="587" t="str">
        <f>IFERROR(ROUND(IF(OR(G8="Condensing Unit - Unknown",G8="Remote Condenser - Unknown"),I8*N8*J8,IF(F8="New Construction",0,IFERROR(J8*((P8/O8)*H8*N8),""))),2),"")</f>
        <v/>
      </c>
      <c r="R8" s="496" t="str">
        <f t="shared" ref="R8:R17" si="0">IFERROR(IF(F8="Retrofit",0,""),"")</f>
        <v/>
      </c>
      <c r="S8" s="496" t="str">
        <f>IFERROR(ROUND(Q8*'Look Up Tables'!$C$166,4),"")</f>
        <v/>
      </c>
      <c r="T8" s="503" t="str">
        <f t="shared" ref="T8:T17" si="1">IFERROR(ROUND((R8+S8)/2,4),"")</f>
        <v/>
      </c>
      <c r="U8" s="150" t="str">
        <f>IFERROR(Q8*Incentives!$C$4+S8*Incentives!$C$5,"")</f>
        <v/>
      </c>
      <c r="V8" s="191" t="str">
        <f>IFERROR(U8*'Project Summary'!$H$37/'Project Summary'!$G$37,"")</f>
        <v/>
      </c>
      <c r="W8" s="150"/>
      <c r="X8" s="150"/>
      <c r="Y8" s="150"/>
      <c r="Z8" s="379"/>
      <c r="AA8" s="150"/>
      <c r="AB8" s="150"/>
      <c r="AC8" s="150"/>
      <c r="AD8" s="150"/>
      <c r="AE8" s="150"/>
      <c r="AF8" s="150"/>
      <c r="AG8" s="150"/>
      <c r="AH8" s="150"/>
      <c r="AI8" s="150"/>
      <c r="AJ8" s="150"/>
      <c r="AK8" s="150"/>
      <c r="AL8" s="150"/>
      <c r="AM8" s="150"/>
      <c r="AN8" s="150"/>
      <c r="AO8" s="150"/>
      <c r="AP8" s="150"/>
      <c r="AQ8" s="150"/>
      <c r="AR8" s="150"/>
      <c r="AS8" s="150"/>
    </row>
    <row r="9" spans="1:45" s="149" customFormat="1" ht="21.75" customHeight="1" x14ac:dyDescent="0.2">
      <c r="B9" s="158">
        <v>2</v>
      </c>
      <c r="C9" s="195"/>
      <c r="D9" s="196"/>
      <c r="E9" s="196"/>
      <c r="F9" s="173"/>
      <c r="G9" s="173"/>
      <c r="H9" s="173"/>
      <c r="I9" s="173"/>
      <c r="J9" s="203"/>
      <c r="K9" s="159" t="str">
        <f>'Project Summary'!$C$10</f>
        <v/>
      </c>
      <c r="L9" s="160" t="str">
        <f>IF(OR(G9='Look Up Tables'!$I$53,G9='Look Up Tables'!$I$55),"Medium Temperature",IF(OR(G9='Look Up Tables'!$I$54,G9='Look Up Tables'!$I$56),"Low Temperature","Unknown"))</f>
        <v>Unknown</v>
      </c>
      <c r="M9" s="160">
        <f>IFERROR(VLOOKUP(G9,'Look Up Tables'!$I$53:$J$58,2,FALSE),0)</f>
        <v>0</v>
      </c>
      <c r="N9" s="160">
        <f>IFERROR(VLOOKUP(K9,'Look Up Tables'!$B$73:$H$82,'Float Control'!M9,FALSE),0)</f>
        <v>0</v>
      </c>
      <c r="O9" s="160">
        <f>IFERROR(VLOOKUP(G9,'Look Up Tables'!$B$54:$C$57,2,FALSE),0)</f>
        <v>0</v>
      </c>
      <c r="P9" s="320">
        <v>4.7149999999999999</v>
      </c>
      <c r="Q9" s="588" t="str">
        <f t="shared" ref="Q9:Q17" si="2">IFERROR(ROUND(IF(OR(G9="Condensing Unit - Unknown",G9="Remote Condenser - Unknown"),I9*N9*J9,IF(F9="New Construction",0,IFERROR(J9*((P9/O9)*H9*N9),""))),2),"")</f>
        <v/>
      </c>
      <c r="R9" s="498" t="str">
        <f t="shared" si="0"/>
        <v/>
      </c>
      <c r="S9" s="498" t="str">
        <f>IFERROR(ROUND(Q9*'Look Up Tables'!$C$166,4),"")</f>
        <v/>
      </c>
      <c r="T9" s="504" t="str">
        <f t="shared" si="1"/>
        <v/>
      </c>
      <c r="U9" s="150" t="str">
        <f>IFERROR(Q9*Incentives!$C$4+S9*Incentives!$C$5,"")</f>
        <v/>
      </c>
      <c r="V9" s="161" t="str">
        <f>IFERROR(U9*'Project Summary'!$H$37/'Project Summary'!$G$37,"")</f>
        <v/>
      </c>
      <c r="W9" s="150"/>
      <c r="X9" s="150"/>
      <c r="Y9" s="150"/>
      <c r="Z9" s="379"/>
      <c r="AA9" s="150"/>
      <c r="AB9" s="150"/>
      <c r="AC9" s="150"/>
      <c r="AD9" s="150"/>
      <c r="AE9" s="150"/>
      <c r="AF9" s="150"/>
      <c r="AG9" s="150"/>
      <c r="AH9" s="150"/>
      <c r="AI9" s="150"/>
      <c r="AJ9" s="150"/>
      <c r="AK9" s="150"/>
      <c r="AL9" s="150"/>
      <c r="AM9" s="150"/>
      <c r="AN9" s="150"/>
      <c r="AO9" s="150"/>
      <c r="AP9" s="150"/>
      <c r="AQ9" s="150"/>
      <c r="AR9" s="150"/>
      <c r="AS9" s="150"/>
    </row>
    <row r="10" spans="1:45" s="149" customFormat="1" ht="21.75" customHeight="1" x14ac:dyDescent="0.2">
      <c r="B10" s="158">
        <v>3</v>
      </c>
      <c r="C10" s="195"/>
      <c r="D10" s="196"/>
      <c r="E10" s="196"/>
      <c r="F10" s="173"/>
      <c r="G10" s="173"/>
      <c r="H10" s="173"/>
      <c r="I10" s="173"/>
      <c r="J10" s="203"/>
      <c r="K10" s="159" t="str">
        <f>'Project Summary'!$C$10</f>
        <v/>
      </c>
      <c r="L10" s="160" t="str">
        <f>IF(OR(G10='Look Up Tables'!$I$53,G10='Look Up Tables'!$I$55),"Medium Temperature",IF(OR(G10='Look Up Tables'!$I$54,G10='Look Up Tables'!$I$56),"Low Temperature","Unknown"))</f>
        <v>Unknown</v>
      </c>
      <c r="M10" s="160">
        <f>IFERROR(VLOOKUP(G10,'Look Up Tables'!$I$53:$J$58,2,FALSE),0)</f>
        <v>0</v>
      </c>
      <c r="N10" s="160">
        <f>IFERROR(VLOOKUP(K10,'Look Up Tables'!$B$73:$H$82,'Float Control'!M10,FALSE),0)</f>
        <v>0</v>
      </c>
      <c r="O10" s="160">
        <f>IFERROR(VLOOKUP(G10,'Look Up Tables'!$B$54:$C$57,2,FALSE),0)</f>
        <v>0</v>
      </c>
      <c r="P10" s="320">
        <v>4.7149999999999999</v>
      </c>
      <c r="Q10" s="588" t="str">
        <f t="shared" si="2"/>
        <v/>
      </c>
      <c r="R10" s="498" t="str">
        <f t="shared" si="0"/>
        <v/>
      </c>
      <c r="S10" s="498" t="str">
        <f>IFERROR(ROUND(Q10*'Look Up Tables'!$C$166,4),"")</f>
        <v/>
      </c>
      <c r="T10" s="504" t="str">
        <f t="shared" si="1"/>
        <v/>
      </c>
      <c r="U10" s="150" t="str">
        <f>IFERROR(Q10*Incentives!$C$4+S10*Incentives!$C$5,"")</f>
        <v/>
      </c>
      <c r="V10" s="161" t="str">
        <f>IFERROR(U10*'Project Summary'!$H$37/'Project Summary'!$G$37,"")</f>
        <v/>
      </c>
      <c r="W10" s="150"/>
      <c r="X10" s="150"/>
      <c r="Y10" s="150"/>
      <c r="Z10" s="379"/>
      <c r="AA10" s="150"/>
      <c r="AB10" s="150"/>
      <c r="AC10" s="150"/>
      <c r="AD10" s="150"/>
      <c r="AE10" s="150"/>
      <c r="AF10" s="150"/>
      <c r="AG10" s="150"/>
      <c r="AH10" s="150"/>
      <c r="AI10" s="150"/>
      <c r="AJ10" s="150"/>
      <c r="AK10" s="150"/>
      <c r="AL10" s="150"/>
      <c r="AM10" s="150"/>
      <c r="AN10" s="150"/>
      <c r="AO10" s="150"/>
      <c r="AP10" s="150"/>
      <c r="AQ10" s="150"/>
      <c r="AR10" s="150"/>
      <c r="AS10" s="150"/>
    </row>
    <row r="11" spans="1:45" s="149" customFormat="1" ht="21.75" customHeight="1" x14ac:dyDescent="0.2">
      <c r="B11" s="158">
        <v>4</v>
      </c>
      <c r="C11" s="195"/>
      <c r="D11" s="196"/>
      <c r="E11" s="196"/>
      <c r="F11" s="173"/>
      <c r="G11" s="171"/>
      <c r="H11" s="173"/>
      <c r="I11" s="173"/>
      <c r="J11" s="203"/>
      <c r="K11" s="159" t="str">
        <f>'Project Summary'!$C$10</f>
        <v/>
      </c>
      <c r="L11" s="160" t="str">
        <f>IF(OR(G11='Look Up Tables'!$I$53,G11='Look Up Tables'!$I$55),"Medium Temperature",IF(OR(G11='Look Up Tables'!$I$54,G11='Look Up Tables'!$I$56),"Low Temperature","Unknown"))</f>
        <v>Unknown</v>
      </c>
      <c r="M11" s="160">
        <f>IFERROR(VLOOKUP(G11,'Look Up Tables'!$I$53:$J$58,2,FALSE),0)</f>
        <v>0</v>
      </c>
      <c r="N11" s="160">
        <f>IFERROR(VLOOKUP(K11,'Look Up Tables'!$B$73:$H$82,'Float Control'!M11,FALSE),0)</f>
        <v>0</v>
      </c>
      <c r="O11" s="160">
        <f>IFERROR(VLOOKUP(G11,'Look Up Tables'!$B$54:$C$57,2,FALSE),0)</f>
        <v>0</v>
      </c>
      <c r="P11" s="320">
        <v>4.7149999999999999</v>
      </c>
      <c r="Q11" s="588" t="str">
        <f t="shared" si="2"/>
        <v/>
      </c>
      <c r="R11" s="498" t="str">
        <f t="shared" si="0"/>
        <v/>
      </c>
      <c r="S11" s="498" t="str">
        <f>IFERROR(ROUND(Q11*'Look Up Tables'!$C$166,4),"")</f>
        <v/>
      </c>
      <c r="T11" s="504" t="str">
        <f t="shared" si="1"/>
        <v/>
      </c>
      <c r="U11" s="150" t="str">
        <f>IFERROR(Q11*Incentives!$C$4+S11*Incentives!$C$5,"")</f>
        <v/>
      </c>
      <c r="V11" s="161" t="str">
        <f>IFERROR(U11*'Project Summary'!$H$37/'Project Summary'!$G$37,"")</f>
        <v/>
      </c>
      <c r="W11" s="150"/>
      <c r="X11" s="150"/>
      <c r="Y11" s="150"/>
      <c r="Z11" s="379"/>
      <c r="AA11" s="150"/>
      <c r="AB11" s="150"/>
      <c r="AC11" s="150"/>
      <c r="AD11" s="150"/>
      <c r="AE11" s="150"/>
      <c r="AF11" s="150"/>
      <c r="AG11" s="150"/>
      <c r="AH11" s="150"/>
      <c r="AI11" s="150"/>
      <c r="AJ11" s="150"/>
      <c r="AK11" s="150"/>
      <c r="AL11" s="150"/>
      <c r="AM11" s="150"/>
      <c r="AN11" s="150"/>
      <c r="AO11" s="150"/>
      <c r="AP11" s="150"/>
      <c r="AQ11" s="150"/>
      <c r="AR11" s="150"/>
      <c r="AS11" s="150"/>
    </row>
    <row r="12" spans="1:45" s="149" customFormat="1" ht="21.75" customHeight="1" x14ac:dyDescent="0.2">
      <c r="B12" s="158">
        <v>5</v>
      </c>
      <c r="C12" s="195"/>
      <c r="D12" s="196"/>
      <c r="E12" s="196"/>
      <c r="F12" s="173"/>
      <c r="G12" s="171"/>
      <c r="H12" s="173"/>
      <c r="I12" s="173"/>
      <c r="J12" s="203"/>
      <c r="K12" s="159" t="str">
        <f>'Project Summary'!$C$10</f>
        <v/>
      </c>
      <c r="L12" s="160" t="str">
        <f>IF(OR(G12='Look Up Tables'!$I$53,G12='Look Up Tables'!$I$55),"Medium Temperature",IF(OR(G12='Look Up Tables'!$I$54,G12='Look Up Tables'!$I$56),"Low Temperature","Unknown"))</f>
        <v>Unknown</v>
      </c>
      <c r="M12" s="160">
        <f>IFERROR(VLOOKUP(G12,'Look Up Tables'!$I$53:$J$58,2,FALSE),0)</f>
        <v>0</v>
      </c>
      <c r="N12" s="160">
        <f>IFERROR(VLOOKUP(K12,'Look Up Tables'!$B$73:$H$82,'Float Control'!M12,FALSE),0)</f>
        <v>0</v>
      </c>
      <c r="O12" s="160">
        <f>IFERROR(VLOOKUP(G12,'Look Up Tables'!$B$54:$C$57,2,FALSE),0)</f>
        <v>0</v>
      </c>
      <c r="P12" s="320">
        <v>4.7149999999999999</v>
      </c>
      <c r="Q12" s="588" t="str">
        <f t="shared" si="2"/>
        <v/>
      </c>
      <c r="R12" s="498" t="str">
        <f t="shared" si="0"/>
        <v/>
      </c>
      <c r="S12" s="498" t="str">
        <f>IFERROR(ROUND(Q12*'Look Up Tables'!$C$166,4),"")</f>
        <v/>
      </c>
      <c r="T12" s="504" t="str">
        <f t="shared" si="1"/>
        <v/>
      </c>
      <c r="U12" s="150" t="str">
        <f>IFERROR(Q12*Incentives!$C$4+S12*Incentives!$C$5,"")</f>
        <v/>
      </c>
      <c r="V12" s="161" t="str">
        <f>IFERROR(U12*'Project Summary'!$H$37/'Project Summary'!$G$37,"")</f>
        <v/>
      </c>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row>
    <row r="13" spans="1:45" s="149" customFormat="1" ht="21.75" customHeight="1" x14ac:dyDescent="0.2">
      <c r="B13" s="158">
        <v>6</v>
      </c>
      <c r="C13" s="195"/>
      <c r="D13" s="196"/>
      <c r="E13" s="196"/>
      <c r="F13" s="173"/>
      <c r="G13" s="173"/>
      <c r="H13" s="173"/>
      <c r="I13" s="173"/>
      <c r="J13" s="203"/>
      <c r="K13" s="159" t="str">
        <f>'Project Summary'!$C$10</f>
        <v/>
      </c>
      <c r="L13" s="160" t="str">
        <f>IF(OR(G13='Look Up Tables'!$I$53,G13='Look Up Tables'!$I$55),"Medium Temperature",IF(OR(G13='Look Up Tables'!$I$54,G13='Look Up Tables'!$I$56),"Low Temperature","Unknown"))</f>
        <v>Unknown</v>
      </c>
      <c r="M13" s="160">
        <f>IFERROR(VLOOKUP(G13,'Look Up Tables'!$I$53:$J$58,2,FALSE),0)</f>
        <v>0</v>
      </c>
      <c r="N13" s="160">
        <f>IFERROR(VLOOKUP(K13,'Look Up Tables'!$B$73:$H$82,'Float Control'!M13,FALSE),0)</f>
        <v>0</v>
      </c>
      <c r="O13" s="160">
        <f>IFERROR(VLOOKUP(G13,'Look Up Tables'!$B$54:$C$57,2,FALSE),0)</f>
        <v>0</v>
      </c>
      <c r="P13" s="320">
        <v>4.7149999999999999</v>
      </c>
      <c r="Q13" s="588" t="str">
        <f t="shared" si="2"/>
        <v/>
      </c>
      <c r="R13" s="498" t="str">
        <f t="shared" si="0"/>
        <v/>
      </c>
      <c r="S13" s="498" t="str">
        <f>IFERROR(ROUND(Q13*'Look Up Tables'!$C$166,4),"")</f>
        <v/>
      </c>
      <c r="T13" s="504" t="str">
        <f t="shared" si="1"/>
        <v/>
      </c>
      <c r="U13" s="150" t="str">
        <f>IFERROR(Q13*Incentives!$C$4+S13*Incentives!$C$5,"")</f>
        <v/>
      </c>
      <c r="V13" s="161" t="str">
        <f>IFERROR(U13*'Project Summary'!$H$37/'Project Summary'!$G$37,"")</f>
        <v/>
      </c>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row>
    <row r="14" spans="1:45" s="149" customFormat="1" ht="21.75" customHeight="1" x14ac:dyDescent="0.2">
      <c r="B14" s="158">
        <v>7</v>
      </c>
      <c r="C14" s="195"/>
      <c r="D14" s="196"/>
      <c r="E14" s="196"/>
      <c r="F14" s="173"/>
      <c r="G14" s="173"/>
      <c r="H14" s="173"/>
      <c r="I14" s="173"/>
      <c r="J14" s="203"/>
      <c r="K14" s="159" t="str">
        <f>'Project Summary'!$C$10</f>
        <v/>
      </c>
      <c r="L14" s="160" t="str">
        <f>IF(OR(G14='Look Up Tables'!$I$53,G14='Look Up Tables'!$I$55),"Medium Temperature",IF(OR(G14='Look Up Tables'!$I$54,G14='Look Up Tables'!$I$56),"Low Temperature","Unknown"))</f>
        <v>Unknown</v>
      </c>
      <c r="M14" s="160">
        <f>IFERROR(VLOOKUP(G14,'Look Up Tables'!$I$53:$J$58,2,FALSE),0)</f>
        <v>0</v>
      </c>
      <c r="N14" s="160">
        <f>IFERROR(VLOOKUP(K14,'Look Up Tables'!$B$73:$H$82,'Float Control'!M14,FALSE),0)</f>
        <v>0</v>
      </c>
      <c r="O14" s="160">
        <f>IFERROR(VLOOKUP(G14,'Look Up Tables'!$B$54:$C$57,2,FALSE),0)</f>
        <v>0</v>
      </c>
      <c r="P14" s="320">
        <v>4.7149999999999999</v>
      </c>
      <c r="Q14" s="588" t="str">
        <f t="shared" si="2"/>
        <v/>
      </c>
      <c r="R14" s="498" t="str">
        <f t="shared" si="0"/>
        <v/>
      </c>
      <c r="S14" s="498" t="str">
        <f>IFERROR(ROUND(Q14*'Look Up Tables'!$C$166,4),"")</f>
        <v/>
      </c>
      <c r="T14" s="504" t="str">
        <f t="shared" si="1"/>
        <v/>
      </c>
      <c r="U14" s="150" t="str">
        <f>IFERROR(Q14*Incentives!$C$4+S14*Incentives!$C$5,"")</f>
        <v/>
      </c>
      <c r="V14" s="161" t="str">
        <f>IFERROR(U14*'Project Summary'!$H$37/'Project Summary'!$G$37,"")</f>
        <v/>
      </c>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row>
    <row r="15" spans="1:45" s="149" customFormat="1" ht="21.75" customHeight="1" x14ac:dyDescent="0.2">
      <c r="B15" s="158">
        <v>8</v>
      </c>
      <c r="C15" s="195"/>
      <c r="D15" s="196"/>
      <c r="E15" s="196"/>
      <c r="F15" s="173"/>
      <c r="G15" s="173"/>
      <c r="H15" s="173"/>
      <c r="I15" s="173"/>
      <c r="J15" s="203"/>
      <c r="K15" s="159" t="str">
        <f>'Project Summary'!$C$10</f>
        <v/>
      </c>
      <c r="L15" s="160" t="str">
        <f>IF(OR(G15='Look Up Tables'!$I$53,G15='Look Up Tables'!$I$55),"Medium Temperature",IF(OR(G15='Look Up Tables'!$I$54,G15='Look Up Tables'!$I$56),"Low Temperature","Unknown"))</f>
        <v>Unknown</v>
      </c>
      <c r="M15" s="160">
        <f>IFERROR(VLOOKUP(G15,'Look Up Tables'!$I$53:$J$58,2,FALSE),0)</f>
        <v>0</v>
      </c>
      <c r="N15" s="160">
        <f>IFERROR(VLOOKUP(K15,'Look Up Tables'!$B$73:$H$82,'Float Control'!M15,FALSE),0)</f>
        <v>0</v>
      </c>
      <c r="O15" s="160">
        <f>IFERROR(VLOOKUP(G15,'Look Up Tables'!$B$54:$C$57,2,FALSE),0)</f>
        <v>0</v>
      </c>
      <c r="P15" s="320">
        <v>4.7149999999999999</v>
      </c>
      <c r="Q15" s="588" t="str">
        <f t="shared" si="2"/>
        <v/>
      </c>
      <c r="R15" s="498" t="str">
        <f t="shared" si="0"/>
        <v/>
      </c>
      <c r="S15" s="498" t="str">
        <f>IFERROR(ROUND(Q15*'Look Up Tables'!$C$166,4),"")</f>
        <v/>
      </c>
      <c r="T15" s="504" t="str">
        <f t="shared" si="1"/>
        <v/>
      </c>
      <c r="U15" s="150" t="str">
        <f>IFERROR(Q15*Incentives!$C$4+S15*Incentives!$C$5,"")</f>
        <v/>
      </c>
      <c r="V15" s="161" t="str">
        <f>IFERROR(U15*'Project Summary'!$H$37/'Project Summary'!$G$37,"")</f>
        <v/>
      </c>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row>
    <row r="16" spans="1:45" s="149" customFormat="1" ht="21.75" customHeight="1" x14ac:dyDescent="0.2">
      <c r="B16" s="158">
        <v>9</v>
      </c>
      <c r="C16" s="195"/>
      <c r="D16" s="196"/>
      <c r="E16" s="196"/>
      <c r="F16" s="173"/>
      <c r="G16" s="173"/>
      <c r="H16" s="173"/>
      <c r="I16" s="173"/>
      <c r="J16" s="203"/>
      <c r="K16" s="159" t="str">
        <f>'Project Summary'!$C$10</f>
        <v/>
      </c>
      <c r="L16" s="160" t="str">
        <f>IF(OR(G16='Look Up Tables'!$I$53,G16='Look Up Tables'!$I$55),"Medium Temperature",IF(OR(G16='Look Up Tables'!$I$54,G16='Look Up Tables'!$I$56),"Low Temperature","Unknown"))</f>
        <v>Unknown</v>
      </c>
      <c r="M16" s="160">
        <f>IFERROR(VLOOKUP(G16,'Look Up Tables'!$I$53:$J$58,2,FALSE),0)</f>
        <v>0</v>
      </c>
      <c r="N16" s="160">
        <f>IFERROR(VLOOKUP(K16,'Look Up Tables'!$B$73:$H$82,'Float Control'!M16,FALSE),0)</f>
        <v>0</v>
      </c>
      <c r="O16" s="160">
        <f>IFERROR(VLOOKUP(G16,'Look Up Tables'!$B$54:$C$57,2,FALSE),0)</f>
        <v>0</v>
      </c>
      <c r="P16" s="320">
        <v>4.7149999999999999</v>
      </c>
      <c r="Q16" s="588" t="str">
        <f t="shared" si="2"/>
        <v/>
      </c>
      <c r="R16" s="498" t="str">
        <f t="shared" si="0"/>
        <v/>
      </c>
      <c r="S16" s="498" t="str">
        <f>IFERROR(ROUND(Q16*'Look Up Tables'!$C$166,4),"")</f>
        <v/>
      </c>
      <c r="T16" s="504" t="str">
        <f t="shared" si="1"/>
        <v/>
      </c>
      <c r="U16" s="150" t="str">
        <f>IFERROR(Q16*Incentives!$C$4+S16*Incentives!$C$5,"")</f>
        <v/>
      </c>
      <c r="V16" s="161" t="str">
        <f>IFERROR(U16*'Project Summary'!$H$37/'Project Summary'!$G$37,"")</f>
        <v/>
      </c>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row>
    <row r="17" spans="2:45" s="149" customFormat="1" ht="21.75" customHeight="1" thickBot="1" x14ac:dyDescent="0.25">
      <c r="B17" s="162">
        <v>10</v>
      </c>
      <c r="C17" s="485"/>
      <c r="D17" s="486"/>
      <c r="E17" s="486"/>
      <c r="F17" s="176"/>
      <c r="G17" s="176"/>
      <c r="H17" s="176"/>
      <c r="I17" s="176"/>
      <c r="J17" s="206"/>
      <c r="K17" s="163" t="str">
        <f>'Project Summary'!$C$10</f>
        <v/>
      </c>
      <c r="L17" s="164" t="str">
        <f>IF(OR(G17='Look Up Tables'!$I$53,G17='Look Up Tables'!$I$55),"Medium Temperature",IF(OR(G17='Look Up Tables'!$I$54,G17='Look Up Tables'!$I$56),"Low Temperature","Unknown"))</f>
        <v>Unknown</v>
      </c>
      <c r="M17" s="164">
        <f>IFERROR(VLOOKUP(G17,'Look Up Tables'!$I$53:$J$58,2,FALSE),0)</f>
        <v>0</v>
      </c>
      <c r="N17" s="164">
        <f>IFERROR(VLOOKUP(K17,'Look Up Tables'!$B$73:$H$82,'Float Control'!M17,FALSE),0)</f>
        <v>0</v>
      </c>
      <c r="O17" s="164">
        <f>IFERROR(VLOOKUP(G17,'Look Up Tables'!$B$54:$C$57,2,FALSE),0)</f>
        <v>0</v>
      </c>
      <c r="P17" s="321">
        <v>4.7149999999999999</v>
      </c>
      <c r="Q17" s="605" t="str">
        <f t="shared" si="2"/>
        <v/>
      </c>
      <c r="R17" s="499" t="str">
        <f t="shared" si="0"/>
        <v/>
      </c>
      <c r="S17" s="499" t="str">
        <f>IFERROR(ROUND(Q17*'Look Up Tables'!$C$166,4),"")</f>
        <v/>
      </c>
      <c r="T17" s="505" t="str">
        <f t="shared" si="1"/>
        <v/>
      </c>
      <c r="U17" s="150" t="str">
        <f>IFERROR(Q17*Incentives!$C$4+S17*Incentives!$C$5,"")</f>
        <v/>
      </c>
      <c r="V17" s="165" t="str">
        <f>IFERROR(U17*'Project Summary'!$H$37/'Project Summary'!$G$37,"")</f>
        <v/>
      </c>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row>
    <row r="18" spans="2:45"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row>
    <row r="19" spans="2:45"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row>
    <row r="20" spans="2:45"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row>
    <row r="21" spans="2:45"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row>
    <row r="22" spans="2:45" x14ac:dyDescent="0.2">
      <c r="B22" s="150"/>
      <c r="C22" s="150"/>
      <c r="D22" s="150"/>
      <c r="E22" s="150"/>
      <c r="F22" s="150"/>
      <c r="G22" s="150"/>
      <c r="H22" s="150"/>
      <c r="I22" s="150"/>
      <c r="J22" s="150"/>
      <c r="K22" s="150"/>
      <c r="L22" s="150"/>
      <c r="M22" s="150"/>
      <c r="N22" s="150"/>
      <c r="O22" s="150"/>
      <c r="P22" s="150"/>
      <c r="Q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row>
    <row r="23" spans="2:45" x14ac:dyDescent="0.2">
      <c r="B23" s="150"/>
      <c r="C23" s="150"/>
      <c r="D23" s="150"/>
      <c r="E23" s="150"/>
      <c r="F23" s="150"/>
      <c r="G23" s="150"/>
      <c r="H23" s="150"/>
      <c r="I23" s="150"/>
      <c r="J23" s="150"/>
      <c r="K23" s="150"/>
      <c r="L23" s="150"/>
      <c r="N23" s="150"/>
      <c r="O23" s="150"/>
      <c r="P23" s="150"/>
      <c r="Q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row>
    <row r="24" spans="2:45" x14ac:dyDescent="0.2">
      <c r="B24" s="150"/>
      <c r="C24" s="150"/>
      <c r="D24" s="150"/>
      <c r="E24" s="150"/>
      <c r="F24" s="150"/>
      <c r="G24" s="150"/>
      <c r="H24" s="150"/>
      <c r="I24" s="150"/>
      <c r="J24" s="150"/>
      <c r="K24" s="150"/>
      <c r="L24" s="150"/>
      <c r="N24" s="150"/>
      <c r="O24" s="150"/>
      <c r="P24" s="150"/>
      <c r="Q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row>
    <row r="25" spans="2:45" x14ac:dyDescent="0.2">
      <c r="B25" s="150"/>
      <c r="C25" s="150"/>
      <c r="D25" s="150"/>
      <c r="E25" s="150"/>
      <c r="F25" s="150"/>
      <c r="G25" s="150"/>
      <c r="H25" s="150"/>
      <c r="I25" s="150"/>
      <c r="J25" s="150"/>
      <c r="K25" s="150"/>
      <c r="L25" s="150"/>
      <c r="N25" s="150"/>
      <c r="O25" s="150"/>
      <c r="P25" s="150"/>
      <c r="Q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row>
    <row r="26" spans="2:45" x14ac:dyDescent="0.2">
      <c r="B26" s="150"/>
      <c r="C26" s="150"/>
      <c r="D26" s="150"/>
      <c r="E26" s="150"/>
      <c r="F26" s="150"/>
      <c r="G26" s="150"/>
      <c r="H26" s="150"/>
      <c r="I26" s="150"/>
      <c r="J26" s="150"/>
      <c r="K26" s="150"/>
      <c r="L26" s="150"/>
      <c r="N26" s="150"/>
      <c r="O26" s="150"/>
      <c r="P26" s="150"/>
      <c r="Q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row>
    <row r="27" spans="2:45" x14ac:dyDescent="0.2">
      <c r="B27" s="150"/>
      <c r="C27" s="150"/>
      <c r="D27" s="150"/>
      <c r="E27" s="150"/>
      <c r="F27" s="150"/>
      <c r="G27" s="150"/>
      <c r="H27" s="150"/>
      <c r="I27" s="150"/>
      <c r="J27" s="150"/>
      <c r="K27" s="150"/>
      <c r="L27" s="150"/>
      <c r="N27" s="150"/>
      <c r="O27" s="150"/>
      <c r="P27" s="150"/>
      <c r="Q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row>
    <row r="28" spans="2:45" x14ac:dyDescent="0.2">
      <c r="B28" s="150"/>
      <c r="C28" s="150"/>
      <c r="D28" s="150"/>
      <c r="E28" s="150"/>
      <c r="F28" s="150"/>
      <c r="G28" s="150"/>
      <c r="H28" s="150"/>
      <c r="I28" s="150"/>
      <c r="J28" s="150"/>
      <c r="K28" s="150"/>
      <c r="L28" s="150"/>
      <c r="N28" s="150"/>
      <c r="O28" s="150"/>
      <c r="P28" s="150"/>
      <c r="Q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row>
    <row r="29" spans="2:45" x14ac:dyDescent="0.2">
      <c r="B29" s="150"/>
      <c r="C29" s="150"/>
      <c r="D29" s="150"/>
      <c r="E29" s="150"/>
      <c r="F29" s="150"/>
      <c r="G29" s="150"/>
      <c r="H29" s="150"/>
      <c r="I29" s="150"/>
      <c r="J29" s="150"/>
      <c r="K29" s="150"/>
      <c r="L29" s="150"/>
      <c r="N29" s="150"/>
      <c r="O29" s="150"/>
      <c r="P29" s="150"/>
      <c r="Q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row>
    <row r="30" spans="2:45" x14ac:dyDescent="0.2">
      <c r="B30" s="150"/>
      <c r="C30" s="150"/>
      <c r="D30" s="150"/>
      <c r="E30" s="150"/>
      <c r="F30" s="150"/>
      <c r="G30" s="150"/>
      <c r="H30" s="150"/>
      <c r="I30" s="150"/>
      <c r="J30" s="150"/>
      <c r="K30" s="150"/>
      <c r="L30" s="150"/>
      <c r="N30" s="150"/>
      <c r="O30" s="150"/>
      <c r="P30" s="150"/>
      <c r="Q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row>
    <row r="31" spans="2:45" x14ac:dyDescent="0.2">
      <c r="B31" s="150"/>
      <c r="C31" s="150"/>
      <c r="D31" s="150"/>
      <c r="E31" s="150"/>
      <c r="F31" s="150"/>
      <c r="G31" s="150"/>
      <c r="H31" s="150"/>
      <c r="I31" s="150"/>
      <c r="J31" s="150"/>
      <c r="K31" s="150"/>
      <c r="L31" s="150"/>
      <c r="N31" s="150"/>
      <c r="O31" s="150"/>
      <c r="P31" s="150"/>
      <c r="Q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row>
    <row r="32" spans="2:45" x14ac:dyDescent="0.2">
      <c r="B32" s="150"/>
      <c r="C32" s="150"/>
      <c r="D32" s="150"/>
      <c r="E32" s="150"/>
      <c r="F32" s="150"/>
      <c r="G32" s="150"/>
      <c r="H32" s="150"/>
      <c r="I32" s="150"/>
      <c r="J32" s="150"/>
      <c r="K32" s="150"/>
      <c r="L32" s="150"/>
      <c r="N32" s="150"/>
      <c r="O32" s="150"/>
      <c r="P32" s="150"/>
      <c r="Q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row>
    <row r="33" spans="2:45" x14ac:dyDescent="0.2">
      <c r="B33" s="150"/>
      <c r="C33" s="150"/>
      <c r="D33" s="150"/>
      <c r="E33" s="150"/>
      <c r="F33" s="150"/>
      <c r="G33" s="150"/>
      <c r="H33" s="150"/>
      <c r="I33" s="150"/>
      <c r="J33" s="150"/>
      <c r="K33" s="150"/>
      <c r="L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row>
    <row r="34" spans="2:45"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row>
    <row r="35" spans="2:45"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row>
    <row r="36" spans="2:45"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row>
    <row r="37" spans="2:45"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row>
    <row r="38" spans="2:45"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row>
    <row r="39" spans="2:45"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row>
    <row r="40" spans="2:45"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row>
    <row r="41" spans="2:45"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row>
    <row r="42" spans="2:45"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row>
    <row r="43" spans="2:45"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row>
    <row r="44" spans="2:45"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row>
    <row r="45" spans="2:45"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row>
    <row r="46" spans="2:45"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row>
    <row r="47" spans="2:45"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row>
    <row r="48" spans="2:45"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row>
    <row r="49" spans="2:45"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row>
    <row r="50" spans="2:45"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row>
    <row r="51" spans="2:45"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row>
    <row r="52" spans="2:45"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row>
    <row r="53" spans="2:45"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row>
    <row r="54" spans="2:45"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row>
    <row r="55" spans="2:45"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row>
    <row r="56" spans="2:45"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row>
    <row r="57" spans="2:45"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row>
    <row r="58" spans="2:45"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row>
    <row r="59" spans="2:45"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row>
    <row r="60" spans="2:45"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row>
    <row r="61" spans="2:45"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row>
    <row r="62" spans="2:45"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row>
    <row r="63" spans="2:45"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row>
    <row r="64" spans="2:45"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row>
    <row r="65" spans="2:45"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row>
  </sheetData>
  <sheetProtection algorithmName="SHA-512" hashValue="8VVFUHGxJ4dRLG1pc56f0oR5mu80avDhdnKdHRyEa9551V4h9Dvk89AxjLb9jLAP2q2m7vxToJwvJ+u/S2PbZw==" saltValue="JUy7Vbe7Wi/Eah3STYBfBA==" spinCount="100000" sheet="1" formatColumns="0"/>
  <mergeCells count="5">
    <mergeCell ref="B6:B7"/>
    <mergeCell ref="C6:J6"/>
    <mergeCell ref="K6:T6"/>
    <mergeCell ref="U6:U7"/>
    <mergeCell ref="V6:V7"/>
  </mergeCells>
  <conditionalFormatting sqref="F8:F17">
    <cfRule type="expression" dxfId="19" priority="6">
      <formula>$F8="New Construction"</formula>
    </cfRule>
  </conditionalFormatting>
  <conditionalFormatting sqref="H8:H17">
    <cfRule type="expression" dxfId="18" priority="2">
      <formula>IF(OR($G8="Condensing Unit - Unknown",$G8="Remote Condenser - Unknown"),"True","False")</formula>
    </cfRule>
  </conditionalFormatting>
  <conditionalFormatting sqref="I8:I17">
    <cfRule type="expression" dxfId="17" priority="1">
      <formula>IF(OR($G8="Condensing Unit - Unknown",$G8="Remote Condenser - Unknown"),"False","True")</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Retrofit Only" prompt="This measure is for retrofit projects only. If new Construction, please contact CLEAResult for further assistance._x000a_" xr:uid="{4B75B6E2-C5FF-4CBB-AD68-CB5E8CBA7642}">
          <x14:formula1>
            <xm:f>'Look Up Tables'!$F$33:$F$34</xm:f>
          </x14:formula1>
          <xm:sqref>F8:F17</xm:sqref>
        </x14:dataValidation>
        <x14:dataValidation type="list" allowBlank="1" showInputMessage="1" showErrorMessage="1" xr:uid="{A052B44C-2AB9-4389-BCE0-2F00427BC627}">
          <x14:formula1>
            <xm:f>'Look Up Tables'!$B$54:$B$59</xm:f>
          </x14:formula1>
          <xm:sqref>G8:G17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F265-6E17-41F9-A9D8-ACB4F200F4FB}">
  <sheetPr codeName="Sheet7">
    <tabColor theme="8" tint="0.59999389629810485"/>
  </sheetPr>
  <dimension ref="A1:AN65"/>
  <sheetViews>
    <sheetView zoomScaleNormal="100" workbookViewId="0">
      <selection activeCell="B8" sqref="B8"/>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16.625" style="145" customWidth="1"/>
    <col min="8" max="8" width="15.625" style="145" customWidth="1"/>
    <col min="9" max="9" width="11.125" style="145" bestFit="1" customWidth="1"/>
    <col min="10" max="10" width="12.125" style="145" customWidth="1"/>
    <col min="11" max="11" width="9.125" style="145" customWidth="1"/>
    <col min="12" max="12" width="12.625" style="145" bestFit="1" customWidth="1"/>
    <col min="13" max="15" width="11.5" style="145" bestFit="1" customWidth="1"/>
    <col min="16" max="16" width="8.625" style="145" hidden="1" customWidth="1"/>
    <col min="17" max="17" width="12.125" style="145" customWidth="1"/>
    <col min="18" max="16384" width="8.625" style="145"/>
  </cols>
  <sheetData>
    <row r="1" spans="1:40" x14ac:dyDescent="0.2">
      <c r="A1" s="144" t="s">
        <v>795</v>
      </c>
      <c r="P1" s="145" t="s">
        <v>207</v>
      </c>
    </row>
    <row r="2" spans="1:40" ht="9.75" customHeight="1" x14ac:dyDescent="0.2"/>
    <row r="3" spans="1:40" ht="34.5" customHeight="1" x14ac:dyDescent="0.5">
      <c r="B3" s="783" t="s">
        <v>26</v>
      </c>
      <c r="C3" s="784"/>
      <c r="D3" s="784"/>
      <c r="E3" s="784"/>
      <c r="F3" s="784"/>
      <c r="G3" s="784"/>
      <c r="H3" s="784"/>
      <c r="I3" s="785"/>
      <c r="J3" s="785"/>
    </row>
    <row r="4" spans="1:40" ht="29.1" customHeight="1" x14ac:dyDescent="0.2">
      <c r="B4" s="786" t="s">
        <v>210</v>
      </c>
      <c r="C4" s="787"/>
      <c r="D4" s="787"/>
      <c r="E4" s="787"/>
      <c r="F4" s="787"/>
      <c r="G4" s="787"/>
      <c r="H4" s="787"/>
      <c r="I4" s="787"/>
      <c r="J4" s="787"/>
      <c r="K4" s="190"/>
      <c r="L4" s="190"/>
      <c r="M4" s="190"/>
      <c r="N4" s="190"/>
      <c r="S4" s="380"/>
      <c r="T4" s="380"/>
      <c r="U4" s="380"/>
      <c r="V4" s="380"/>
      <c r="W4" s="380"/>
    </row>
    <row r="5" spans="1:40" ht="9" customHeight="1" thickBot="1" x14ac:dyDescent="0.3">
      <c r="B5" s="148"/>
      <c r="C5" s="148"/>
      <c r="D5" s="148"/>
      <c r="E5" s="148"/>
      <c r="F5" s="148"/>
      <c r="G5" s="148"/>
      <c r="S5" s="380"/>
      <c r="T5" s="380"/>
      <c r="U5" s="380"/>
      <c r="V5" s="380"/>
      <c r="W5" s="380"/>
    </row>
    <row r="6" spans="1:40" s="149" customFormat="1" ht="22.35" customHeight="1" x14ac:dyDescent="0.2">
      <c r="B6" s="926" t="s">
        <v>275</v>
      </c>
      <c r="C6" s="929" t="s">
        <v>796</v>
      </c>
      <c r="D6" s="930"/>
      <c r="E6" s="930"/>
      <c r="F6" s="930"/>
      <c r="G6" s="930"/>
      <c r="H6" s="930"/>
      <c r="I6" s="930"/>
      <c r="J6" s="930"/>
      <c r="K6" s="930"/>
      <c r="L6" s="931" t="s">
        <v>797</v>
      </c>
      <c r="M6" s="932"/>
      <c r="N6" s="932"/>
      <c r="O6" s="933"/>
      <c r="P6" s="934" t="s">
        <v>219</v>
      </c>
      <c r="Q6" s="926" t="s">
        <v>798</v>
      </c>
      <c r="S6" s="380"/>
      <c r="T6" s="380"/>
      <c r="U6" s="380"/>
      <c r="V6" s="380"/>
      <c r="W6" s="380"/>
    </row>
    <row r="7" spans="1:40" s="150" customFormat="1" ht="66" customHeight="1" thickBot="1" x14ac:dyDescent="0.25">
      <c r="B7" s="928"/>
      <c r="C7" s="761" t="s">
        <v>799</v>
      </c>
      <c r="D7" s="762" t="s">
        <v>141</v>
      </c>
      <c r="E7" s="762" t="s">
        <v>143</v>
      </c>
      <c r="F7" s="762" t="s">
        <v>145</v>
      </c>
      <c r="G7" s="762" t="s">
        <v>800</v>
      </c>
      <c r="H7" s="762" t="s">
        <v>824</v>
      </c>
      <c r="I7" s="762" t="s">
        <v>825</v>
      </c>
      <c r="J7" s="762" t="s">
        <v>159</v>
      </c>
      <c r="K7" s="763" t="s">
        <v>155</v>
      </c>
      <c r="L7" s="761" t="s">
        <v>192</v>
      </c>
      <c r="M7" s="762" t="s">
        <v>806</v>
      </c>
      <c r="N7" s="762" t="s">
        <v>807</v>
      </c>
      <c r="O7" s="764" t="s">
        <v>808</v>
      </c>
      <c r="P7" s="934"/>
      <c r="Q7" s="927"/>
      <c r="S7" s="380"/>
      <c r="T7" s="380"/>
      <c r="U7" s="380"/>
      <c r="V7" s="380"/>
      <c r="W7" s="380"/>
    </row>
    <row r="8" spans="1:40" s="149" customFormat="1" ht="21.75" customHeight="1" x14ac:dyDescent="0.2">
      <c r="B8" s="326">
        <v>1</v>
      </c>
      <c r="C8" s="166"/>
      <c r="D8" s="168"/>
      <c r="E8" s="168"/>
      <c r="F8" s="168"/>
      <c r="G8" s="168"/>
      <c r="H8" s="385"/>
      <c r="I8" s="168"/>
      <c r="J8" s="168"/>
      <c r="K8" s="169"/>
      <c r="L8" s="587" t="str">
        <f>IFERROR(IF(F8="Retrofit",ROUND('Look Up Tables'!I129*K8,2),""),"")</f>
        <v/>
      </c>
      <c r="M8" s="496" t="str">
        <f>IFERROR(IF(F8="Retrofit",ROUND('Look Up Tables'!J129*K8,4),""),"")</f>
        <v/>
      </c>
      <c r="N8" s="496" t="str">
        <f>IFERROR(IF(F8="Retrofit",ROUND('Look Up Tables'!J129*K8,4),""),"")</f>
        <v/>
      </c>
      <c r="O8" s="503" t="str">
        <f t="shared" ref="O8:O17" si="0">IFERROR(ROUND((M8+N8)/2,4),"")</f>
        <v/>
      </c>
      <c r="P8" s="150" t="str">
        <f>IFERROR(L8*Incentives!$C$4+O8*Incentives!$C$5,"")</f>
        <v/>
      </c>
      <c r="Q8" s="191" t="str">
        <f>IFERROR(P8*'Project Summary'!$H$37/'Project Summary'!$G$37,"")</f>
        <v/>
      </c>
      <c r="R8" s="150"/>
      <c r="S8" s="380"/>
      <c r="T8" s="380"/>
      <c r="U8" s="380"/>
      <c r="V8" s="380"/>
      <c r="W8" s="380"/>
      <c r="X8" s="150"/>
      <c r="Y8" s="150"/>
      <c r="Z8" s="150"/>
      <c r="AA8" s="150"/>
      <c r="AB8" s="150"/>
      <c r="AC8" s="150"/>
      <c r="AD8" s="150"/>
      <c r="AE8" s="150"/>
      <c r="AF8" s="150"/>
      <c r="AG8" s="150"/>
      <c r="AH8" s="150"/>
      <c r="AI8" s="150"/>
      <c r="AJ8" s="150"/>
      <c r="AK8" s="150"/>
      <c r="AL8" s="150"/>
      <c r="AM8" s="150"/>
      <c r="AN8" s="150"/>
    </row>
    <row r="9" spans="1:40" s="149" customFormat="1" ht="21.75" customHeight="1" x14ac:dyDescent="0.2">
      <c r="B9" s="327">
        <v>2</v>
      </c>
      <c r="C9" s="170"/>
      <c r="D9" s="171"/>
      <c r="E9" s="171"/>
      <c r="F9" s="171"/>
      <c r="G9" s="171"/>
      <c r="H9" s="386"/>
      <c r="I9" s="171"/>
      <c r="J9" s="171"/>
      <c r="K9" s="172"/>
      <c r="L9" s="610" t="str">
        <f>IFERROR(IF(F9="Retrofit",ROUND('Look Up Tables'!I130*K9,2),""),"")</f>
        <v/>
      </c>
      <c r="M9" s="506" t="str">
        <f>IFERROR(IF(F9="Retrofit",ROUND('Look Up Tables'!J130*K9,4),""),"")</f>
        <v/>
      </c>
      <c r="N9" s="506" t="str">
        <f>IFERROR(IF(F9="Retrofit",ROUND('Look Up Tables'!J130*K9,4),""),"")</f>
        <v/>
      </c>
      <c r="O9" s="504" t="str">
        <f t="shared" si="0"/>
        <v/>
      </c>
      <c r="P9" s="150" t="str">
        <f>IFERROR(L9*Incentives!$C$4+O9*Incentives!$C$5,"")</f>
        <v/>
      </c>
      <c r="Q9" s="161" t="str">
        <f>IFERROR(P9*'Project Summary'!$H$37/'Project Summary'!$G$37,"")</f>
        <v/>
      </c>
      <c r="R9" s="150"/>
      <c r="S9" s="380"/>
      <c r="T9" s="380"/>
      <c r="U9" s="380"/>
      <c r="V9" s="380"/>
      <c r="W9" s="380"/>
      <c r="X9" s="150"/>
      <c r="Y9" s="150"/>
      <c r="Z9" s="150"/>
      <c r="AA9" s="150"/>
      <c r="AB9" s="150"/>
      <c r="AC9" s="150"/>
      <c r="AD9" s="150"/>
      <c r="AE9" s="150"/>
      <c r="AF9" s="150"/>
      <c r="AG9" s="150"/>
      <c r="AH9" s="150"/>
      <c r="AI9" s="150"/>
      <c r="AJ9" s="150"/>
      <c r="AK9" s="150"/>
      <c r="AL9" s="150"/>
      <c r="AM9" s="150"/>
      <c r="AN9" s="150"/>
    </row>
    <row r="10" spans="1:40" s="149" customFormat="1" ht="21.75" customHeight="1" x14ac:dyDescent="0.2">
      <c r="B10" s="327">
        <v>3</v>
      </c>
      <c r="C10" s="170"/>
      <c r="D10" s="171"/>
      <c r="E10" s="171"/>
      <c r="F10" s="171"/>
      <c r="G10" s="171"/>
      <c r="H10" s="386"/>
      <c r="I10" s="171"/>
      <c r="J10" s="171"/>
      <c r="K10" s="172"/>
      <c r="L10" s="610" t="str">
        <f>IFERROR(IF(F10="Retrofit",ROUND('Look Up Tables'!I131*K10,2),""),"")</f>
        <v/>
      </c>
      <c r="M10" s="506" t="str">
        <f>IFERROR(IF(F10="Retrofit",ROUND('Look Up Tables'!J131*K10,4),""),"")</f>
        <v/>
      </c>
      <c r="N10" s="506" t="str">
        <f>IFERROR(IF(F10="Retrofit",ROUND('Look Up Tables'!J131*K10,4),""),"")</f>
        <v/>
      </c>
      <c r="O10" s="504" t="str">
        <f t="shared" si="0"/>
        <v/>
      </c>
      <c r="P10" s="150" t="str">
        <f>IFERROR(L10*Incentives!$C$4+O10*Incentives!$C$5,"")</f>
        <v/>
      </c>
      <c r="Q10" s="161" t="str">
        <f>IFERROR(P10*'Project Summary'!$H$37/'Project Summary'!$G$37,"")</f>
        <v/>
      </c>
      <c r="R10" s="150"/>
      <c r="S10" s="380"/>
      <c r="T10" s="380"/>
      <c r="U10" s="380"/>
      <c r="V10" s="380"/>
      <c r="W10" s="380"/>
      <c r="X10" s="150"/>
      <c r="Y10" s="150"/>
      <c r="Z10" s="150"/>
      <c r="AA10" s="150"/>
      <c r="AB10" s="150"/>
      <c r="AC10" s="150"/>
      <c r="AD10" s="150"/>
      <c r="AE10" s="150"/>
      <c r="AF10" s="150"/>
      <c r="AG10" s="150"/>
      <c r="AH10" s="150"/>
      <c r="AI10" s="150"/>
      <c r="AJ10" s="150"/>
      <c r="AK10" s="150"/>
      <c r="AL10" s="150"/>
      <c r="AM10" s="150"/>
      <c r="AN10" s="150"/>
    </row>
    <row r="11" spans="1:40" s="149" customFormat="1" ht="21.75" customHeight="1" x14ac:dyDescent="0.2">
      <c r="B11" s="327">
        <v>4</v>
      </c>
      <c r="C11" s="170"/>
      <c r="D11" s="171"/>
      <c r="E11" s="171"/>
      <c r="F11" s="171"/>
      <c r="G11" s="171"/>
      <c r="H11" s="386"/>
      <c r="I11" s="171"/>
      <c r="J11" s="171"/>
      <c r="K11" s="172"/>
      <c r="L11" s="610" t="str">
        <f>IFERROR(IF(F11="Retrofit",ROUND('Look Up Tables'!I132*K11,2),""),"")</f>
        <v/>
      </c>
      <c r="M11" s="506" t="str">
        <f>IFERROR(IF(F11="Retrofit",ROUND('Look Up Tables'!J132*K11,4),""),"")</f>
        <v/>
      </c>
      <c r="N11" s="506" t="str">
        <f>IFERROR(IF(F11="Retrofit",ROUND('Look Up Tables'!J132*K11,4),""),"")</f>
        <v/>
      </c>
      <c r="O11" s="504" t="str">
        <f t="shared" si="0"/>
        <v/>
      </c>
      <c r="P11" s="150" t="str">
        <f>IFERROR(L11*Incentives!$C$4+O11*Incentives!$C$5,"")</f>
        <v/>
      </c>
      <c r="Q11" s="161" t="str">
        <f>IFERROR(P11*'Project Summary'!$H$37/'Project Summary'!$G$37,"")</f>
        <v/>
      </c>
      <c r="R11" s="150"/>
      <c r="S11" s="380"/>
      <c r="T11" s="380"/>
      <c r="U11" s="380"/>
      <c r="V11" s="380"/>
      <c r="W11" s="380"/>
      <c r="X11" s="150"/>
      <c r="Y11" s="150"/>
      <c r="Z11" s="150"/>
      <c r="AA11" s="150"/>
      <c r="AB11" s="150"/>
      <c r="AC11" s="150"/>
      <c r="AD11" s="150"/>
      <c r="AE11" s="150"/>
      <c r="AF11" s="150"/>
      <c r="AG11" s="150"/>
      <c r="AH11" s="150"/>
      <c r="AI11" s="150"/>
      <c r="AJ11" s="150"/>
      <c r="AK11" s="150"/>
      <c r="AL11" s="150"/>
      <c r="AM11" s="150"/>
      <c r="AN11" s="150"/>
    </row>
    <row r="12" spans="1:40" s="149" customFormat="1" ht="21.75" customHeight="1" x14ac:dyDescent="0.2">
      <c r="B12" s="327">
        <v>5</v>
      </c>
      <c r="C12" s="170"/>
      <c r="D12" s="171"/>
      <c r="E12" s="171"/>
      <c r="F12" s="171"/>
      <c r="G12" s="171"/>
      <c r="H12" s="386"/>
      <c r="I12" s="171"/>
      <c r="J12" s="171"/>
      <c r="K12" s="172"/>
      <c r="L12" s="610" t="str">
        <f>IFERROR(IF(F12="Retrofit",ROUND('Look Up Tables'!I133*K12,2),""),"")</f>
        <v/>
      </c>
      <c r="M12" s="506" t="str">
        <f>IFERROR(IF(F12="Retrofit",ROUND('Look Up Tables'!J133*K12,4),""),"")</f>
        <v/>
      </c>
      <c r="N12" s="506" t="str">
        <f>IFERROR(IF(F12="Retrofit",ROUND('Look Up Tables'!J133*K12,4),""),"")</f>
        <v/>
      </c>
      <c r="O12" s="504" t="str">
        <f t="shared" si="0"/>
        <v/>
      </c>
      <c r="P12" s="150" t="str">
        <f>IFERROR(L12*Incentives!$C$4+O12*Incentives!$C$5,"")</f>
        <v/>
      </c>
      <c r="Q12" s="161" t="str">
        <f>IFERROR(P12*'Project Summary'!$H$37/'Project Summary'!$G$37,"")</f>
        <v/>
      </c>
      <c r="R12" s="150"/>
      <c r="S12" s="380"/>
      <c r="T12" s="380"/>
      <c r="U12" s="380"/>
      <c r="V12" s="380"/>
      <c r="W12" s="380"/>
      <c r="X12" s="150"/>
      <c r="Y12" s="150"/>
      <c r="Z12" s="150"/>
      <c r="AA12" s="150"/>
      <c r="AB12" s="150"/>
      <c r="AC12" s="150"/>
      <c r="AD12" s="150"/>
      <c r="AE12" s="150"/>
      <c r="AF12" s="150"/>
      <c r="AG12" s="150"/>
      <c r="AH12" s="150"/>
      <c r="AI12" s="150"/>
      <c r="AJ12" s="150"/>
      <c r="AK12" s="150"/>
      <c r="AL12" s="150"/>
      <c r="AM12" s="150"/>
      <c r="AN12" s="150"/>
    </row>
    <row r="13" spans="1:40" s="149" customFormat="1" ht="21.75" customHeight="1" x14ac:dyDescent="0.2">
      <c r="B13" s="327">
        <v>6</v>
      </c>
      <c r="C13" s="170"/>
      <c r="D13" s="171"/>
      <c r="E13" s="171"/>
      <c r="F13" s="171"/>
      <c r="G13" s="171"/>
      <c r="H13" s="386"/>
      <c r="I13" s="171"/>
      <c r="J13" s="171"/>
      <c r="K13" s="172"/>
      <c r="L13" s="610" t="str">
        <f>IFERROR(IF(F13="Retrofit",ROUND('Look Up Tables'!I134*K13,2),""),"")</f>
        <v/>
      </c>
      <c r="M13" s="506" t="str">
        <f>IFERROR(IF(F13="Retrofit",ROUND('Look Up Tables'!J134*K13,4),""),"")</f>
        <v/>
      </c>
      <c r="N13" s="506" t="str">
        <f>IFERROR(IF(F13="Retrofit",ROUND('Look Up Tables'!J134*K13,4),""),"")</f>
        <v/>
      </c>
      <c r="O13" s="504" t="str">
        <f t="shared" si="0"/>
        <v/>
      </c>
      <c r="P13" s="150" t="str">
        <f>IFERROR(L13*Incentives!$C$4+O13*Incentives!$C$5,"")</f>
        <v/>
      </c>
      <c r="Q13" s="161" t="str">
        <f>IFERROR(P13*'Project Summary'!$H$37/'Project Summary'!$G$37,"")</f>
        <v/>
      </c>
      <c r="R13" s="150"/>
      <c r="S13" s="380"/>
      <c r="T13" s="380"/>
      <c r="U13" s="380"/>
      <c r="V13" s="380"/>
      <c r="W13" s="380"/>
      <c r="X13" s="150"/>
      <c r="Y13" s="150"/>
      <c r="Z13" s="150"/>
      <c r="AA13" s="150"/>
      <c r="AB13" s="150"/>
      <c r="AC13" s="150"/>
      <c r="AD13" s="150"/>
      <c r="AE13" s="150"/>
      <c r="AF13" s="150"/>
      <c r="AG13" s="150"/>
      <c r="AH13" s="150"/>
      <c r="AI13" s="150"/>
      <c r="AJ13" s="150"/>
      <c r="AK13" s="150"/>
      <c r="AL13" s="150"/>
      <c r="AM13" s="150"/>
      <c r="AN13" s="150"/>
    </row>
    <row r="14" spans="1:40" s="149" customFormat="1" ht="21.75" customHeight="1" x14ac:dyDescent="0.2">
      <c r="B14" s="327">
        <v>7</v>
      </c>
      <c r="C14" s="170"/>
      <c r="D14" s="171"/>
      <c r="E14" s="171"/>
      <c r="F14" s="171"/>
      <c r="G14" s="171"/>
      <c r="H14" s="386"/>
      <c r="I14" s="171"/>
      <c r="J14" s="171"/>
      <c r="K14" s="172"/>
      <c r="L14" s="610" t="str">
        <f>IFERROR(IF(F14="Retrofit",ROUND('Look Up Tables'!I135*K14,2),""),"")</f>
        <v/>
      </c>
      <c r="M14" s="506" t="str">
        <f>IFERROR(IF(F14="Retrofit",ROUND('Look Up Tables'!J135*K14,4),""),"")</f>
        <v/>
      </c>
      <c r="N14" s="506" t="str">
        <f>IFERROR(IF(F14="Retrofit",ROUND('Look Up Tables'!J135*K14,4),""),"")</f>
        <v/>
      </c>
      <c r="O14" s="504" t="str">
        <f t="shared" si="0"/>
        <v/>
      </c>
      <c r="P14" s="150" t="str">
        <f>IFERROR(L14*Incentives!$C$4+O14*Incentives!$C$5,"")</f>
        <v/>
      </c>
      <c r="Q14" s="161" t="str">
        <f>IFERROR(P14*'Project Summary'!$H$37/'Project Summary'!$G$37,"")</f>
        <v/>
      </c>
      <c r="R14" s="150"/>
      <c r="S14" s="380"/>
      <c r="T14" s="380"/>
      <c r="U14" s="380"/>
      <c r="V14" s="380"/>
      <c r="W14" s="380"/>
      <c r="X14" s="150"/>
      <c r="Y14" s="150"/>
      <c r="Z14" s="150"/>
      <c r="AA14" s="150"/>
      <c r="AB14" s="150"/>
      <c r="AC14" s="150"/>
      <c r="AD14" s="150"/>
      <c r="AE14" s="150"/>
      <c r="AF14" s="150"/>
      <c r="AG14" s="150"/>
      <c r="AH14" s="150"/>
      <c r="AI14" s="150"/>
      <c r="AJ14" s="150"/>
      <c r="AK14" s="150"/>
      <c r="AL14" s="150"/>
      <c r="AM14" s="150"/>
      <c r="AN14" s="150"/>
    </row>
    <row r="15" spans="1:40" s="149" customFormat="1" ht="21.75" customHeight="1" x14ac:dyDescent="0.2">
      <c r="B15" s="327">
        <v>8</v>
      </c>
      <c r="C15" s="170"/>
      <c r="D15" s="171"/>
      <c r="E15" s="171"/>
      <c r="F15" s="171"/>
      <c r="G15" s="171"/>
      <c r="H15" s="386"/>
      <c r="I15" s="171"/>
      <c r="J15" s="171"/>
      <c r="K15" s="172"/>
      <c r="L15" s="610" t="str">
        <f>IFERROR(IF(F15="Retrofit",ROUND('Look Up Tables'!I136*K15,2),""),"")</f>
        <v/>
      </c>
      <c r="M15" s="506" t="str">
        <f>IFERROR(IF(F15="Retrofit",ROUND('Look Up Tables'!J136*K15,4),""),"")</f>
        <v/>
      </c>
      <c r="N15" s="506" t="str">
        <f>IFERROR(IF(F15="Retrofit",ROUND('Look Up Tables'!J136*K15,4),""),"")</f>
        <v/>
      </c>
      <c r="O15" s="504" t="str">
        <f t="shared" si="0"/>
        <v/>
      </c>
      <c r="P15" s="150" t="str">
        <f>IFERROR(L15*Incentives!$C$4+O15*Incentives!$C$5,"")</f>
        <v/>
      </c>
      <c r="Q15" s="161" t="str">
        <f>IFERROR(P15*'Project Summary'!$H$37/'Project Summary'!$G$37,"")</f>
        <v/>
      </c>
      <c r="R15" s="150"/>
      <c r="S15" s="380"/>
      <c r="T15" s="380"/>
      <c r="U15" s="380"/>
      <c r="V15" s="380"/>
      <c r="W15" s="380"/>
      <c r="X15" s="150"/>
      <c r="Y15" s="150"/>
      <c r="Z15" s="150"/>
      <c r="AA15" s="150"/>
      <c r="AB15" s="150"/>
      <c r="AC15" s="150"/>
      <c r="AD15" s="150"/>
      <c r="AE15" s="150"/>
      <c r="AF15" s="150"/>
      <c r="AG15" s="150"/>
      <c r="AH15" s="150"/>
      <c r="AI15" s="150"/>
      <c r="AJ15" s="150"/>
      <c r="AK15" s="150"/>
      <c r="AL15" s="150"/>
      <c r="AM15" s="150"/>
      <c r="AN15" s="150"/>
    </row>
    <row r="16" spans="1:40" s="149" customFormat="1" ht="21.75" customHeight="1" x14ac:dyDescent="0.2">
      <c r="B16" s="327">
        <v>9</v>
      </c>
      <c r="C16" s="170"/>
      <c r="D16" s="171"/>
      <c r="E16" s="171"/>
      <c r="F16" s="171"/>
      <c r="G16" s="171"/>
      <c r="H16" s="386"/>
      <c r="I16" s="171"/>
      <c r="J16" s="171"/>
      <c r="K16" s="172"/>
      <c r="L16" s="610" t="str">
        <f>IFERROR(IF(F16="Retrofit",ROUND('Look Up Tables'!I137*K16,2),""),"")</f>
        <v/>
      </c>
      <c r="M16" s="506" t="str">
        <f>IFERROR(IF(F16="Retrofit",ROUND('Look Up Tables'!J137*K16,4),""),"")</f>
        <v/>
      </c>
      <c r="N16" s="506" t="str">
        <f>IFERROR(IF(F16="Retrofit",ROUND('Look Up Tables'!J137*K16,4),""),"")</f>
        <v/>
      </c>
      <c r="O16" s="504" t="str">
        <f t="shared" si="0"/>
        <v/>
      </c>
      <c r="P16" s="150" t="str">
        <f>IFERROR(L16*Incentives!$C$4+O16*Incentives!$C$5,"")</f>
        <v/>
      </c>
      <c r="Q16" s="161" t="str">
        <f>IFERROR(P16*'Project Summary'!$H$37/'Project Summary'!$G$37,"")</f>
        <v/>
      </c>
      <c r="R16" s="150"/>
      <c r="S16" s="380"/>
      <c r="T16" s="380"/>
      <c r="U16" s="380"/>
      <c r="V16" s="380"/>
      <c r="W16" s="380"/>
      <c r="X16" s="150"/>
      <c r="Y16" s="150"/>
      <c r="Z16" s="150"/>
      <c r="AA16" s="150"/>
      <c r="AB16" s="150"/>
      <c r="AC16" s="150"/>
      <c r="AD16" s="150"/>
      <c r="AE16" s="150"/>
      <c r="AF16" s="150"/>
      <c r="AG16" s="150"/>
      <c r="AH16" s="150"/>
      <c r="AI16" s="150"/>
      <c r="AJ16" s="150"/>
      <c r="AK16" s="150"/>
      <c r="AL16" s="150"/>
      <c r="AM16" s="150"/>
      <c r="AN16" s="150"/>
    </row>
    <row r="17" spans="2:40" s="149" customFormat="1" ht="21.75" customHeight="1" thickBot="1" x14ac:dyDescent="0.25">
      <c r="B17" s="328">
        <v>10</v>
      </c>
      <c r="C17" s="174"/>
      <c r="D17" s="177"/>
      <c r="E17" s="177"/>
      <c r="F17" s="177"/>
      <c r="G17" s="177"/>
      <c r="H17" s="665"/>
      <c r="I17" s="177"/>
      <c r="J17" s="177"/>
      <c r="K17" s="178"/>
      <c r="L17" s="611" t="str">
        <f>IFERROR(IF(F17="Retrofit",ROUND('Look Up Tables'!I138*K17,2),""),"")</f>
        <v/>
      </c>
      <c r="M17" s="526" t="str">
        <f>IFERROR(IF(F17="Retrofit",ROUND('Look Up Tables'!J138*K17,4),""),"")</f>
        <v/>
      </c>
      <c r="N17" s="526" t="str">
        <f>IFERROR(IF(F17="Retrofit",ROUND('Look Up Tables'!J138*K17,4),""),"")</f>
        <v/>
      </c>
      <c r="O17" s="505" t="str">
        <f t="shared" si="0"/>
        <v/>
      </c>
      <c r="P17" s="150" t="str">
        <f>IFERROR(L17*Incentives!$C$4+O17*Incentives!$C$5,"")</f>
        <v/>
      </c>
      <c r="Q17" s="165" t="str">
        <f>IFERROR(P17*'Project Summary'!$H$37/'Project Summary'!$G$37,"")</f>
        <v/>
      </c>
      <c r="R17" s="150"/>
      <c r="S17" s="380"/>
      <c r="T17" s="380"/>
      <c r="U17" s="380"/>
      <c r="V17" s="380"/>
      <c r="W17" s="380"/>
      <c r="X17" s="150"/>
      <c r="Y17" s="150"/>
      <c r="Z17" s="150"/>
      <c r="AA17" s="150"/>
      <c r="AB17" s="150"/>
      <c r="AC17" s="150"/>
      <c r="AD17" s="150"/>
      <c r="AE17" s="150"/>
      <c r="AF17" s="150"/>
      <c r="AG17" s="150"/>
      <c r="AH17" s="150"/>
      <c r="AI17" s="150"/>
      <c r="AJ17" s="150"/>
      <c r="AK17" s="150"/>
      <c r="AL17" s="150"/>
      <c r="AM17" s="150"/>
      <c r="AN17" s="150"/>
    </row>
    <row r="18" spans="2:40" s="149" customFormat="1" ht="22.35" customHeight="1" x14ac:dyDescent="0.2">
      <c r="B18" s="150"/>
      <c r="C18" s="150"/>
      <c r="D18" s="150"/>
      <c r="E18" s="150"/>
      <c r="F18" s="150"/>
      <c r="G18" s="150"/>
      <c r="H18" s="150"/>
      <c r="I18" s="150"/>
      <c r="J18" s="150"/>
      <c r="K18" s="150"/>
      <c r="L18" s="150"/>
      <c r="M18" s="150"/>
      <c r="N18" s="150"/>
      <c r="O18" s="150"/>
      <c r="P18" s="150"/>
      <c r="Q18" s="150"/>
      <c r="R18" s="150"/>
      <c r="S18" s="380"/>
      <c r="T18" s="380"/>
      <c r="U18" s="380"/>
      <c r="V18" s="380"/>
      <c r="W18" s="380"/>
      <c r="X18" s="150"/>
      <c r="Y18" s="150"/>
      <c r="Z18" s="150"/>
      <c r="AA18" s="150"/>
      <c r="AB18" s="150"/>
      <c r="AC18" s="150"/>
      <c r="AD18" s="150"/>
      <c r="AE18" s="150"/>
      <c r="AF18" s="150"/>
      <c r="AG18" s="150"/>
      <c r="AH18" s="150"/>
      <c r="AI18" s="150"/>
      <c r="AJ18" s="150"/>
      <c r="AK18" s="150"/>
      <c r="AL18" s="150"/>
      <c r="AM18" s="150"/>
      <c r="AN18" s="150"/>
    </row>
    <row r="19" spans="2:40"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row>
    <row r="20" spans="2:40"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row>
    <row r="21" spans="2:40"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row>
    <row r="22" spans="2:40"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row>
    <row r="23" spans="2:40"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row>
    <row r="24" spans="2:40"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row>
    <row r="25" spans="2:40"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row>
    <row r="26" spans="2:40"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row>
    <row r="27" spans="2:40"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row>
    <row r="28" spans="2:40"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row>
    <row r="29" spans="2:40"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row>
    <row r="30" spans="2:40"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row>
    <row r="31" spans="2:40"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row>
    <row r="32" spans="2:40"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row>
    <row r="33" spans="2:40"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row>
    <row r="34" spans="2:40"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row>
    <row r="35" spans="2:40"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row>
    <row r="36" spans="2:40"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row>
    <row r="37" spans="2:40"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row>
    <row r="38" spans="2:40"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row>
    <row r="39" spans="2:40"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row>
    <row r="40" spans="2:40"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row>
    <row r="41" spans="2:40"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row>
    <row r="42" spans="2:40"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row>
    <row r="43" spans="2:40"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row>
    <row r="44" spans="2:40"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row>
    <row r="45" spans="2:40"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row>
    <row r="46" spans="2:40"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row>
    <row r="47" spans="2:40"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row>
    <row r="48" spans="2:40"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row>
    <row r="49" spans="2:40"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row>
    <row r="50" spans="2:40"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row>
    <row r="51" spans="2:40"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row>
    <row r="52" spans="2:40"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row>
    <row r="53" spans="2:40"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row>
    <row r="54" spans="2:40"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row>
    <row r="55" spans="2:40"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row>
    <row r="56" spans="2:40"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row>
    <row r="57" spans="2:40"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row>
    <row r="58" spans="2:40"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row>
    <row r="59" spans="2:40"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row>
    <row r="60" spans="2:40"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row>
    <row r="61" spans="2:40"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row>
    <row r="62" spans="2:40"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row>
    <row r="63" spans="2:40"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row>
    <row r="64" spans="2:40"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row>
    <row r="65" spans="2:40"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row>
  </sheetData>
  <sheetProtection algorithmName="SHA-512" hashValue="zq2xLBRQUjZtrbWQoZePFejwdOlAkbwYfW8YvX4Zn0zwnQ6IzaX3FtwaFi9u//p1wfpakVWd10CHMNn59sxPFA==" saltValue="621okQkdX9y8Tul8a7rEzA==" spinCount="100000" sheet="1" formatColumns="0"/>
  <mergeCells count="5">
    <mergeCell ref="B6:B7"/>
    <mergeCell ref="C6:K6"/>
    <mergeCell ref="L6:O6"/>
    <mergeCell ref="P6:P7"/>
    <mergeCell ref="Q6:Q7"/>
  </mergeCells>
  <conditionalFormatting sqref="F8:F17">
    <cfRule type="expression" dxfId="16"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disablePrompts="1" xWindow="486" yWindow="294" count="4">
        <x14:dataValidation type="list" allowBlank="1" showInputMessage="1" showErrorMessage="1" promptTitle="Retrofit Only" prompt="This measure is for retrofit projects only. If new Construction, please contact CLEAResult for further assistance._x000a_" xr:uid="{17699282-64CB-409E-B572-D53702992456}">
          <x14:formula1>
            <xm:f>'Look Up Tables'!$F$33:$F$34</xm:f>
          </x14:formula1>
          <xm:sqref>F8:F17</xm:sqref>
        </x14:dataValidation>
        <x14:dataValidation type="list" allowBlank="1" showInputMessage="1" showErrorMessage="1" xr:uid="{5B60C8E3-8837-46BD-9A0D-37C64459BAF3}">
          <x14:formula1>
            <xm:f>'Look Up Tables'!$R$40:$R$42</xm:f>
          </x14:formula1>
          <xm:sqref>I8:I17</xm:sqref>
        </x14:dataValidation>
        <x14:dataValidation type="list" allowBlank="1" showInputMessage="1" showErrorMessage="1" xr:uid="{A9B7A64F-5AD9-464B-A9A8-2280B49AE2EE}">
          <x14:formula1>
            <xm:f>'Look Up Tables'!$C$33:$C$34</xm:f>
          </x14:formula1>
          <xm:sqref>J8:J17</xm:sqref>
        </x14:dataValidation>
        <x14:dataValidation type="list" allowBlank="1" showInputMessage="1" showErrorMessage="1" xr:uid="{1CD5DA2D-9A5A-4D5A-B8E9-E1F849C56622}">
          <x14:formula1>
            <xm:f>'Look Up Tables'!$D$3:$D$4</xm:f>
          </x14:formula1>
          <xm:sqref>G8:G17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FDFD8-063C-4295-ACC2-690DC0DE9D38}">
  <sheetPr codeName="Sheet12">
    <tabColor theme="8" tint="0.59999389629810485"/>
  </sheetPr>
  <dimension ref="A1:AM65"/>
  <sheetViews>
    <sheetView zoomScaleNormal="100" workbookViewId="0">
      <selection activeCell="B8" sqref="B8"/>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26.625" style="145" customWidth="1"/>
    <col min="8" max="8" width="11.125" style="145" customWidth="1"/>
    <col min="9" max="9" width="11.125" style="145" hidden="1" customWidth="1"/>
    <col min="10" max="10" width="12.625" style="145" bestFit="1" customWidth="1"/>
    <col min="11" max="12" width="12.625" style="145" customWidth="1"/>
    <col min="13" max="13" width="11.5" style="145" customWidth="1"/>
    <col min="14" max="14" width="14.125" style="145" hidden="1" customWidth="1"/>
    <col min="15" max="15" width="10.625" style="145" hidden="1" customWidth="1"/>
    <col min="16" max="18" width="10.625" style="145" customWidth="1"/>
    <col min="19" max="20" width="8.625" style="145"/>
    <col min="21" max="21" width="12.625" style="145" hidden="1" customWidth="1"/>
    <col min="22" max="22" width="8.625" style="145" hidden="1" customWidth="1"/>
    <col min="23" max="16384" width="8.625" style="145"/>
  </cols>
  <sheetData>
    <row r="1" spans="1:39" ht="15" x14ac:dyDescent="0.25">
      <c r="A1" s="144" t="s">
        <v>795</v>
      </c>
      <c r="I1" s="145" t="s">
        <v>207</v>
      </c>
      <c r="N1" s="145" t="s">
        <v>207</v>
      </c>
      <c r="O1" s="145" t="s">
        <v>207</v>
      </c>
      <c r="U1" s="305" t="s">
        <v>207</v>
      </c>
    </row>
    <row r="2" spans="1:39" ht="28.5" x14ac:dyDescent="0.2">
      <c r="U2" s="150" t="s">
        <v>826</v>
      </c>
      <c r="V2" s="150"/>
    </row>
    <row r="3" spans="1:39" ht="34.5" customHeight="1" x14ac:dyDescent="0.5">
      <c r="B3" s="783" t="s">
        <v>223</v>
      </c>
      <c r="C3" s="784"/>
      <c r="D3" s="784"/>
      <c r="E3" s="784"/>
      <c r="F3" s="784"/>
      <c r="G3" s="784"/>
      <c r="H3" s="785"/>
      <c r="I3" s="785"/>
      <c r="J3" s="785"/>
      <c r="K3" s="785"/>
      <c r="L3" s="785"/>
      <c r="M3" s="785"/>
      <c r="U3" s="150" t="s">
        <v>827</v>
      </c>
      <c r="V3" s="150" t="s">
        <v>828</v>
      </c>
    </row>
    <row r="4" spans="1:39" ht="29.1" customHeight="1" x14ac:dyDescent="0.2">
      <c r="B4" s="923" t="s">
        <v>210</v>
      </c>
      <c r="C4" s="923"/>
      <c r="D4" s="923"/>
      <c r="E4" s="923"/>
      <c r="F4" s="923"/>
      <c r="G4" s="923"/>
      <c r="H4" s="923"/>
      <c r="I4" s="923"/>
      <c r="J4" s="923"/>
      <c r="K4" s="923"/>
      <c r="L4" s="923"/>
      <c r="M4" s="923"/>
      <c r="N4" s="207"/>
      <c r="U4" s="150" t="s">
        <v>829</v>
      </c>
      <c r="V4" s="150" t="s">
        <v>830</v>
      </c>
    </row>
    <row r="5" spans="1:39" ht="9" customHeight="1" thickBot="1" x14ac:dyDescent="0.3">
      <c r="B5" s="148"/>
      <c r="C5" s="148"/>
      <c r="D5" s="148"/>
      <c r="E5" s="148"/>
      <c r="F5" s="148"/>
    </row>
    <row r="6" spans="1:39" s="149" customFormat="1" ht="22.35" customHeight="1" thickBot="1" x14ac:dyDescent="0.25">
      <c r="B6" s="926" t="s">
        <v>275</v>
      </c>
      <c r="C6" s="929" t="s">
        <v>796</v>
      </c>
      <c r="D6" s="930"/>
      <c r="E6" s="930"/>
      <c r="F6" s="930"/>
      <c r="G6" s="930"/>
      <c r="H6" s="936"/>
      <c r="I6" s="931" t="s">
        <v>797</v>
      </c>
      <c r="J6" s="932"/>
      <c r="K6" s="932"/>
      <c r="L6" s="932"/>
      <c r="M6" s="932"/>
      <c r="N6" s="922"/>
      <c r="O6" s="951" t="s">
        <v>219</v>
      </c>
      <c r="P6" s="926" t="s">
        <v>798</v>
      </c>
      <c r="X6" s="150"/>
      <c r="Y6" s="150"/>
      <c r="Z6" s="150"/>
      <c r="AA6" s="150"/>
      <c r="AB6" s="150"/>
      <c r="AC6" s="150"/>
    </row>
    <row r="7" spans="1:39" s="150" customFormat="1" ht="56.25" customHeight="1" thickBot="1" x14ac:dyDescent="0.25">
      <c r="B7" s="928"/>
      <c r="C7" s="768" t="s">
        <v>799</v>
      </c>
      <c r="D7" s="769" t="s">
        <v>141</v>
      </c>
      <c r="E7" s="769" t="s">
        <v>143</v>
      </c>
      <c r="F7" s="770" t="s">
        <v>145</v>
      </c>
      <c r="G7" s="770" t="s">
        <v>831</v>
      </c>
      <c r="H7" s="771" t="s">
        <v>155</v>
      </c>
      <c r="I7" s="772" t="s">
        <v>832</v>
      </c>
      <c r="J7" s="773" t="s">
        <v>192</v>
      </c>
      <c r="K7" s="773" t="s">
        <v>806</v>
      </c>
      <c r="L7" s="773" t="s">
        <v>807</v>
      </c>
      <c r="M7" s="774" t="s">
        <v>808</v>
      </c>
      <c r="N7" s="775" t="s">
        <v>286</v>
      </c>
      <c r="O7" s="952"/>
      <c r="P7" s="927"/>
    </row>
    <row r="8" spans="1:39" s="149" customFormat="1" ht="21.75" customHeight="1" x14ac:dyDescent="0.2">
      <c r="B8" s="155">
        <v>1</v>
      </c>
      <c r="C8" s="166"/>
      <c r="D8" s="167"/>
      <c r="E8" s="167"/>
      <c r="F8" s="168"/>
      <c r="G8" s="168"/>
      <c r="H8" s="169"/>
      <c r="I8" s="522">
        <v>0.75</v>
      </c>
      <c r="J8" s="587" t="str">
        <f>IF(F8="Retrofit",ROUND(IFERROR(VLOOKUP($G8,'Look Up Tables'!$F$86:$H$93,2,FALSE)*(VLOOKUP($G8,'Look Up Tables'!$F$86:$I$93,4,FALSE))*I8*H8,""),2),"")</f>
        <v/>
      </c>
      <c r="K8" s="496" t="str">
        <f>IF(F8="Retrofit",ROUND(IFERROR(VLOOKUP($G8,'Look Up Tables'!$F$86:$H$93,3,FALSE)*(VLOOKUP($G8,'Look Up Tables'!$F$86:$I$93,4,FALSE))*I8,""),4),"")</f>
        <v/>
      </c>
      <c r="L8" s="496" t="str">
        <f>IF(F8="Retrofit",ROUND(IFERROR(VLOOKUP($G8,'Look Up Tables'!$F$86:$H$93,3,FALSE)*(VLOOKUP($G8,'Look Up Tables'!$F$86:$I$93,4,FALSE))*I8,""),4),"")</f>
        <v/>
      </c>
      <c r="M8" s="503" t="str">
        <f t="shared" ref="M8" si="0">IFERROR(ROUND(AVERAGE(K8:L8),4),"")</f>
        <v/>
      </c>
      <c r="N8" s="518" t="str">
        <f>IF(OR(G8='Look Up Tables'!$F$87,G8='Look Up Tables'!$F$89,G8='Look Up Tables'!$F$91,G8='Look Up Tables'!$F$93),"Refrigerator",IF(OR(G8='Look Up Tables'!$F$88,G8='Look Up Tables'!$F$90,G8='Look Up Tables'!$F$92),"Freezer",""))</f>
        <v/>
      </c>
      <c r="O8" s="383" t="str">
        <f>IFERROR(J8*Incentives!$C$4+M8*Incentives!$C$5,"")</f>
        <v/>
      </c>
      <c r="P8" s="191" t="str">
        <f>IFERROR(O8*'Project Summary'!$H$37/'Project Summary'!$G$37,"")</f>
        <v/>
      </c>
      <c r="Q8" s="150"/>
      <c r="R8" s="150"/>
      <c r="S8" s="150"/>
      <c r="T8" s="150"/>
      <c r="U8" s="150"/>
      <c r="V8" s="150"/>
      <c r="W8" s="150"/>
      <c r="X8" s="150"/>
      <c r="Y8" s="150"/>
      <c r="Z8" s="150"/>
      <c r="AA8" s="150"/>
      <c r="AB8" s="150"/>
      <c r="AC8" s="150"/>
      <c r="AD8" s="150"/>
      <c r="AE8" s="150"/>
      <c r="AF8" s="150"/>
      <c r="AG8" s="150"/>
      <c r="AH8" s="150"/>
      <c r="AI8" s="150"/>
      <c r="AJ8" s="150"/>
      <c r="AK8" s="150"/>
      <c r="AL8" s="150"/>
      <c r="AM8" s="150"/>
    </row>
    <row r="9" spans="1:39" s="149" customFormat="1" ht="21.75" customHeight="1" x14ac:dyDescent="0.2">
      <c r="B9" s="158">
        <v>2</v>
      </c>
      <c r="C9" s="170"/>
      <c r="D9" s="708"/>
      <c r="E9" s="708"/>
      <c r="F9" s="173"/>
      <c r="G9" s="171"/>
      <c r="H9" s="197"/>
      <c r="I9" s="523">
        <v>0.75</v>
      </c>
      <c r="J9" s="588" t="str">
        <f>IF(F9="Retrofit",ROUND(IFERROR(VLOOKUP($G9,'Look Up Tables'!$F$86:$H$93,2,FALSE)*(VLOOKUP($G9,'Look Up Tables'!$F$86:$I$93,4,FALSE))*I9*H9,""),2),"")</f>
        <v/>
      </c>
      <c r="K9" s="498" t="str">
        <f>IF(F9="Retrofit",ROUND(IFERROR(VLOOKUP($G9,'Look Up Tables'!$F$86:$H$93,3,FALSE)*(VLOOKUP($G9,'Look Up Tables'!$F$86:$I$93,4,FALSE))*I9,""),4),"")</f>
        <v/>
      </c>
      <c r="L9" s="498" t="str">
        <f>IF(F9="Retrofit",ROUND(IFERROR(VLOOKUP($G9,'Look Up Tables'!$F$86:$H$93,3,FALSE)*(VLOOKUP($G9,'Look Up Tables'!$F$86:$I$93,4,FALSE))*I9,""),4),"")</f>
        <v/>
      </c>
      <c r="M9" s="504" t="str">
        <f t="shared" ref="M9:M17" si="1">IFERROR(ROUND(AVERAGE(K9:L9),4),"")</f>
        <v/>
      </c>
      <c r="N9" s="324" t="str">
        <f>IF(OR(G9='Look Up Tables'!$F$87,G9='Look Up Tables'!$F$89,G9='Look Up Tables'!$F$91,G9='Look Up Tables'!$F$93),"Refrigerator",IF(OR(G9='Look Up Tables'!$F$88,G9='Look Up Tables'!$F$90,G9='Look Up Tables'!$F$92),"Freezer",""))</f>
        <v/>
      </c>
      <c r="O9" s="383" t="str">
        <f>IFERROR(J9*Incentives!$C$4+M9*Incentives!$C$5,"")</f>
        <v/>
      </c>
      <c r="P9" s="161" t="str">
        <f>IFERROR(O9*'Project Summary'!$H$37/'Project Summary'!$G$37,"")</f>
        <v/>
      </c>
      <c r="Q9" s="150"/>
      <c r="R9" s="150"/>
      <c r="S9" s="150"/>
      <c r="T9" s="150"/>
      <c r="U9" s="150"/>
      <c r="V9" s="150"/>
      <c r="W9" s="150"/>
      <c r="X9" s="150"/>
      <c r="Y9" s="150"/>
      <c r="Z9" s="150"/>
      <c r="AA9" s="150"/>
      <c r="AB9" s="150"/>
      <c r="AC9" s="150"/>
      <c r="AD9" s="150"/>
      <c r="AE9" s="150"/>
      <c r="AF9" s="150"/>
      <c r="AG9" s="150"/>
      <c r="AH9" s="150"/>
      <c r="AI9" s="150"/>
      <c r="AJ9" s="150"/>
      <c r="AK9" s="150"/>
      <c r="AL9" s="150"/>
      <c r="AM9" s="150"/>
    </row>
    <row r="10" spans="1:39" s="149" customFormat="1" ht="21.75" customHeight="1" x14ac:dyDescent="0.2">
      <c r="B10" s="158">
        <v>3</v>
      </c>
      <c r="C10" s="170"/>
      <c r="D10" s="708"/>
      <c r="E10" s="708"/>
      <c r="F10" s="173"/>
      <c r="G10" s="171"/>
      <c r="H10" s="197"/>
      <c r="I10" s="523">
        <v>0.75</v>
      </c>
      <c r="J10" s="588" t="str">
        <f>IF(F10="Retrofit",ROUND(IFERROR(VLOOKUP($G10,'Look Up Tables'!$F$86:$H$93,2,FALSE)*(VLOOKUP($G10,'Look Up Tables'!$F$86:$I$93,4,FALSE))*I10*H10,""),2),"")</f>
        <v/>
      </c>
      <c r="K10" s="498" t="str">
        <f>IF(F10="Retrofit",ROUND(IFERROR(VLOOKUP($G10,'Look Up Tables'!$F$86:$H$93,3,FALSE)*(VLOOKUP($G10,'Look Up Tables'!$F$86:$I$93,4,FALSE))*I10,""),4),"")</f>
        <v/>
      </c>
      <c r="L10" s="498" t="str">
        <f>IF(F10="Retrofit",ROUND(IFERROR(VLOOKUP($G10,'Look Up Tables'!$F$86:$H$93,3,FALSE)*(VLOOKUP($G10,'Look Up Tables'!$F$86:$I$93,4,FALSE))*I10,""),4),"")</f>
        <v/>
      </c>
      <c r="M10" s="504" t="str">
        <f t="shared" si="1"/>
        <v/>
      </c>
      <c r="N10" s="324" t="str">
        <f>IF(OR(G10='Look Up Tables'!$F$87,G10='Look Up Tables'!$F$89,G10='Look Up Tables'!$F$91,G10='Look Up Tables'!$F$93),"Refrigerator",IF(OR(G10='Look Up Tables'!$F$88,G10='Look Up Tables'!$F$90,G10='Look Up Tables'!$F$92),"Freezer",""))</f>
        <v/>
      </c>
      <c r="O10" s="383" t="str">
        <f>IFERROR(J10*Incentives!$C$4+M10*Incentives!$C$5,"")</f>
        <v/>
      </c>
      <c r="P10" s="161" t="str">
        <f>IFERROR(O10*'Project Summary'!$H$37/'Project Summary'!$G$37,"")</f>
        <v/>
      </c>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row>
    <row r="11" spans="1:39" s="149" customFormat="1" ht="21.75" customHeight="1" x14ac:dyDescent="0.2">
      <c r="B11" s="158">
        <v>4</v>
      </c>
      <c r="C11" s="170"/>
      <c r="D11" s="708"/>
      <c r="E11" s="708"/>
      <c r="F11" s="173"/>
      <c r="G11" s="171"/>
      <c r="H11" s="197"/>
      <c r="I11" s="523">
        <v>0.75</v>
      </c>
      <c r="J11" s="588" t="str">
        <f>IF(F11="Retrofit",ROUND(IFERROR(VLOOKUP($G11,'Look Up Tables'!$F$86:$H$93,2,FALSE)*(VLOOKUP($G11,'Look Up Tables'!$F$86:$I$93,4,FALSE))*I11*H11,""),2),"")</f>
        <v/>
      </c>
      <c r="K11" s="498" t="str">
        <f>IF(F11="Retrofit",ROUND(IFERROR(VLOOKUP($G11,'Look Up Tables'!$F$86:$H$93,3,FALSE)*(VLOOKUP($G11,'Look Up Tables'!$F$86:$I$93,4,FALSE))*I11,""),4),"")</f>
        <v/>
      </c>
      <c r="L11" s="498" t="str">
        <f>IF(F11="Retrofit",ROUND(IFERROR(VLOOKUP($G11,'Look Up Tables'!$F$86:$H$93,3,FALSE)*(VLOOKUP($G11,'Look Up Tables'!$F$86:$I$93,4,FALSE))*I11,""),4),"")</f>
        <v/>
      </c>
      <c r="M11" s="504" t="str">
        <f t="shared" si="1"/>
        <v/>
      </c>
      <c r="N11" s="324" t="str">
        <f>IF(OR(G11='Look Up Tables'!$F$87,G11='Look Up Tables'!$F$89,G11='Look Up Tables'!$F$91,G11='Look Up Tables'!$F$93),"Refrigerator",IF(OR(G11='Look Up Tables'!$F$88,G11='Look Up Tables'!$F$90,G11='Look Up Tables'!$F$92),"Freezer",""))</f>
        <v/>
      </c>
      <c r="O11" s="383" t="str">
        <f>IFERROR(J11*Incentives!$C$4+M11*Incentives!$C$5,"")</f>
        <v/>
      </c>
      <c r="P11" s="161" t="str">
        <f>IFERROR(O11*'Project Summary'!$H$37/'Project Summary'!$G$37,"")</f>
        <v/>
      </c>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39" s="149" customFormat="1" ht="21.75" customHeight="1" x14ac:dyDescent="0.2">
      <c r="B12" s="158">
        <v>5</v>
      </c>
      <c r="C12" s="170"/>
      <c r="D12" s="708"/>
      <c r="E12" s="708"/>
      <c r="F12" s="173"/>
      <c r="G12" s="171"/>
      <c r="H12" s="197"/>
      <c r="I12" s="523">
        <v>0.75</v>
      </c>
      <c r="J12" s="588" t="str">
        <f>IF(F12="Retrofit",ROUND(IFERROR(VLOOKUP($G12,'Look Up Tables'!$F$86:$H$93,2,FALSE)*(VLOOKUP($G12,'Look Up Tables'!$F$86:$I$93,4,FALSE))*I12*H12,""),2),"")</f>
        <v/>
      </c>
      <c r="K12" s="498" t="str">
        <f>IF(F12="Retrofit",ROUND(IFERROR(VLOOKUP($G12,'Look Up Tables'!$F$86:$H$93,3,FALSE)*(VLOOKUP($G12,'Look Up Tables'!$F$86:$I$93,4,FALSE))*I12,""),4),"")</f>
        <v/>
      </c>
      <c r="L12" s="498" t="str">
        <f>IF(F12="Retrofit",ROUND(IFERROR(VLOOKUP($G12,'Look Up Tables'!$F$86:$H$93,3,FALSE)*(VLOOKUP($G12,'Look Up Tables'!$F$86:$I$93,4,FALSE))*I12,""),4),"")</f>
        <v/>
      </c>
      <c r="M12" s="504" t="str">
        <f t="shared" si="1"/>
        <v/>
      </c>
      <c r="N12" s="324" t="str">
        <f>IF(OR(G12='Look Up Tables'!$F$87,G12='Look Up Tables'!$F$89,G12='Look Up Tables'!$F$91,G12='Look Up Tables'!$F$93),"Refrigerator",IF(OR(G12='Look Up Tables'!$F$88,G12='Look Up Tables'!$F$90,G12='Look Up Tables'!$F$92),"Freezer",""))</f>
        <v/>
      </c>
      <c r="O12" s="383" t="str">
        <f>IFERROR(J12*Incentives!$C$4+M12*Incentives!$C$5,"")</f>
        <v/>
      </c>
      <c r="P12" s="161" t="str">
        <f>IFERROR(O12*'Project Summary'!$H$37/'Project Summary'!$G$37,"")</f>
        <v/>
      </c>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row>
    <row r="13" spans="1:39" s="149" customFormat="1" ht="21.75" customHeight="1" x14ac:dyDescent="0.2">
      <c r="B13" s="158">
        <v>6</v>
      </c>
      <c r="C13" s="170"/>
      <c r="D13" s="708"/>
      <c r="E13" s="708"/>
      <c r="F13" s="173"/>
      <c r="G13" s="171"/>
      <c r="H13" s="197"/>
      <c r="I13" s="523">
        <v>0.75</v>
      </c>
      <c r="J13" s="588" t="str">
        <f>IF(F13="Retrofit",ROUND(IFERROR(VLOOKUP($G13,'Look Up Tables'!$F$86:$H$93,2,FALSE)*(VLOOKUP($G13,'Look Up Tables'!$F$86:$I$93,4,FALSE))*I13*H13,""),2),"")</f>
        <v/>
      </c>
      <c r="K13" s="498" t="str">
        <f>IF(F13="Retrofit",ROUND(IFERROR(VLOOKUP($G13,'Look Up Tables'!$F$86:$H$93,3,FALSE)*(VLOOKUP($G13,'Look Up Tables'!$F$86:$I$93,4,FALSE))*I13,""),4),"")</f>
        <v/>
      </c>
      <c r="L13" s="498" t="str">
        <f>IF(F13="Retrofit",ROUND(IFERROR(VLOOKUP($G13,'Look Up Tables'!$F$86:$H$93,3,FALSE)*(VLOOKUP($G13,'Look Up Tables'!$F$86:$I$93,4,FALSE))*I13,""),4),"")</f>
        <v/>
      </c>
      <c r="M13" s="504" t="str">
        <f t="shared" si="1"/>
        <v/>
      </c>
      <c r="N13" s="324" t="str">
        <f>IF(OR(G13='Look Up Tables'!$F$87,G13='Look Up Tables'!$F$89,G13='Look Up Tables'!$F$91,G13='Look Up Tables'!$F$93),"Refrigerator",IF(OR(G13='Look Up Tables'!$F$88,G13='Look Up Tables'!$F$90,G13='Look Up Tables'!$F$92),"Freezer",""))</f>
        <v/>
      </c>
      <c r="O13" s="383" t="str">
        <f>IFERROR(J13*Incentives!$C$4+M13*Incentives!$C$5,"")</f>
        <v/>
      </c>
      <c r="P13" s="161" t="str">
        <f>IFERROR(O13*'Project Summary'!$H$37/'Project Summary'!$G$37,"")</f>
        <v/>
      </c>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row>
    <row r="14" spans="1:39" s="149" customFormat="1" ht="21.75" customHeight="1" x14ac:dyDescent="0.2">
      <c r="B14" s="158">
        <v>7</v>
      </c>
      <c r="C14" s="170"/>
      <c r="D14" s="708"/>
      <c r="E14" s="708"/>
      <c r="F14" s="173"/>
      <c r="G14" s="171"/>
      <c r="H14" s="197"/>
      <c r="I14" s="523">
        <v>0.75</v>
      </c>
      <c r="J14" s="588" t="str">
        <f>IF(F14="Retrofit",ROUND(IFERROR(VLOOKUP($G14,'Look Up Tables'!$F$86:$H$93,2,FALSE)*(VLOOKUP($G14,'Look Up Tables'!$F$86:$I$93,4,FALSE))*I14*H14,""),2),"")</f>
        <v/>
      </c>
      <c r="K14" s="498" t="str">
        <f>IF(F14="Retrofit",ROUND(IFERROR(VLOOKUP($G14,'Look Up Tables'!$F$86:$H$93,3,FALSE)*(VLOOKUP($G14,'Look Up Tables'!$F$86:$I$93,4,FALSE))*I14,""),4),"")</f>
        <v/>
      </c>
      <c r="L14" s="498" t="str">
        <f>IF(F14="Retrofit",ROUND(IFERROR(VLOOKUP($G14,'Look Up Tables'!$F$86:$H$93,3,FALSE)*(VLOOKUP($G14,'Look Up Tables'!$F$86:$I$93,4,FALSE))*I14,""),4),"")</f>
        <v/>
      </c>
      <c r="M14" s="504" t="str">
        <f t="shared" si="1"/>
        <v/>
      </c>
      <c r="N14" s="324" t="str">
        <f>IF(OR(G14='Look Up Tables'!$F$87,G14='Look Up Tables'!$F$89,G14='Look Up Tables'!$F$91,G14='Look Up Tables'!$F$93),"Refrigerator",IF(OR(G14='Look Up Tables'!$F$88,G14='Look Up Tables'!$F$90,G14='Look Up Tables'!$F$92),"Freezer",""))</f>
        <v/>
      </c>
      <c r="O14" s="383" t="str">
        <f>IFERROR(J14*Incentives!$C$4+M14*Incentives!$C$5,"")</f>
        <v/>
      </c>
      <c r="P14" s="161" t="str">
        <f>IFERROR(O14*'Project Summary'!$H$37/'Project Summary'!$G$37,"")</f>
        <v/>
      </c>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row>
    <row r="15" spans="1:39" s="149" customFormat="1" ht="21.75" customHeight="1" x14ac:dyDescent="0.2">
      <c r="B15" s="158">
        <v>8</v>
      </c>
      <c r="C15" s="170"/>
      <c r="D15" s="708"/>
      <c r="E15" s="708"/>
      <c r="F15" s="173"/>
      <c r="G15" s="171"/>
      <c r="H15" s="172"/>
      <c r="I15" s="523">
        <v>0.75</v>
      </c>
      <c r="J15" s="588" t="str">
        <f>IF(F15="Retrofit",ROUND(IFERROR(VLOOKUP($G15,'Look Up Tables'!$F$86:$H$93,2,FALSE)*(VLOOKUP($G15,'Look Up Tables'!$F$86:$I$93,4,FALSE))*I15*H15,""),2),"")</f>
        <v/>
      </c>
      <c r="K15" s="498" t="str">
        <f>IF(F15="Retrofit",ROUND(IFERROR(VLOOKUP($G15,'Look Up Tables'!$F$86:$H$93,3,FALSE)*(VLOOKUP($G15,'Look Up Tables'!$F$86:$I$93,4,FALSE))*I15,""),4),"")</f>
        <v/>
      </c>
      <c r="L15" s="498" t="str">
        <f>IF(F15="Retrofit",ROUND(IFERROR(VLOOKUP($G15,'Look Up Tables'!$F$86:$H$93,3,FALSE)*(VLOOKUP($G15,'Look Up Tables'!$F$86:$I$93,4,FALSE))*I15,""),4),"")</f>
        <v/>
      </c>
      <c r="M15" s="504" t="str">
        <f t="shared" si="1"/>
        <v/>
      </c>
      <c r="N15" s="324" t="str">
        <f>IF(OR(G15='Look Up Tables'!$F$87,G15='Look Up Tables'!$F$89,G15='Look Up Tables'!$F$91,G15='Look Up Tables'!$F$93),"Refrigerator",IF(OR(G15='Look Up Tables'!$F$88,G15='Look Up Tables'!$F$90,G15='Look Up Tables'!$F$92),"Freezer",""))</f>
        <v/>
      </c>
      <c r="O15" s="383" t="str">
        <f>IFERROR(J15*Incentives!$C$4+M15*Incentives!$C$5,"")</f>
        <v/>
      </c>
      <c r="P15" s="161" t="str">
        <f>IFERROR(O15*'Project Summary'!$H$37/'Project Summary'!$G$37,"")</f>
        <v/>
      </c>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row>
    <row r="16" spans="1:39" s="149" customFormat="1" ht="21.75" customHeight="1" x14ac:dyDescent="0.2">
      <c r="B16" s="158">
        <v>9</v>
      </c>
      <c r="C16" s="170"/>
      <c r="D16" s="708"/>
      <c r="E16" s="708"/>
      <c r="F16" s="171"/>
      <c r="G16" s="171"/>
      <c r="H16" s="172"/>
      <c r="I16" s="523">
        <v>0.75</v>
      </c>
      <c r="J16" s="588" t="str">
        <f>IF(F16="Retrofit",ROUND(IFERROR(VLOOKUP($G16,'Look Up Tables'!$F$86:$H$93,2,FALSE)*(VLOOKUP($G16,'Look Up Tables'!$F$86:$I$93,4,FALSE))*I16*H16,""),2),"")</f>
        <v/>
      </c>
      <c r="K16" s="498" t="str">
        <f>IF(F16="Retrofit",ROUND(IFERROR(VLOOKUP($G16,'Look Up Tables'!$F$86:$H$93,3,FALSE)*(VLOOKUP($G16,'Look Up Tables'!$F$86:$I$93,4,FALSE))*I16,""),4),"")</f>
        <v/>
      </c>
      <c r="L16" s="498" t="str">
        <f>IF(F16="Retrofit",ROUND(IFERROR(VLOOKUP($G16,'Look Up Tables'!$F$86:$H$93,3,FALSE)*(VLOOKUP($G16,'Look Up Tables'!$F$86:$I$93,4,FALSE))*I16,""),4),"")</f>
        <v/>
      </c>
      <c r="M16" s="504" t="str">
        <f t="shared" si="1"/>
        <v/>
      </c>
      <c r="N16" s="324" t="str">
        <f>IF(OR(G16='Look Up Tables'!$F$87,G16='Look Up Tables'!$F$89,G16='Look Up Tables'!$F$91,G16='Look Up Tables'!$F$93),"Refrigerator",IF(OR(G16='Look Up Tables'!$F$88,G16='Look Up Tables'!$F$90,G16='Look Up Tables'!$F$92),"Freezer",""))</f>
        <v/>
      </c>
      <c r="O16" s="383" t="str">
        <f>IFERROR(J16*Incentives!$C$4+M16*Incentives!$C$5,"")</f>
        <v/>
      </c>
      <c r="P16" s="161" t="str">
        <f>IFERROR(O16*'Project Summary'!$H$37/'Project Summary'!$G$37,"")</f>
        <v/>
      </c>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row>
    <row r="17" spans="2:39" s="149" customFormat="1" ht="21.75" customHeight="1" thickBot="1" x14ac:dyDescent="0.25">
      <c r="B17" s="162">
        <v>10</v>
      </c>
      <c r="C17" s="174"/>
      <c r="D17" s="175"/>
      <c r="E17" s="175"/>
      <c r="F17" s="177"/>
      <c r="G17" s="177"/>
      <c r="H17" s="178"/>
      <c r="I17" s="524">
        <v>0.75</v>
      </c>
      <c r="J17" s="605" t="str">
        <f>IF(F17="Retrofit",ROUND(IFERROR(VLOOKUP($G17,'Look Up Tables'!$F$86:$H$93,2,FALSE)*(VLOOKUP($G17,'Look Up Tables'!$F$86:$I$93,4,FALSE))*I17*H17,""),2),"")</f>
        <v/>
      </c>
      <c r="K17" s="499" t="str">
        <f>IF(F17="Retrofit",ROUND(IFERROR(VLOOKUP($G17,'Look Up Tables'!$F$86:$H$93,3,FALSE)*(VLOOKUP($G17,'Look Up Tables'!$F$86:$I$93,4,FALSE))*I17,""),4),"")</f>
        <v/>
      </c>
      <c r="L17" s="499" t="str">
        <f>IF(F17="Retrofit",ROUND(IFERROR(VLOOKUP($G17,'Look Up Tables'!$F$86:$H$93,3,FALSE)*(VLOOKUP($G17,'Look Up Tables'!$F$86:$I$93,4,FALSE))*I17,""),4),"")</f>
        <v/>
      </c>
      <c r="M17" s="505" t="str">
        <f t="shared" si="1"/>
        <v/>
      </c>
      <c r="N17" s="325" t="str">
        <f>IF(OR(G17='Look Up Tables'!$F$87,G17='Look Up Tables'!$F$89,G17='Look Up Tables'!$F$91,G17='Look Up Tables'!$F$93),"Refrigerator",IF(OR(G17='Look Up Tables'!$F$88,G17='Look Up Tables'!$F$90,G17='Look Up Tables'!$F$92),"Freezer",""))</f>
        <v/>
      </c>
      <c r="O17" s="384" t="str">
        <f>IFERROR(J17*Incentives!$C$4+M17*Incentives!$C$5,"")</f>
        <v/>
      </c>
      <c r="P17" s="165" t="str">
        <f>IFERROR(O17*'Project Summary'!$H$37/'Project Summary'!$G$37,"")</f>
        <v/>
      </c>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row>
    <row r="18" spans="2:39"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row>
    <row r="19" spans="2:39"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row>
    <row r="20" spans="2:39"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row>
    <row r="21" spans="2:39"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row>
    <row r="22" spans="2:39"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row>
    <row r="23" spans="2:39"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row>
    <row r="24" spans="2:39"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row>
    <row r="25" spans="2:39"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row>
    <row r="26" spans="2:39"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row>
    <row r="27" spans="2:39"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row>
    <row r="28" spans="2:39"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row>
    <row r="29" spans="2:39"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row>
    <row r="30" spans="2:39"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row>
    <row r="31" spans="2:39"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row>
    <row r="32" spans="2:39"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row>
    <row r="33" spans="2:39"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row>
    <row r="34" spans="2:39"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row>
    <row r="35" spans="2:39"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row>
    <row r="36" spans="2:39"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row>
    <row r="37" spans="2:39"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row>
    <row r="38" spans="2:39"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row>
    <row r="39" spans="2:39"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row>
    <row r="40" spans="2:39"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row>
    <row r="41" spans="2:39"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row>
    <row r="42" spans="2:39"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row>
    <row r="43" spans="2:39"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row>
    <row r="44" spans="2:39"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row>
    <row r="45" spans="2:39"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row>
    <row r="46" spans="2:39"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row>
    <row r="47" spans="2:39"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row>
    <row r="48" spans="2:39"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row>
    <row r="49" spans="2:39"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row>
    <row r="50" spans="2:39"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row>
    <row r="51" spans="2:39"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row>
    <row r="52" spans="2:39"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row>
    <row r="53" spans="2:39"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row>
    <row r="54" spans="2:39"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row>
    <row r="55" spans="2:39"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row>
    <row r="56" spans="2:39"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row>
    <row r="57" spans="2:39"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row>
    <row r="58" spans="2:39"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row>
    <row r="59" spans="2:39"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row>
    <row r="60" spans="2:39"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row>
    <row r="61" spans="2:39"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row>
    <row r="62" spans="2:39"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row>
    <row r="63" spans="2:39"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row>
    <row r="64" spans="2:39"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row>
    <row r="65" spans="2:39"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row>
  </sheetData>
  <sheetProtection algorithmName="SHA-512" hashValue="Lbc6T21+gNBqEVyZ6KpgEhLPdhtuDHhS+LfM/6w3a7I4BI9R3yH/JtFySOm8zMJOjg227yYL0nuU0doqguiGtw==" saltValue="ZCWcN68UN4PhTaF8K9cmLQ==" spinCount="100000" sheet="1" formatColumns="0"/>
  <mergeCells count="6">
    <mergeCell ref="B4:M4"/>
    <mergeCell ref="C6:H6"/>
    <mergeCell ref="O6:O7"/>
    <mergeCell ref="P6:P7"/>
    <mergeCell ref="B6:B7"/>
    <mergeCell ref="I6:N6"/>
  </mergeCells>
  <conditionalFormatting sqref="F8:F17">
    <cfRule type="expression" dxfId="15" priority="7">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64" yWindow="439" count="2">
        <x14:dataValidation type="list" allowBlank="1" showInputMessage="1" showErrorMessage="1" promptTitle="Retrofit Only" prompt="This measure is for retrofit projects only. If new Construction, please contact CLEAResult for further assistance._x000a_" xr:uid="{DEECBFFB-DE7E-4E2D-9076-34EEA77A790C}">
          <x14:formula1>
            <xm:f>'Look Up Tables'!$F$33:$F$34</xm:f>
          </x14:formula1>
          <xm:sqref>F8:F17</xm:sqref>
        </x14:dataValidation>
        <x14:dataValidation type="list" allowBlank="1" showInputMessage="1" showErrorMessage="1" xr:uid="{92FED585-CE9E-4709-A55E-648CBEB25F1B}">
          <x14:formula1>
            <xm:f>'Look Up Tables'!$B$87:$B$93</xm:f>
          </x14:formula1>
          <xm:sqref>G8:G17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C3B10-A3DF-4945-9BB8-5DEEB0C20CF8}">
  <sheetPr codeName="Sheet2"/>
  <dimension ref="A1:AQ118"/>
  <sheetViews>
    <sheetView showGridLines="0" zoomScale="85" zoomScaleNormal="85" workbookViewId="0">
      <selection activeCell="A5" sqref="A5:I57"/>
    </sheetView>
  </sheetViews>
  <sheetFormatPr defaultColWidth="0" defaultRowHeight="0" customHeight="1" zeroHeight="1" x14ac:dyDescent="0.2"/>
  <cols>
    <col min="1" max="9" width="8" style="30" customWidth="1"/>
    <col min="10" max="10" width="1" style="30" customWidth="1"/>
    <col min="11" max="19" width="8" style="30" customWidth="1"/>
    <col min="20" max="20" width="1" style="30" customWidth="1"/>
    <col min="21" max="29" width="8" style="30" customWidth="1"/>
    <col min="30" max="30" width="1" style="30" customWidth="1"/>
    <col min="31" max="39" width="8" style="30" customWidth="1"/>
    <col min="40" max="40" width="1" style="30" customWidth="1"/>
    <col min="41" max="41" width="8" style="30" customWidth="1"/>
    <col min="42" max="43" width="0" style="30" hidden="1" customWidth="1"/>
    <col min="44" max="16384" width="8" style="30" hidden="1"/>
  </cols>
  <sheetData>
    <row r="1" spans="1:40" ht="30" customHeight="1" x14ac:dyDescent="0.2">
      <c r="A1" s="809" t="s">
        <v>22</v>
      </c>
      <c r="B1" s="809"/>
      <c r="C1" s="809"/>
      <c r="D1" s="809"/>
      <c r="E1" s="809"/>
    </row>
    <row r="2" spans="1:40" ht="5.85" customHeight="1" x14ac:dyDescent="0.2">
      <c r="A2" s="31"/>
      <c r="B2" s="31"/>
      <c r="C2" s="31"/>
      <c r="D2" s="31"/>
      <c r="E2" s="31"/>
      <c r="F2" s="31"/>
      <c r="G2" s="31"/>
      <c r="H2" s="31"/>
      <c r="I2" s="31"/>
      <c r="K2" s="31"/>
      <c r="L2" s="31"/>
      <c r="M2" s="31"/>
      <c r="N2" s="31"/>
      <c r="O2" s="31"/>
      <c r="P2" s="31"/>
      <c r="Q2" s="31"/>
      <c r="R2" s="31"/>
      <c r="S2" s="31"/>
      <c r="U2" s="31"/>
      <c r="V2" s="31"/>
      <c r="W2" s="31"/>
      <c r="X2" s="31"/>
      <c r="Y2" s="31"/>
      <c r="Z2" s="31"/>
      <c r="AA2" s="31"/>
      <c r="AB2" s="31"/>
      <c r="AC2" s="31"/>
      <c r="AE2" s="31"/>
      <c r="AF2" s="31"/>
      <c r="AG2" s="31"/>
      <c r="AH2" s="31"/>
      <c r="AI2" s="31"/>
      <c r="AJ2" s="31"/>
      <c r="AK2" s="31"/>
      <c r="AL2" s="31"/>
      <c r="AM2" s="31"/>
    </row>
    <row r="3" spans="1:40" s="33" customFormat="1" ht="20.100000000000001" customHeight="1" x14ac:dyDescent="0.2">
      <c r="A3" s="810" t="s">
        <v>23</v>
      </c>
      <c r="B3" s="810"/>
      <c r="C3" s="810"/>
      <c r="D3" s="810"/>
      <c r="E3" s="810"/>
      <c r="F3" s="810"/>
      <c r="G3" s="810"/>
      <c r="H3" s="810"/>
      <c r="I3" s="810"/>
      <c r="J3" s="32"/>
      <c r="K3" s="810" t="s">
        <v>24</v>
      </c>
      <c r="L3" s="810"/>
      <c r="M3" s="810"/>
      <c r="N3" s="810"/>
      <c r="O3" s="810"/>
      <c r="P3" s="810"/>
      <c r="Q3" s="810"/>
      <c r="R3" s="810"/>
      <c r="S3" s="810"/>
      <c r="T3" s="32"/>
      <c r="U3" s="810" t="s">
        <v>25</v>
      </c>
      <c r="V3" s="810"/>
      <c r="W3" s="810"/>
      <c r="X3" s="810"/>
      <c r="Y3" s="810"/>
      <c r="Z3" s="810"/>
      <c r="AA3" s="810"/>
      <c r="AB3" s="810"/>
      <c r="AC3" s="810"/>
      <c r="AD3" s="32"/>
      <c r="AE3" s="810" t="s">
        <v>26</v>
      </c>
      <c r="AF3" s="810"/>
      <c r="AG3" s="810"/>
      <c r="AH3" s="810"/>
      <c r="AI3" s="810"/>
      <c r="AJ3" s="810"/>
      <c r="AK3" s="810"/>
      <c r="AL3" s="810"/>
      <c r="AM3" s="810"/>
      <c r="AN3" s="32"/>
    </row>
    <row r="4" spans="1:40" ht="6" customHeight="1" x14ac:dyDescent="0.2">
      <c r="A4" s="31"/>
      <c r="B4" s="31"/>
      <c r="C4" s="31"/>
      <c r="D4" s="31"/>
      <c r="E4" s="31"/>
      <c r="F4" s="31"/>
      <c r="G4" s="31"/>
      <c r="H4" s="31"/>
      <c r="I4" s="31"/>
      <c r="J4" s="34"/>
      <c r="K4" s="31"/>
      <c r="L4" s="31"/>
      <c r="M4" s="31"/>
      <c r="N4" s="31"/>
      <c r="O4" s="31"/>
      <c r="P4" s="31"/>
      <c r="Q4" s="31"/>
      <c r="R4" s="31"/>
      <c r="S4" s="31"/>
      <c r="T4" s="34"/>
      <c r="U4" s="31"/>
      <c r="V4" s="31"/>
      <c r="W4" s="31"/>
      <c r="X4" s="31"/>
      <c r="Y4" s="31"/>
      <c r="Z4" s="31"/>
      <c r="AA4" s="31"/>
      <c r="AB4" s="31"/>
      <c r="AC4" s="31"/>
      <c r="AD4" s="34"/>
      <c r="AE4" s="31"/>
      <c r="AF4" s="31"/>
      <c r="AG4" s="31"/>
      <c r="AH4" s="31"/>
      <c r="AI4" s="31"/>
      <c r="AJ4" s="31"/>
      <c r="AK4" s="31"/>
      <c r="AL4" s="31"/>
      <c r="AM4" s="31"/>
      <c r="AN4" s="34"/>
    </row>
    <row r="5" spans="1:40" ht="14.85" customHeight="1" x14ac:dyDescent="0.2">
      <c r="A5" s="806" t="s">
        <v>27</v>
      </c>
      <c r="B5" s="807"/>
      <c r="C5" s="807"/>
      <c r="D5" s="807"/>
      <c r="E5" s="807"/>
      <c r="F5" s="807"/>
      <c r="G5" s="807"/>
      <c r="H5" s="807"/>
      <c r="I5" s="807"/>
      <c r="J5" s="34"/>
      <c r="K5" s="806" t="s">
        <v>28</v>
      </c>
      <c r="L5" s="808"/>
      <c r="M5" s="808"/>
      <c r="N5" s="808"/>
      <c r="O5" s="808"/>
      <c r="P5" s="808"/>
      <c r="Q5" s="808"/>
      <c r="R5" s="808"/>
      <c r="S5" s="808"/>
      <c r="T5" s="34"/>
      <c r="U5" s="806" t="s">
        <v>29</v>
      </c>
      <c r="V5" s="807"/>
      <c r="W5" s="807"/>
      <c r="X5" s="807"/>
      <c r="Y5" s="807"/>
      <c r="Z5" s="807"/>
      <c r="AA5" s="807"/>
      <c r="AB5" s="807"/>
      <c r="AC5" s="807"/>
      <c r="AD5" s="34"/>
      <c r="AE5" s="806" t="s">
        <v>30</v>
      </c>
      <c r="AF5" s="808"/>
      <c r="AG5" s="808"/>
      <c r="AH5" s="808"/>
      <c r="AI5" s="808"/>
      <c r="AJ5" s="808"/>
      <c r="AK5" s="808"/>
      <c r="AL5" s="808"/>
      <c r="AM5" s="808"/>
      <c r="AN5" s="34"/>
    </row>
    <row r="6" spans="1:40" ht="14.25" x14ac:dyDescent="0.2">
      <c r="A6" s="807"/>
      <c r="B6" s="807"/>
      <c r="C6" s="807"/>
      <c r="D6" s="807"/>
      <c r="E6" s="807"/>
      <c r="F6" s="807"/>
      <c r="G6" s="807"/>
      <c r="H6" s="807"/>
      <c r="I6" s="807"/>
      <c r="J6" s="34"/>
      <c r="K6" s="808"/>
      <c r="L6" s="808"/>
      <c r="M6" s="808"/>
      <c r="N6" s="808"/>
      <c r="O6" s="808"/>
      <c r="P6" s="808"/>
      <c r="Q6" s="808"/>
      <c r="R6" s="808"/>
      <c r="S6" s="808"/>
      <c r="T6" s="34"/>
      <c r="U6" s="807"/>
      <c r="V6" s="807"/>
      <c r="W6" s="807"/>
      <c r="X6" s="807"/>
      <c r="Y6" s="807"/>
      <c r="Z6" s="807"/>
      <c r="AA6" s="807"/>
      <c r="AB6" s="807"/>
      <c r="AC6" s="807"/>
      <c r="AD6" s="34"/>
      <c r="AE6" s="808"/>
      <c r="AF6" s="808"/>
      <c r="AG6" s="808"/>
      <c r="AH6" s="808"/>
      <c r="AI6" s="808"/>
      <c r="AJ6" s="808"/>
      <c r="AK6" s="808"/>
      <c r="AL6" s="808"/>
      <c r="AM6" s="808"/>
      <c r="AN6" s="34"/>
    </row>
    <row r="7" spans="1:40" ht="14.85" customHeight="1" x14ac:dyDescent="0.2">
      <c r="A7" s="807"/>
      <c r="B7" s="807"/>
      <c r="C7" s="807"/>
      <c r="D7" s="807"/>
      <c r="E7" s="807"/>
      <c r="F7" s="807"/>
      <c r="G7" s="807"/>
      <c r="H7" s="807"/>
      <c r="I7" s="807"/>
      <c r="J7" s="34"/>
      <c r="K7" s="808"/>
      <c r="L7" s="808"/>
      <c r="M7" s="808"/>
      <c r="N7" s="808"/>
      <c r="O7" s="808"/>
      <c r="P7" s="808"/>
      <c r="Q7" s="808"/>
      <c r="R7" s="808"/>
      <c r="S7" s="808"/>
      <c r="T7" s="34"/>
      <c r="U7" s="807"/>
      <c r="V7" s="807"/>
      <c r="W7" s="807"/>
      <c r="X7" s="807"/>
      <c r="Y7" s="807"/>
      <c r="Z7" s="807"/>
      <c r="AA7" s="807"/>
      <c r="AB7" s="807"/>
      <c r="AC7" s="807"/>
      <c r="AD7" s="34"/>
      <c r="AE7" s="808"/>
      <c r="AF7" s="808"/>
      <c r="AG7" s="808"/>
      <c r="AH7" s="808"/>
      <c r="AI7" s="808"/>
      <c r="AJ7" s="808"/>
      <c r="AK7" s="808"/>
      <c r="AL7" s="808"/>
      <c r="AM7" s="808"/>
      <c r="AN7" s="34"/>
    </row>
    <row r="8" spans="1:40" ht="14.85" customHeight="1" x14ac:dyDescent="0.2">
      <c r="A8" s="807"/>
      <c r="B8" s="807"/>
      <c r="C8" s="807"/>
      <c r="D8" s="807"/>
      <c r="E8" s="807"/>
      <c r="F8" s="807"/>
      <c r="G8" s="807"/>
      <c r="H8" s="807"/>
      <c r="I8" s="807"/>
      <c r="J8" s="34"/>
      <c r="K8" s="808"/>
      <c r="L8" s="808"/>
      <c r="M8" s="808"/>
      <c r="N8" s="808"/>
      <c r="O8" s="808"/>
      <c r="P8" s="808"/>
      <c r="Q8" s="808"/>
      <c r="R8" s="808"/>
      <c r="S8" s="808"/>
      <c r="T8" s="34"/>
      <c r="U8" s="807"/>
      <c r="V8" s="807"/>
      <c r="W8" s="807"/>
      <c r="X8" s="807"/>
      <c r="Y8" s="807"/>
      <c r="Z8" s="807"/>
      <c r="AA8" s="807"/>
      <c r="AB8" s="807"/>
      <c r="AC8" s="807"/>
      <c r="AD8" s="34"/>
      <c r="AE8" s="808"/>
      <c r="AF8" s="808"/>
      <c r="AG8" s="808"/>
      <c r="AH8" s="808"/>
      <c r="AI8" s="808"/>
      <c r="AJ8" s="808"/>
      <c r="AK8" s="808"/>
      <c r="AL8" s="808"/>
      <c r="AM8" s="808"/>
      <c r="AN8" s="34"/>
    </row>
    <row r="9" spans="1:40" ht="14.85" customHeight="1" x14ac:dyDescent="0.2">
      <c r="A9" s="807"/>
      <c r="B9" s="807"/>
      <c r="C9" s="807"/>
      <c r="D9" s="807"/>
      <c r="E9" s="807"/>
      <c r="F9" s="807"/>
      <c r="G9" s="807"/>
      <c r="H9" s="807"/>
      <c r="I9" s="807"/>
      <c r="J9" s="34"/>
      <c r="K9" s="808"/>
      <c r="L9" s="808"/>
      <c r="M9" s="808"/>
      <c r="N9" s="808"/>
      <c r="O9" s="808"/>
      <c r="P9" s="808"/>
      <c r="Q9" s="808"/>
      <c r="R9" s="808"/>
      <c r="S9" s="808"/>
      <c r="T9" s="34"/>
      <c r="U9" s="807"/>
      <c r="V9" s="807"/>
      <c r="W9" s="807"/>
      <c r="X9" s="807"/>
      <c r="Y9" s="807"/>
      <c r="Z9" s="807"/>
      <c r="AA9" s="807"/>
      <c r="AB9" s="807"/>
      <c r="AC9" s="807"/>
      <c r="AD9" s="34"/>
      <c r="AE9" s="808"/>
      <c r="AF9" s="808"/>
      <c r="AG9" s="808"/>
      <c r="AH9" s="808"/>
      <c r="AI9" s="808"/>
      <c r="AJ9" s="808"/>
      <c r="AK9" s="808"/>
      <c r="AL9" s="808"/>
      <c r="AM9" s="808"/>
      <c r="AN9" s="34"/>
    </row>
    <row r="10" spans="1:40" ht="14.25" x14ac:dyDescent="0.2">
      <c r="A10" s="807"/>
      <c r="B10" s="807"/>
      <c r="C10" s="807"/>
      <c r="D10" s="807"/>
      <c r="E10" s="807"/>
      <c r="F10" s="807"/>
      <c r="G10" s="807"/>
      <c r="H10" s="807"/>
      <c r="I10" s="807"/>
      <c r="J10" s="34"/>
      <c r="K10" s="808"/>
      <c r="L10" s="808"/>
      <c r="M10" s="808"/>
      <c r="N10" s="808"/>
      <c r="O10" s="808"/>
      <c r="P10" s="808"/>
      <c r="Q10" s="808"/>
      <c r="R10" s="808"/>
      <c r="S10" s="808"/>
      <c r="T10" s="34"/>
      <c r="U10" s="807"/>
      <c r="V10" s="807"/>
      <c r="W10" s="807"/>
      <c r="X10" s="807"/>
      <c r="Y10" s="807"/>
      <c r="Z10" s="807"/>
      <c r="AA10" s="807"/>
      <c r="AB10" s="807"/>
      <c r="AC10" s="807"/>
      <c r="AD10" s="34"/>
      <c r="AE10" s="808"/>
      <c r="AF10" s="808"/>
      <c r="AG10" s="808"/>
      <c r="AH10" s="808"/>
      <c r="AI10" s="808"/>
      <c r="AJ10" s="808"/>
      <c r="AK10" s="808"/>
      <c r="AL10" s="808"/>
      <c r="AM10" s="808"/>
      <c r="AN10" s="34"/>
    </row>
    <row r="11" spans="1:40" ht="14.25" x14ac:dyDescent="0.2">
      <c r="A11" s="807"/>
      <c r="B11" s="807"/>
      <c r="C11" s="807"/>
      <c r="D11" s="807"/>
      <c r="E11" s="807"/>
      <c r="F11" s="807"/>
      <c r="G11" s="807"/>
      <c r="H11" s="807"/>
      <c r="I11" s="807"/>
      <c r="J11" s="34"/>
      <c r="K11" s="808"/>
      <c r="L11" s="808"/>
      <c r="M11" s="808"/>
      <c r="N11" s="808"/>
      <c r="O11" s="808"/>
      <c r="P11" s="808"/>
      <c r="Q11" s="808"/>
      <c r="R11" s="808"/>
      <c r="S11" s="808"/>
      <c r="T11" s="34"/>
      <c r="U11" s="807"/>
      <c r="V11" s="807"/>
      <c r="W11" s="807"/>
      <c r="X11" s="807"/>
      <c r="Y11" s="807"/>
      <c r="Z11" s="807"/>
      <c r="AA11" s="807"/>
      <c r="AB11" s="807"/>
      <c r="AC11" s="807"/>
      <c r="AD11" s="34"/>
      <c r="AE11" s="808"/>
      <c r="AF11" s="808"/>
      <c r="AG11" s="808"/>
      <c r="AH11" s="808"/>
      <c r="AI11" s="808"/>
      <c r="AJ11" s="808"/>
      <c r="AK11" s="808"/>
      <c r="AL11" s="808"/>
      <c r="AM11" s="808"/>
      <c r="AN11" s="34"/>
    </row>
    <row r="12" spans="1:40" ht="14.25" x14ac:dyDescent="0.2">
      <c r="A12" s="807"/>
      <c r="B12" s="807"/>
      <c r="C12" s="807"/>
      <c r="D12" s="807"/>
      <c r="E12" s="807"/>
      <c r="F12" s="807"/>
      <c r="G12" s="807"/>
      <c r="H12" s="807"/>
      <c r="I12" s="807"/>
      <c r="J12" s="34"/>
      <c r="K12" s="808"/>
      <c r="L12" s="808"/>
      <c r="M12" s="808"/>
      <c r="N12" s="808"/>
      <c r="O12" s="808"/>
      <c r="P12" s="808"/>
      <c r="Q12" s="808"/>
      <c r="R12" s="808"/>
      <c r="S12" s="808"/>
      <c r="T12" s="34"/>
      <c r="U12" s="807"/>
      <c r="V12" s="807"/>
      <c r="W12" s="807"/>
      <c r="X12" s="807"/>
      <c r="Y12" s="807"/>
      <c r="Z12" s="807"/>
      <c r="AA12" s="807"/>
      <c r="AB12" s="807"/>
      <c r="AC12" s="807"/>
      <c r="AD12" s="34"/>
      <c r="AE12" s="808"/>
      <c r="AF12" s="808"/>
      <c r="AG12" s="808"/>
      <c r="AH12" s="808"/>
      <c r="AI12" s="808"/>
      <c r="AJ12" s="808"/>
      <c r="AK12" s="808"/>
      <c r="AL12" s="808"/>
      <c r="AM12" s="808"/>
      <c r="AN12" s="34"/>
    </row>
    <row r="13" spans="1:40" ht="14.25" x14ac:dyDescent="0.2">
      <c r="A13" s="807"/>
      <c r="B13" s="807"/>
      <c r="C13" s="807"/>
      <c r="D13" s="807"/>
      <c r="E13" s="807"/>
      <c r="F13" s="807"/>
      <c r="G13" s="807"/>
      <c r="H13" s="807"/>
      <c r="I13" s="807"/>
      <c r="J13" s="34"/>
      <c r="K13" s="808"/>
      <c r="L13" s="808"/>
      <c r="M13" s="808"/>
      <c r="N13" s="808"/>
      <c r="O13" s="808"/>
      <c r="P13" s="808"/>
      <c r="Q13" s="808"/>
      <c r="R13" s="808"/>
      <c r="S13" s="808"/>
      <c r="T13" s="34"/>
      <c r="U13" s="807"/>
      <c r="V13" s="807"/>
      <c r="W13" s="807"/>
      <c r="X13" s="807"/>
      <c r="Y13" s="807"/>
      <c r="Z13" s="807"/>
      <c r="AA13" s="807"/>
      <c r="AB13" s="807"/>
      <c r="AC13" s="807"/>
      <c r="AD13" s="34"/>
      <c r="AE13" s="808"/>
      <c r="AF13" s="808"/>
      <c r="AG13" s="808"/>
      <c r="AH13" s="808"/>
      <c r="AI13" s="808"/>
      <c r="AJ13" s="808"/>
      <c r="AK13" s="808"/>
      <c r="AL13" s="808"/>
      <c r="AM13" s="808"/>
      <c r="AN13" s="34"/>
    </row>
    <row r="14" spans="1:40" ht="14.25" x14ac:dyDescent="0.2">
      <c r="A14" s="807"/>
      <c r="B14" s="807"/>
      <c r="C14" s="807"/>
      <c r="D14" s="807"/>
      <c r="E14" s="807"/>
      <c r="F14" s="807"/>
      <c r="G14" s="807"/>
      <c r="H14" s="807"/>
      <c r="I14" s="807"/>
      <c r="J14" s="34"/>
      <c r="K14" s="808"/>
      <c r="L14" s="808"/>
      <c r="M14" s="808"/>
      <c r="N14" s="808"/>
      <c r="O14" s="808"/>
      <c r="P14" s="808"/>
      <c r="Q14" s="808"/>
      <c r="R14" s="808"/>
      <c r="S14" s="808"/>
      <c r="T14" s="34"/>
      <c r="U14" s="807"/>
      <c r="V14" s="807"/>
      <c r="W14" s="807"/>
      <c r="X14" s="807"/>
      <c r="Y14" s="807"/>
      <c r="Z14" s="807"/>
      <c r="AA14" s="807"/>
      <c r="AB14" s="807"/>
      <c r="AC14" s="807"/>
      <c r="AD14" s="34"/>
      <c r="AE14" s="808"/>
      <c r="AF14" s="808"/>
      <c r="AG14" s="808"/>
      <c r="AH14" s="808"/>
      <c r="AI14" s="808"/>
      <c r="AJ14" s="808"/>
      <c r="AK14" s="808"/>
      <c r="AL14" s="808"/>
      <c r="AM14" s="808"/>
      <c r="AN14" s="34"/>
    </row>
    <row r="15" spans="1:40" ht="14.25" x14ac:dyDescent="0.2">
      <c r="A15" s="807"/>
      <c r="B15" s="807"/>
      <c r="C15" s="807"/>
      <c r="D15" s="807"/>
      <c r="E15" s="807"/>
      <c r="F15" s="807"/>
      <c r="G15" s="807"/>
      <c r="H15" s="807"/>
      <c r="I15" s="807"/>
      <c r="J15" s="34"/>
      <c r="K15" s="808"/>
      <c r="L15" s="808"/>
      <c r="M15" s="808"/>
      <c r="N15" s="808"/>
      <c r="O15" s="808"/>
      <c r="P15" s="808"/>
      <c r="Q15" s="808"/>
      <c r="R15" s="808"/>
      <c r="S15" s="808"/>
      <c r="T15" s="34"/>
      <c r="U15" s="807"/>
      <c r="V15" s="807"/>
      <c r="W15" s="807"/>
      <c r="X15" s="807"/>
      <c r="Y15" s="807"/>
      <c r="Z15" s="807"/>
      <c r="AA15" s="807"/>
      <c r="AB15" s="807"/>
      <c r="AC15" s="807"/>
      <c r="AD15" s="34"/>
      <c r="AE15" s="808"/>
      <c r="AF15" s="808"/>
      <c r="AG15" s="808"/>
      <c r="AH15" s="808"/>
      <c r="AI15" s="808"/>
      <c r="AJ15" s="808"/>
      <c r="AK15" s="808"/>
      <c r="AL15" s="808"/>
      <c r="AM15" s="808"/>
      <c r="AN15" s="34"/>
    </row>
    <row r="16" spans="1:40" ht="14.85" customHeight="1" x14ac:dyDescent="0.2">
      <c r="A16" s="807"/>
      <c r="B16" s="807"/>
      <c r="C16" s="807"/>
      <c r="D16" s="807"/>
      <c r="E16" s="807"/>
      <c r="F16" s="807"/>
      <c r="G16" s="807"/>
      <c r="H16" s="807"/>
      <c r="I16" s="807"/>
      <c r="J16" s="34"/>
      <c r="K16" s="808"/>
      <c r="L16" s="808"/>
      <c r="M16" s="808"/>
      <c r="N16" s="808"/>
      <c r="O16" s="808"/>
      <c r="P16" s="808"/>
      <c r="Q16" s="808"/>
      <c r="R16" s="808"/>
      <c r="S16" s="808"/>
      <c r="T16" s="34"/>
      <c r="U16" s="807"/>
      <c r="V16" s="807"/>
      <c r="W16" s="807"/>
      <c r="X16" s="807"/>
      <c r="Y16" s="807"/>
      <c r="Z16" s="807"/>
      <c r="AA16" s="807"/>
      <c r="AB16" s="807"/>
      <c r="AC16" s="807"/>
      <c r="AD16" s="34"/>
      <c r="AE16" s="808"/>
      <c r="AF16" s="808"/>
      <c r="AG16" s="808"/>
      <c r="AH16" s="808"/>
      <c r="AI16" s="808"/>
      <c r="AJ16" s="808"/>
      <c r="AK16" s="808"/>
      <c r="AL16" s="808"/>
      <c r="AM16" s="808"/>
      <c r="AN16" s="34"/>
    </row>
    <row r="17" spans="1:43" ht="14.25" x14ac:dyDescent="0.2">
      <c r="A17" s="807"/>
      <c r="B17" s="807"/>
      <c r="C17" s="807"/>
      <c r="D17" s="807"/>
      <c r="E17" s="807"/>
      <c r="F17" s="807"/>
      <c r="G17" s="807"/>
      <c r="H17" s="807"/>
      <c r="I17" s="807"/>
      <c r="J17" s="34"/>
      <c r="K17" s="808"/>
      <c r="L17" s="808"/>
      <c r="M17" s="808"/>
      <c r="N17" s="808"/>
      <c r="O17" s="808"/>
      <c r="P17" s="808"/>
      <c r="Q17" s="808"/>
      <c r="R17" s="808"/>
      <c r="S17" s="808"/>
      <c r="T17" s="34"/>
      <c r="U17" s="807"/>
      <c r="V17" s="807"/>
      <c r="W17" s="807"/>
      <c r="X17" s="807"/>
      <c r="Y17" s="807"/>
      <c r="Z17" s="807"/>
      <c r="AA17" s="807"/>
      <c r="AB17" s="807"/>
      <c r="AC17" s="807"/>
      <c r="AD17" s="34"/>
      <c r="AE17" s="808"/>
      <c r="AF17" s="808"/>
      <c r="AG17" s="808"/>
      <c r="AH17" s="808"/>
      <c r="AI17" s="808"/>
      <c r="AJ17" s="808"/>
      <c r="AK17" s="808"/>
      <c r="AL17" s="808"/>
      <c r="AM17" s="808"/>
      <c r="AN17" s="34"/>
    </row>
    <row r="18" spans="1:43" ht="14.85" customHeight="1" x14ac:dyDescent="0.2">
      <c r="A18" s="807"/>
      <c r="B18" s="807"/>
      <c r="C18" s="807"/>
      <c r="D18" s="807"/>
      <c r="E18" s="807"/>
      <c r="F18" s="807"/>
      <c r="G18" s="807"/>
      <c r="H18" s="807"/>
      <c r="I18" s="807"/>
      <c r="J18" s="34"/>
      <c r="K18" s="808"/>
      <c r="L18" s="808"/>
      <c r="M18" s="808"/>
      <c r="N18" s="808"/>
      <c r="O18" s="808"/>
      <c r="P18" s="808"/>
      <c r="Q18" s="808"/>
      <c r="R18" s="808"/>
      <c r="S18" s="808"/>
      <c r="T18" s="34"/>
      <c r="U18" s="807"/>
      <c r="V18" s="807"/>
      <c r="W18" s="807"/>
      <c r="X18" s="807"/>
      <c r="Y18" s="807"/>
      <c r="Z18" s="807"/>
      <c r="AA18" s="807"/>
      <c r="AB18" s="807"/>
      <c r="AC18" s="807"/>
      <c r="AD18" s="34"/>
      <c r="AE18" s="808"/>
      <c r="AF18" s="808"/>
      <c r="AG18" s="808"/>
      <c r="AH18" s="808"/>
      <c r="AI18" s="808"/>
      <c r="AJ18" s="808"/>
      <c r="AK18" s="808"/>
      <c r="AL18" s="808"/>
      <c r="AM18" s="808"/>
      <c r="AN18" s="34"/>
    </row>
    <row r="19" spans="1:43" ht="14.25" x14ac:dyDescent="0.2">
      <c r="A19" s="807"/>
      <c r="B19" s="807"/>
      <c r="C19" s="807"/>
      <c r="D19" s="807"/>
      <c r="E19" s="807"/>
      <c r="F19" s="807"/>
      <c r="G19" s="807"/>
      <c r="H19" s="807"/>
      <c r="I19" s="807"/>
      <c r="J19" s="34"/>
      <c r="K19" s="808"/>
      <c r="L19" s="808"/>
      <c r="M19" s="808"/>
      <c r="N19" s="808"/>
      <c r="O19" s="808"/>
      <c r="P19" s="808"/>
      <c r="Q19" s="808"/>
      <c r="R19" s="808"/>
      <c r="S19" s="808"/>
      <c r="T19" s="34"/>
      <c r="U19" s="807"/>
      <c r="V19" s="807"/>
      <c r="W19" s="807"/>
      <c r="X19" s="807"/>
      <c r="Y19" s="807"/>
      <c r="Z19" s="807"/>
      <c r="AA19" s="807"/>
      <c r="AB19" s="807"/>
      <c r="AC19" s="807"/>
      <c r="AD19" s="34"/>
      <c r="AE19" s="808"/>
      <c r="AF19" s="808"/>
      <c r="AG19" s="808"/>
      <c r="AH19" s="808"/>
      <c r="AI19" s="808"/>
      <c r="AJ19" s="808"/>
      <c r="AK19" s="808"/>
      <c r="AL19" s="808"/>
      <c r="AM19" s="808"/>
      <c r="AN19" s="34"/>
    </row>
    <row r="20" spans="1:43" ht="14.25" x14ac:dyDescent="0.2">
      <c r="A20" s="807"/>
      <c r="B20" s="807"/>
      <c r="C20" s="807"/>
      <c r="D20" s="807"/>
      <c r="E20" s="807"/>
      <c r="F20" s="807"/>
      <c r="G20" s="807"/>
      <c r="H20" s="807"/>
      <c r="I20" s="807"/>
      <c r="J20" s="34"/>
      <c r="K20" s="808"/>
      <c r="L20" s="808"/>
      <c r="M20" s="808"/>
      <c r="N20" s="808"/>
      <c r="O20" s="808"/>
      <c r="P20" s="808"/>
      <c r="Q20" s="808"/>
      <c r="R20" s="808"/>
      <c r="S20" s="808"/>
      <c r="T20" s="34"/>
      <c r="U20" s="807"/>
      <c r="V20" s="807"/>
      <c r="W20" s="807"/>
      <c r="X20" s="807"/>
      <c r="Y20" s="807"/>
      <c r="Z20" s="807"/>
      <c r="AA20" s="807"/>
      <c r="AB20" s="807"/>
      <c r="AC20" s="807"/>
      <c r="AD20" s="34"/>
      <c r="AE20" s="808"/>
      <c r="AF20" s="808"/>
      <c r="AG20" s="808"/>
      <c r="AH20" s="808"/>
      <c r="AI20" s="808"/>
      <c r="AJ20" s="808"/>
      <c r="AK20" s="808"/>
      <c r="AL20" s="808"/>
      <c r="AM20" s="808"/>
      <c r="AN20" s="34"/>
    </row>
    <row r="21" spans="1:43" ht="14.25" x14ac:dyDescent="0.2">
      <c r="A21" s="807"/>
      <c r="B21" s="807"/>
      <c r="C21" s="807"/>
      <c r="D21" s="807"/>
      <c r="E21" s="807"/>
      <c r="F21" s="807"/>
      <c r="G21" s="807"/>
      <c r="H21" s="807"/>
      <c r="I21" s="807"/>
      <c r="J21" s="34"/>
      <c r="K21" s="808"/>
      <c r="L21" s="808"/>
      <c r="M21" s="808"/>
      <c r="N21" s="808"/>
      <c r="O21" s="808"/>
      <c r="P21" s="808"/>
      <c r="Q21" s="808"/>
      <c r="R21" s="808"/>
      <c r="S21" s="808"/>
      <c r="T21" s="34"/>
      <c r="U21" s="807"/>
      <c r="V21" s="807"/>
      <c r="W21" s="807"/>
      <c r="X21" s="807"/>
      <c r="Y21" s="807"/>
      <c r="Z21" s="807"/>
      <c r="AA21" s="807"/>
      <c r="AB21" s="807"/>
      <c r="AC21" s="807"/>
      <c r="AD21" s="34"/>
      <c r="AE21" s="808"/>
      <c r="AF21" s="808"/>
      <c r="AG21" s="808"/>
      <c r="AH21" s="808"/>
      <c r="AI21" s="808"/>
      <c r="AJ21" s="808"/>
      <c r="AK21" s="808"/>
      <c r="AL21" s="808"/>
      <c r="AM21" s="808"/>
      <c r="AN21" s="34"/>
    </row>
    <row r="22" spans="1:43" ht="14.25" x14ac:dyDescent="0.2">
      <c r="A22" s="807"/>
      <c r="B22" s="807"/>
      <c r="C22" s="807"/>
      <c r="D22" s="807"/>
      <c r="E22" s="807"/>
      <c r="F22" s="807"/>
      <c r="G22" s="807"/>
      <c r="H22" s="807"/>
      <c r="I22" s="807"/>
      <c r="J22" s="34"/>
      <c r="K22" s="808"/>
      <c r="L22" s="808"/>
      <c r="M22" s="808"/>
      <c r="N22" s="808"/>
      <c r="O22" s="808"/>
      <c r="P22" s="808"/>
      <c r="Q22" s="808"/>
      <c r="R22" s="808"/>
      <c r="S22" s="808"/>
      <c r="T22" s="34"/>
      <c r="U22" s="807"/>
      <c r="V22" s="807"/>
      <c r="W22" s="807"/>
      <c r="X22" s="807"/>
      <c r="Y22" s="807"/>
      <c r="Z22" s="807"/>
      <c r="AA22" s="807"/>
      <c r="AB22" s="807"/>
      <c r="AC22" s="807"/>
      <c r="AD22" s="34"/>
      <c r="AE22" s="808"/>
      <c r="AF22" s="808"/>
      <c r="AG22" s="808"/>
      <c r="AH22" s="808"/>
      <c r="AI22" s="808"/>
      <c r="AJ22" s="808"/>
      <c r="AK22" s="808"/>
      <c r="AL22" s="808"/>
      <c r="AM22" s="808"/>
      <c r="AN22" s="34"/>
    </row>
    <row r="23" spans="1:43" ht="14.25" x14ac:dyDescent="0.2">
      <c r="A23" s="807"/>
      <c r="B23" s="807"/>
      <c r="C23" s="807"/>
      <c r="D23" s="807"/>
      <c r="E23" s="807"/>
      <c r="F23" s="807"/>
      <c r="G23" s="807"/>
      <c r="H23" s="807"/>
      <c r="I23" s="807"/>
      <c r="J23" s="34"/>
      <c r="K23" s="808"/>
      <c r="L23" s="808"/>
      <c r="M23" s="808"/>
      <c r="N23" s="808"/>
      <c r="O23" s="808"/>
      <c r="P23" s="808"/>
      <c r="Q23" s="808"/>
      <c r="R23" s="808"/>
      <c r="S23" s="808"/>
      <c r="T23" s="34"/>
      <c r="U23" s="807"/>
      <c r="V23" s="807"/>
      <c r="W23" s="807"/>
      <c r="X23" s="807"/>
      <c r="Y23" s="807"/>
      <c r="Z23" s="807"/>
      <c r="AA23" s="807"/>
      <c r="AB23" s="807"/>
      <c r="AC23" s="807"/>
      <c r="AD23" s="34"/>
      <c r="AE23" s="808"/>
      <c r="AF23" s="808"/>
      <c r="AG23" s="808"/>
      <c r="AH23" s="808"/>
      <c r="AI23" s="808"/>
      <c r="AJ23" s="808"/>
      <c r="AK23" s="808"/>
      <c r="AL23" s="808"/>
      <c r="AM23" s="808"/>
      <c r="AN23" s="34"/>
    </row>
    <row r="24" spans="1:43" ht="14.25" x14ac:dyDescent="0.2">
      <c r="A24" s="807"/>
      <c r="B24" s="807"/>
      <c r="C24" s="807"/>
      <c r="D24" s="807"/>
      <c r="E24" s="807"/>
      <c r="F24" s="807"/>
      <c r="G24" s="807"/>
      <c r="H24" s="807"/>
      <c r="I24" s="807"/>
      <c r="J24" s="34"/>
      <c r="K24" s="808"/>
      <c r="L24" s="808"/>
      <c r="M24" s="808"/>
      <c r="N24" s="808"/>
      <c r="O24" s="808"/>
      <c r="P24" s="808"/>
      <c r="Q24" s="808"/>
      <c r="R24" s="808"/>
      <c r="S24" s="808"/>
      <c r="T24" s="34"/>
      <c r="U24" s="807"/>
      <c r="V24" s="807"/>
      <c r="W24" s="807"/>
      <c r="X24" s="807"/>
      <c r="Y24" s="807"/>
      <c r="Z24" s="807"/>
      <c r="AA24" s="807"/>
      <c r="AB24" s="807"/>
      <c r="AC24" s="807"/>
      <c r="AD24" s="34"/>
      <c r="AE24" s="808"/>
      <c r="AF24" s="808"/>
      <c r="AG24" s="808"/>
      <c r="AH24" s="808"/>
      <c r="AI24" s="808"/>
      <c r="AJ24" s="808"/>
      <c r="AK24" s="808"/>
      <c r="AL24" s="808"/>
      <c r="AM24" s="808"/>
      <c r="AN24" s="34"/>
    </row>
    <row r="25" spans="1:43" ht="14.25" x14ac:dyDescent="0.2">
      <c r="A25" s="807"/>
      <c r="B25" s="807"/>
      <c r="C25" s="807"/>
      <c r="D25" s="807"/>
      <c r="E25" s="807"/>
      <c r="F25" s="807"/>
      <c r="G25" s="807"/>
      <c r="H25" s="807"/>
      <c r="I25" s="807"/>
      <c r="J25" s="34"/>
      <c r="K25" s="808"/>
      <c r="L25" s="808"/>
      <c r="M25" s="808"/>
      <c r="N25" s="808"/>
      <c r="O25" s="808"/>
      <c r="P25" s="808"/>
      <c r="Q25" s="808"/>
      <c r="R25" s="808"/>
      <c r="S25" s="808"/>
      <c r="T25" s="34"/>
      <c r="U25" s="807"/>
      <c r="V25" s="807"/>
      <c r="W25" s="807"/>
      <c r="X25" s="807"/>
      <c r="Y25" s="807"/>
      <c r="Z25" s="807"/>
      <c r="AA25" s="807"/>
      <c r="AB25" s="807"/>
      <c r="AC25" s="807"/>
      <c r="AD25" s="34"/>
      <c r="AE25" s="808"/>
      <c r="AF25" s="808"/>
      <c r="AG25" s="808"/>
      <c r="AH25" s="808"/>
      <c r="AI25" s="808"/>
      <c r="AJ25" s="808"/>
      <c r="AK25" s="808"/>
      <c r="AL25" s="808"/>
      <c r="AM25" s="808"/>
      <c r="AN25" s="34"/>
    </row>
    <row r="26" spans="1:43" ht="14.25" x14ac:dyDescent="0.2">
      <c r="A26" s="807"/>
      <c r="B26" s="807"/>
      <c r="C26" s="807"/>
      <c r="D26" s="807"/>
      <c r="E26" s="807"/>
      <c r="F26" s="807"/>
      <c r="G26" s="807"/>
      <c r="H26" s="807"/>
      <c r="I26" s="807"/>
      <c r="J26" s="34"/>
      <c r="K26" s="808"/>
      <c r="L26" s="808"/>
      <c r="M26" s="808"/>
      <c r="N26" s="808"/>
      <c r="O26" s="808"/>
      <c r="P26" s="808"/>
      <c r="Q26" s="808"/>
      <c r="R26" s="808"/>
      <c r="S26" s="808"/>
      <c r="T26" s="34"/>
      <c r="U26" s="807"/>
      <c r="V26" s="807"/>
      <c r="W26" s="807"/>
      <c r="X26" s="807"/>
      <c r="Y26" s="807"/>
      <c r="Z26" s="807"/>
      <c r="AA26" s="807"/>
      <c r="AB26" s="807"/>
      <c r="AC26" s="807"/>
      <c r="AD26" s="34"/>
      <c r="AE26" s="808"/>
      <c r="AF26" s="808"/>
      <c r="AG26" s="808"/>
      <c r="AH26" s="808"/>
      <c r="AI26" s="808"/>
      <c r="AJ26" s="808"/>
      <c r="AK26" s="808"/>
      <c r="AL26" s="808"/>
      <c r="AM26" s="808"/>
      <c r="AN26" s="34"/>
      <c r="AQ26"/>
    </row>
    <row r="27" spans="1:43" ht="14.25" x14ac:dyDescent="0.2">
      <c r="A27" s="807"/>
      <c r="B27" s="807"/>
      <c r="C27" s="807"/>
      <c r="D27" s="807"/>
      <c r="E27" s="807"/>
      <c r="F27" s="807"/>
      <c r="G27" s="807"/>
      <c r="H27" s="807"/>
      <c r="I27" s="807"/>
      <c r="J27" s="34"/>
      <c r="K27" s="808"/>
      <c r="L27" s="808"/>
      <c r="M27" s="808"/>
      <c r="N27" s="808"/>
      <c r="O27" s="808"/>
      <c r="P27" s="808"/>
      <c r="Q27" s="808"/>
      <c r="R27" s="808"/>
      <c r="S27" s="808"/>
      <c r="T27" s="34"/>
      <c r="U27" s="807"/>
      <c r="V27" s="807"/>
      <c r="W27" s="807"/>
      <c r="X27" s="807"/>
      <c r="Y27" s="807"/>
      <c r="Z27" s="807"/>
      <c r="AA27" s="807"/>
      <c r="AB27" s="807"/>
      <c r="AC27" s="807"/>
      <c r="AD27" s="34"/>
      <c r="AE27" s="808"/>
      <c r="AF27" s="808"/>
      <c r="AG27" s="808"/>
      <c r="AH27" s="808"/>
      <c r="AI27" s="808"/>
      <c r="AJ27" s="808"/>
      <c r="AK27" s="808"/>
      <c r="AL27" s="808"/>
      <c r="AM27" s="808"/>
      <c r="AN27" s="34"/>
    </row>
    <row r="28" spans="1:43" ht="14.25" x14ac:dyDescent="0.2">
      <c r="A28" s="807"/>
      <c r="B28" s="807"/>
      <c r="C28" s="807"/>
      <c r="D28" s="807"/>
      <c r="E28" s="807"/>
      <c r="F28" s="807"/>
      <c r="G28" s="807"/>
      <c r="H28" s="807"/>
      <c r="I28" s="807"/>
      <c r="J28" s="34"/>
      <c r="K28" s="808"/>
      <c r="L28" s="808"/>
      <c r="M28" s="808"/>
      <c r="N28" s="808"/>
      <c r="O28" s="808"/>
      <c r="P28" s="808"/>
      <c r="Q28" s="808"/>
      <c r="R28" s="808"/>
      <c r="S28" s="808"/>
      <c r="T28" s="34"/>
      <c r="U28" s="807"/>
      <c r="V28" s="807"/>
      <c r="W28" s="807"/>
      <c r="X28" s="807"/>
      <c r="Y28" s="807"/>
      <c r="Z28" s="807"/>
      <c r="AA28" s="807"/>
      <c r="AB28" s="807"/>
      <c r="AC28" s="807"/>
      <c r="AD28" s="34"/>
      <c r="AE28" s="808"/>
      <c r="AF28" s="808"/>
      <c r="AG28" s="808"/>
      <c r="AH28" s="808"/>
      <c r="AI28" s="808"/>
      <c r="AJ28" s="808"/>
      <c r="AK28" s="808"/>
      <c r="AL28" s="808"/>
      <c r="AM28" s="808"/>
      <c r="AN28" s="34"/>
    </row>
    <row r="29" spans="1:43" ht="14.25" x14ac:dyDescent="0.2">
      <c r="A29" s="807"/>
      <c r="B29" s="807"/>
      <c r="C29" s="807"/>
      <c r="D29" s="807"/>
      <c r="E29" s="807"/>
      <c r="F29" s="807"/>
      <c r="G29" s="807"/>
      <c r="H29" s="807"/>
      <c r="I29" s="807"/>
      <c r="J29" s="34"/>
      <c r="K29" s="808"/>
      <c r="L29" s="808"/>
      <c r="M29" s="808"/>
      <c r="N29" s="808"/>
      <c r="O29" s="808"/>
      <c r="P29" s="808"/>
      <c r="Q29" s="808"/>
      <c r="R29" s="808"/>
      <c r="S29" s="808"/>
      <c r="T29" s="34"/>
      <c r="U29" s="807"/>
      <c r="V29" s="807"/>
      <c r="W29" s="807"/>
      <c r="X29" s="807"/>
      <c r="Y29" s="807"/>
      <c r="Z29" s="807"/>
      <c r="AA29" s="807"/>
      <c r="AB29" s="807"/>
      <c r="AC29" s="807"/>
      <c r="AD29" s="34"/>
      <c r="AE29" s="808"/>
      <c r="AF29" s="808"/>
      <c r="AG29" s="808"/>
      <c r="AH29" s="808"/>
      <c r="AI29" s="808"/>
      <c r="AJ29" s="808"/>
      <c r="AK29" s="808"/>
      <c r="AL29" s="808"/>
      <c r="AM29" s="808"/>
      <c r="AN29" s="34"/>
    </row>
    <row r="30" spans="1:43" ht="14.25" x14ac:dyDescent="0.2">
      <c r="A30" s="807"/>
      <c r="B30" s="807"/>
      <c r="C30" s="807"/>
      <c r="D30" s="807"/>
      <c r="E30" s="807"/>
      <c r="F30" s="807"/>
      <c r="G30" s="807"/>
      <c r="H30" s="807"/>
      <c r="I30" s="807"/>
      <c r="J30" s="34"/>
      <c r="K30" s="808"/>
      <c r="L30" s="808"/>
      <c r="M30" s="808"/>
      <c r="N30" s="808"/>
      <c r="O30" s="808"/>
      <c r="P30" s="808"/>
      <c r="Q30" s="808"/>
      <c r="R30" s="808"/>
      <c r="S30" s="808"/>
      <c r="T30" s="34"/>
      <c r="U30" s="807"/>
      <c r="V30" s="807"/>
      <c r="W30" s="807"/>
      <c r="X30" s="807"/>
      <c r="Y30" s="807"/>
      <c r="Z30" s="807"/>
      <c r="AA30" s="807"/>
      <c r="AB30" s="807"/>
      <c r="AC30" s="807"/>
      <c r="AD30" s="34"/>
      <c r="AE30" s="808"/>
      <c r="AF30" s="808"/>
      <c r="AG30" s="808"/>
      <c r="AH30" s="808"/>
      <c r="AI30" s="808"/>
      <c r="AJ30" s="808"/>
      <c r="AK30" s="808"/>
      <c r="AL30" s="808"/>
      <c r="AM30" s="808"/>
      <c r="AN30" s="34"/>
    </row>
    <row r="31" spans="1:43" ht="14.25" x14ac:dyDescent="0.2">
      <c r="A31" s="807"/>
      <c r="B31" s="807"/>
      <c r="C31" s="807"/>
      <c r="D31" s="807"/>
      <c r="E31" s="807"/>
      <c r="F31" s="807"/>
      <c r="G31" s="807"/>
      <c r="H31" s="807"/>
      <c r="I31" s="807"/>
      <c r="J31" s="34"/>
      <c r="K31" s="808"/>
      <c r="L31" s="808"/>
      <c r="M31" s="808"/>
      <c r="N31" s="808"/>
      <c r="O31" s="808"/>
      <c r="P31" s="808"/>
      <c r="Q31" s="808"/>
      <c r="R31" s="808"/>
      <c r="S31" s="808"/>
      <c r="T31" s="34"/>
      <c r="U31" s="807"/>
      <c r="V31" s="807"/>
      <c r="W31" s="807"/>
      <c r="X31" s="807"/>
      <c r="Y31" s="807"/>
      <c r="Z31" s="807"/>
      <c r="AA31" s="807"/>
      <c r="AB31" s="807"/>
      <c r="AC31" s="807"/>
      <c r="AD31" s="34"/>
      <c r="AE31" s="808"/>
      <c r="AF31" s="808"/>
      <c r="AG31" s="808"/>
      <c r="AH31" s="808"/>
      <c r="AI31" s="808"/>
      <c r="AJ31" s="808"/>
      <c r="AK31" s="808"/>
      <c r="AL31" s="808"/>
      <c r="AM31" s="808"/>
      <c r="AN31" s="34"/>
    </row>
    <row r="32" spans="1:43" ht="14.25" x14ac:dyDescent="0.2">
      <c r="A32" s="807"/>
      <c r="B32" s="807"/>
      <c r="C32" s="807"/>
      <c r="D32" s="807"/>
      <c r="E32" s="807"/>
      <c r="F32" s="807"/>
      <c r="G32" s="807"/>
      <c r="H32" s="807"/>
      <c r="I32" s="807"/>
      <c r="J32" s="34"/>
      <c r="K32" s="808"/>
      <c r="L32" s="808"/>
      <c r="M32" s="808"/>
      <c r="N32" s="808"/>
      <c r="O32" s="808"/>
      <c r="P32" s="808"/>
      <c r="Q32" s="808"/>
      <c r="R32" s="808"/>
      <c r="S32" s="808"/>
      <c r="T32" s="34"/>
      <c r="U32" s="807"/>
      <c r="V32" s="807"/>
      <c r="W32" s="807"/>
      <c r="X32" s="807"/>
      <c r="Y32" s="807"/>
      <c r="Z32" s="807"/>
      <c r="AA32" s="807"/>
      <c r="AB32" s="807"/>
      <c r="AC32" s="807"/>
      <c r="AD32" s="34"/>
      <c r="AE32" s="808"/>
      <c r="AF32" s="808"/>
      <c r="AG32" s="808"/>
      <c r="AH32" s="808"/>
      <c r="AI32" s="808"/>
      <c r="AJ32" s="808"/>
      <c r="AK32" s="808"/>
      <c r="AL32" s="808"/>
      <c r="AM32" s="808"/>
      <c r="AN32" s="34"/>
    </row>
    <row r="33" spans="1:40" ht="14.25" x14ac:dyDescent="0.2">
      <c r="A33" s="807"/>
      <c r="B33" s="807"/>
      <c r="C33" s="807"/>
      <c r="D33" s="807"/>
      <c r="E33" s="807"/>
      <c r="F33" s="807"/>
      <c r="G33" s="807"/>
      <c r="H33" s="807"/>
      <c r="I33" s="807"/>
      <c r="J33" s="34"/>
      <c r="K33" s="808"/>
      <c r="L33" s="808"/>
      <c r="M33" s="808"/>
      <c r="N33" s="808"/>
      <c r="O33" s="808"/>
      <c r="P33" s="808"/>
      <c r="Q33" s="808"/>
      <c r="R33" s="808"/>
      <c r="S33" s="808"/>
      <c r="T33" s="34"/>
      <c r="U33" s="807"/>
      <c r="V33" s="807"/>
      <c r="W33" s="807"/>
      <c r="X33" s="807"/>
      <c r="Y33" s="807"/>
      <c r="Z33" s="807"/>
      <c r="AA33" s="807"/>
      <c r="AB33" s="807"/>
      <c r="AC33" s="807"/>
      <c r="AD33" s="34"/>
      <c r="AE33" s="808"/>
      <c r="AF33" s="808"/>
      <c r="AG33" s="808"/>
      <c r="AH33" s="808"/>
      <c r="AI33" s="808"/>
      <c r="AJ33" s="808"/>
      <c r="AK33" s="808"/>
      <c r="AL33" s="808"/>
      <c r="AM33" s="808"/>
      <c r="AN33" s="34"/>
    </row>
    <row r="34" spans="1:40" ht="14.25" x14ac:dyDescent="0.2">
      <c r="A34" s="807"/>
      <c r="B34" s="807"/>
      <c r="C34" s="807"/>
      <c r="D34" s="807"/>
      <c r="E34" s="807"/>
      <c r="F34" s="807"/>
      <c r="G34" s="807"/>
      <c r="H34" s="807"/>
      <c r="I34" s="807"/>
      <c r="J34" s="34"/>
      <c r="K34" s="808"/>
      <c r="L34" s="808"/>
      <c r="M34" s="808"/>
      <c r="N34" s="808"/>
      <c r="O34" s="808"/>
      <c r="P34" s="808"/>
      <c r="Q34" s="808"/>
      <c r="R34" s="808"/>
      <c r="S34" s="808"/>
      <c r="T34" s="34"/>
      <c r="U34" s="807"/>
      <c r="V34" s="807"/>
      <c r="W34" s="807"/>
      <c r="X34" s="807"/>
      <c r="Y34" s="807"/>
      <c r="Z34" s="807"/>
      <c r="AA34" s="807"/>
      <c r="AB34" s="807"/>
      <c r="AC34" s="807"/>
      <c r="AD34" s="34"/>
      <c r="AE34" s="808"/>
      <c r="AF34" s="808"/>
      <c r="AG34" s="808"/>
      <c r="AH34" s="808"/>
      <c r="AI34" s="808"/>
      <c r="AJ34" s="808"/>
      <c r="AK34" s="808"/>
      <c r="AL34" s="808"/>
      <c r="AM34" s="808"/>
      <c r="AN34" s="34"/>
    </row>
    <row r="35" spans="1:40" ht="14.25" x14ac:dyDescent="0.2">
      <c r="A35" s="807"/>
      <c r="B35" s="807"/>
      <c r="C35" s="807"/>
      <c r="D35" s="807"/>
      <c r="E35" s="807"/>
      <c r="F35" s="807"/>
      <c r="G35" s="807"/>
      <c r="H35" s="807"/>
      <c r="I35" s="807"/>
      <c r="J35" s="34"/>
      <c r="K35" s="808"/>
      <c r="L35" s="808"/>
      <c r="M35" s="808"/>
      <c r="N35" s="808"/>
      <c r="O35" s="808"/>
      <c r="P35" s="808"/>
      <c r="Q35" s="808"/>
      <c r="R35" s="808"/>
      <c r="S35" s="808"/>
      <c r="T35" s="34"/>
      <c r="U35" s="807"/>
      <c r="V35" s="807"/>
      <c r="W35" s="807"/>
      <c r="X35" s="807"/>
      <c r="Y35" s="807"/>
      <c r="Z35" s="807"/>
      <c r="AA35" s="807"/>
      <c r="AB35" s="807"/>
      <c r="AC35" s="807"/>
      <c r="AD35" s="34"/>
      <c r="AE35" s="808"/>
      <c r="AF35" s="808"/>
      <c r="AG35" s="808"/>
      <c r="AH35" s="808"/>
      <c r="AI35" s="808"/>
      <c r="AJ35" s="808"/>
      <c r="AK35" s="808"/>
      <c r="AL35" s="808"/>
      <c r="AM35" s="808"/>
      <c r="AN35" s="34"/>
    </row>
    <row r="36" spans="1:40" ht="14.25" x14ac:dyDescent="0.2">
      <c r="A36" s="807"/>
      <c r="B36" s="807"/>
      <c r="C36" s="807"/>
      <c r="D36" s="807"/>
      <c r="E36" s="807"/>
      <c r="F36" s="807"/>
      <c r="G36" s="807"/>
      <c r="H36" s="807"/>
      <c r="I36" s="807"/>
      <c r="J36" s="34"/>
      <c r="K36" s="808"/>
      <c r="L36" s="808"/>
      <c r="M36" s="808"/>
      <c r="N36" s="808"/>
      <c r="O36" s="808"/>
      <c r="P36" s="808"/>
      <c r="Q36" s="808"/>
      <c r="R36" s="808"/>
      <c r="S36" s="808"/>
      <c r="T36" s="34"/>
      <c r="U36" s="807"/>
      <c r="V36" s="807"/>
      <c r="W36" s="807"/>
      <c r="X36" s="807"/>
      <c r="Y36" s="807"/>
      <c r="Z36" s="807"/>
      <c r="AA36" s="807"/>
      <c r="AB36" s="807"/>
      <c r="AC36" s="807"/>
      <c r="AD36" s="34"/>
      <c r="AE36" s="808"/>
      <c r="AF36" s="808"/>
      <c r="AG36" s="808"/>
      <c r="AH36" s="808"/>
      <c r="AI36" s="808"/>
      <c r="AJ36" s="808"/>
      <c r="AK36" s="808"/>
      <c r="AL36" s="808"/>
      <c r="AM36" s="808"/>
      <c r="AN36" s="34"/>
    </row>
    <row r="37" spans="1:40" ht="14.25" x14ac:dyDescent="0.2">
      <c r="A37" s="807"/>
      <c r="B37" s="807"/>
      <c r="C37" s="807"/>
      <c r="D37" s="807"/>
      <c r="E37" s="807"/>
      <c r="F37" s="807"/>
      <c r="G37" s="807"/>
      <c r="H37" s="807"/>
      <c r="I37" s="807"/>
      <c r="J37" s="34"/>
      <c r="K37" s="808"/>
      <c r="L37" s="808"/>
      <c r="M37" s="808"/>
      <c r="N37" s="808"/>
      <c r="O37" s="808"/>
      <c r="P37" s="808"/>
      <c r="Q37" s="808"/>
      <c r="R37" s="808"/>
      <c r="S37" s="808"/>
      <c r="T37" s="34"/>
      <c r="U37" s="807"/>
      <c r="V37" s="807"/>
      <c r="W37" s="807"/>
      <c r="X37" s="807"/>
      <c r="Y37" s="807"/>
      <c r="Z37" s="807"/>
      <c r="AA37" s="807"/>
      <c r="AB37" s="807"/>
      <c r="AC37" s="807"/>
      <c r="AD37" s="34"/>
      <c r="AE37" s="808"/>
      <c r="AF37" s="808"/>
      <c r="AG37" s="808"/>
      <c r="AH37" s="808"/>
      <c r="AI37" s="808"/>
      <c r="AJ37" s="808"/>
      <c r="AK37" s="808"/>
      <c r="AL37" s="808"/>
      <c r="AM37" s="808"/>
      <c r="AN37" s="34"/>
    </row>
    <row r="38" spans="1:40" ht="14.25" x14ac:dyDescent="0.2">
      <c r="A38" s="807"/>
      <c r="B38" s="807"/>
      <c r="C38" s="807"/>
      <c r="D38" s="807"/>
      <c r="E38" s="807"/>
      <c r="F38" s="807"/>
      <c r="G38" s="807"/>
      <c r="H38" s="807"/>
      <c r="I38" s="807"/>
      <c r="J38" s="34"/>
      <c r="K38" s="808"/>
      <c r="L38" s="808"/>
      <c r="M38" s="808"/>
      <c r="N38" s="808"/>
      <c r="O38" s="808"/>
      <c r="P38" s="808"/>
      <c r="Q38" s="808"/>
      <c r="R38" s="808"/>
      <c r="S38" s="808"/>
      <c r="T38" s="34"/>
      <c r="U38" s="807"/>
      <c r="V38" s="807"/>
      <c r="W38" s="807"/>
      <c r="X38" s="807"/>
      <c r="Y38" s="807"/>
      <c r="Z38" s="807"/>
      <c r="AA38" s="807"/>
      <c r="AB38" s="807"/>
      <c r="AC38" s="807"/>
      <c r="AD38" s="34"/>
      <c r="AE38" s="808"/>
      <c r="AF38" s="808"/>
      <c r="AG38" s="808"/>
      <c r="AH38" s="808"/>
      <c r="AI38" s="808"/>
      <c r="AJ38" s="808"/>
      <c r="AK38" s="808"/>
      <c r="AL38" s="808"/>
      <c r="AM38" s="808"/>
      <c r="AN38" s="34"/>
    </row>
    <row r="39" spans="1:40" ht="14.25" x14ac:dyDescent="0.2">
      <c r="A39" s="807"/>
      <c r="B39" s="807"/>
      <c r="C39" s="807"/>
      <c r="D39" s="807"/>
      <c r="E39" s="807"/>
      <c r="F39" s="807"/>
      <c r="G39" s="807"/>
      <c r="H39" s="807"/>
      <c r="I39" s="807"/>
      <c r="J39" s="34"/>
      <c r="K39" s="808"/>
      <c r="L39" s="808"/>
      <c r="M39" s="808"/>
      <c r="N39" s="808"/>
      <c r="O39" s="808"/>
      <c r="P39" s="808"/>
      <c r="Q39" s="808"/>
      <c r="R39" s="808"/>
      <c r="S39" s="808"/>
      <c r="T39" s="34"/>
      <c r="U39" s="807"/>
      <c r="V39" s="807"/>
      <c r="W39" s="807"/>
      <c r="X39" s="807"/>
      <c r="Y39" s="807"/>
      <c r="Z39" s="807"/>
      <c r="AA39" s="807"/>
      <c r="AB39" s="807"/>
      <c r="AC39" s="807"/>
      <c r="AD39" s="34"/>
      <c r="AE39" s="808"/>
      <c r="AF39" s="808"/>
      <c r="AG39" s="808"/>
      <c r="AH39" s="808"/>
      <c r="AI39" s="808"/>
      <c r="AJ39" s="808"/>
      <c r="AK39" s="808"/>
      <c r="AL39" s="808"/>
      <c r="AM39" s="808"/>
      <c r="AN39" s="34"/>
    </row>
    <row r="40" spans="1:40" ht="14.25" x14ac:dyDescent="0.2">
      <c r="A40" s="807"/>
      <c r="B40" s="807"/>
      <c r="C40" s="807"/>
      <c r="D40" s="807"/>
      <c r="E40" s="807"/>
      <c r="F40" s="807"/>
      <c r="G40" s="807"/>
      <c r="H40" s="807"/>
      <c r="I40" s="807"/>
      <c r="J40" s="34"/>
      <c r="K40" s="808"/>
      <c r="L40" s="808"/>
      <c r="M40" s="808"/>
      <c r="N40" s="808"/>
      <c r="O40" s="808"/>
      <c r="P40" s="808"/>
      <c r="Q40" s="808"/>
      <c r="R40" s="808"/>
      <c r="S40" s="808"/>
      <c r="T40" s="34"/>
      <c r="U40" s="807"/>
      <c r="V40" s="807"/>
      <c r="W40" s="807"/>
      <c r="X40" s="807"/>
      <c r="Y40" s="807"/>
      <c r="Z40" s="807"/>
      <c r="AA40" s="807"/>
      <c r="AB40" s="807"/>
      <c r="AC40" s="807"/>
      <c r="AD40" s="34"/>
      <c r="AE40" s="808"/>
      <c r="AF40" s="808"/>
      <c r="AG40" s="808"/>
      <c r="AH40" s="808"/>
      <c r="AI40" s="808"/>
      <c r="AJ40" s="808"/>
      <c r="AK40" s="808"/>
      <c r="AL40" s="808"/>
      <c r="AM40" s="808"/>
      <c r="AN40" s="34"/>
    </row>
    <row r="41" spans="1:40" ht="14.25" x14ac:dyDescent="0.2">
      <c r="A41" s="807"/>
      <c r="B41" s="807"/>
      <c r="C41" s="807"/>
      <c r="D41" s="807"/>
      <c r="E41" s="807"/>
      <c r="F41" s="807"/>
      <c r="G41" s="807"/>
      <c r="H41" s="807"/>
      <c r="I41" s="807"/>
      <c r="J41" s="34"/>
      <c r="K41" s="808"/>
      <c r="L41" s="808"/>
      <c r="M41" s="808"/>
      <c r="N41" s="808"/>
      <c r="O41" s="808"/>
      <c r="P41" s="808"/>
      <c r="Q41" s="808"/>
      <c r="R41" s="808"/>
      <c r="S41" s="808"/>
      <c r="T41" s="34"/>
      <c r="U41" s="807"/>
      <c r="V41" s="807"/>
      <c r="W41" s="807"/>
      <c r="X41" s="807"/>
      <c r="Y41" s="807"/>
      <c r="Z41" s="807"/>
      <c r="AA41" s="807"/>
      <c r="AB41" s="807"/>
      <c r="AC41" s="807"/>
      <c r="AD41" s="34"/>
      <c r="AE41" s="808"/>
      <c r="AF41" s="808"/>
      <c r="AG41" s="808"/>
      <c r="AH41" s="808"/>
      <c r="AI41" s="808"/>
      <c r="AJ41" s="808"/>
      <c r="AK41" s="808"/>
      <c r="AL41" s="808"/>
      <c r="AM41" s="808"/>
      <c r="AN41" s="34"/>
    </row>
    <row r="42" spans="1:40" ht="14.25" x14ac:dyDescent="0.2">
      <c r="A42" s="807"/>
      <c r="B42" s="807"/>
      <c r="C42" s="807"/>
      <c r="D42" s="807"/>
      <c r="E42" s="807"/>
      <c r="F42" s="807"/>
      <c r="G42" s="807"/>
      <c r="H42" s="807"/>
      <c r="I42" s="807"/>
      <c r="J42" s="34"/>
      <c r="K42" s="808"/>
      <c r="L42" s="808"/>
      <c r="M42" s="808"/>
      <c r="N42" s="808"/>
      <c r="O42" s="808"/>
      <c r="P42" s="808"/>
      <c r="Q42" s="808"/>
      <c r="R42" s="808"/>
      <c r="S42" s="808"/>
      <c r="T42" s="34"/>
      <c r="U42" s="807"/>
      <c r="V42" s="807"/>
      <c r="W42" s="807"/>
      <c r="X42" s="807"/>
      <c r="Y42" s="807"/>
      <c r="Z42" s="807"/>
      <c r="AA42" s="807"/>
      <c r="AB42" s="807"/>
      <c r="AC42" s="807"/>
      <c r="AD42" s="34"/>
      <c r="AE42" s="808"/>
      <c r="AF42" s="808"/>
      <c r="AG42" s="808"/>
      <c r="AH42" s="808"/>
      <c r="AI42" s="808"/>
      <c r="AJ42" s="808"/>
      <c r="AK42" s="808"/>
      <c r="AL42" s="808"/>
      <c r="AM42" s="808"/>
      <c r="AN42" s="34"/>
    </row>
    <row r="43" spans="1:40" ht="14.25" x14ac:dyDescent="0.2">
      <c r="A43" s="807"/>
      <c r="B43" s="807"/>
      <c r="C43" s="807"/>
      <c r="D43" s="807"/>
      <c r="E43" s="807"/>
      <c r="F43" s="807"/>
      <c r="G43" s="807"/>
      <c r="H43" s="807"/>
      <c r="I43" s="807"/>
      <c r="J43" s="34"/>
      <c r="K43" s="808"/>
      <c r="L43" s="808"/>
      <c r="M43" s="808"/>
      <c r="N43" s="808"/>
      <c r="O43" s="808"/>
      <c r="P43" s="808"/>
      <c r="Q43" s="808"/>
      <c r="R43" s="808"/>
      <c r="S43" s="808"/>
      <c r="T43" s="34"/>
      <c r="U43" s="807"/>
      <c r="V43" s="807"/>
      <c r="W43" s="807"/>
      <c r="X43" s="807"/>
      <c r="Y43" s="807"/>
      <c r="Z43" s="807"/>
      <c r="AA43" s="807"/>
      <c r="AB43" s="807"/>
      <c r="AC43" s="807"/>
      <c r="AD43" s="34"/>
      <c r="AE43" s="808"/>
      <c r="AF43" s="808"/>
      <c r="AG43" s="808"/>
      <c r="AH43" s="808"/>
      <c r="AI43" s="808"/>
      <c r="AJ43" s="808"/>
      <c r="AK43" s="808"/>
      <c r="AL43" s="808"/>
      <c r="AM43" s="808"/>
      <c r="AN43" s="34"/>
    </row>
    <row r="44" spans="1:40" ht="14.25" x14ac:dyDescent="0.2">
      <c r="A44" s="807"/>
      <c r="B44" s="807"/>
      <c r="C44" s="807"/>
      <c r="D44" s="807"/>
      <c r="E44" s="807"/>
      <c r="F44" s="807"/>
      <c r="G44" s="807"/>
      <c r="H44" s="807"/>
      <c r="I44" s="807"/>
      <c r="J44" s="34"/>
      <c r="K44" s="808"/>
      <c r="L44" s="808"/>
      <c r="M44" s="808"/>
      <c r="N44" s="808"/>
      <c r="O44" s="808"/>
      <c r="P44" s="808"/>
      <c r="Q44" s="808"/>
      <c r="R44" s="808"/>
      <c r="S44" s="808"/>
      <c r="T44" s="34"/>
      <c r="U44" s="807"/>
      <c r="V44" s="807"/>
      <c r="W44" s="807"/>
      <c r="X44" s="807"/>
      <c r="Y44" s="807"/>
      <c r="Z44" s="807"/>
      <c r="AA44" s="807"/>
      <c r="AB44" s="807"/>
      <c r="AC44" s="807"/>
      <c r="AD44" s="34"/>
      <c r="AE44" s="808"/>
      <c r="AF44" s="808"/>
      <c r="AG44" s="808"/>
      <c r="AH44" s="808"/>
      <c r="AI44" s="808"/>
      <c r="AJ44" s="808"/>
      <c r="AK44" s="808"/>
      <c r="AL44" s="808"/>
      <c r="AM44" s="808"/>
      <c r="AN44" s="34"/>
    </row>
    <row r="45" spans="1:40" ht="14.25" x14ac:dyDescent="0.2">
      <c r="A45" s="807"/>
      <c r="B45" s="807"/>
      <c r="C45" s="807"/>
      <c r="D45" s="807"/>
      <c r="E45" s="807"/>
      <c r="F45" s="807"/>
      <c r="G45" s="807"/>
      <c r="H45" s="807"/>
      <c r="I45" s="807"/>
      <c r="J45" s="34"/>
      <c r="K45" s="808"/>
      <c r="L45" s="808"/>
      <c r="M45" s="808"/>
      <c r="N45" s="808"/>
      <c r="O45" s="808"/>
      <c r="P45" s="808"/>
      <c r="Q45" s="808"/>
      <c r="R45" s="808"/>
      <c r="S45" s="808"/>
      <c r="T45" s="34"/>
      <c r="U45" s="807"/>
      <c r="V45" s="807"/>
      <c r="W45" s="807"/>
      <c r="X45" s="807"/>
      <c r="Y45" s="807"/>
      <c r="Z45" s="807"/>
      <c r="AA45" s="807"/>
      <c r="AB45" s="807"/>
      <c r="AC45" s="807"/>
      <c r="AD45" s="34"/>
      <c r="AE45" s="808"/>
      <c r="AF45" s="808"/>
      <c r="AG45" s="808"/>
      <c r="AH45" s="808"/>
      <c r="AI45" s="808"/>
      <c r="AJ45" s="808"/>
      <c r="AK45" s="808"/>
      <c r="AL45" s="808"/>
      <c r="AM45" s="808"/>
      <c r="AN45" s="34"/>
    </row>
    <row r="46" spans="1:40" ht="14.25" x14ac:dyDescent="0.2">
      <c r="A46" s="807"/>
      <c r="B46" s="807"/>
      <c r="C46" s="807"/>
      <c r="D46" s="807"/>
      <c r="E46" s="807"/>
      <c r="F46" s="807"/>
      <c r="G46" s="807"/>
      <c r="H46" s="807"/>
      <c r="I46" s="807"/>
      <c r="J46" s="34"/>
      <c r="K46" s="808"/>
      <c r="L46" s="808"/>
      <c r="M46" s="808"/>
      <c r="N46" s="808"/>
      <c r="O46" s="808"/>
      <c r="P46" s="808"/>
      <c r="Q46" s="808"/>
      <c r="R46" s="808"/>
      <c r="S46" s="808"/>
      <c r="T46" s="34"/>
      <c r="U46" s="807"/>
      <c r="V46" s="807"/>
      <c r="W46" s="807"/>
      <c r="X46" s="807"/>
      <c r="Y46" s="807"/>
      <c r="Z46" s="807"/>
      <c r="AA46" s="807"/>
      <c r="AB46" s="807"/>
      <c r="AC46" s="807"/>
      <c r="AD46" s="34"/>
      <c r="AE46" s="808"/>
      <c r="AF46" s="808"/>
      <c r="AG46" s="808"/>
      <c r="AH46" s="808"/>
      <c r="AI46" s="808"/>
      <c r="AJ46" s="808"/>
      <c r="AK46" s="808"/>
      <c r="AL46" s="808"/>
      <c r="AM46" s="808"/>
      <c r="AN46" s="34"/>
    </row>
    <row r="47" spans="1:40" ht="14.25" x14ac:dyDescent="0.2">
      <c r="A47" s="807"/>
      <c r="B47" s="807"/>
      <c r="C47" s="807"/>
      <c r="D47" s="807"/>
      <c r="E47" s="807"/>
      <c r="F47" s="807"/>
      <c r="G47" s="807"/>
      <c r="H47" s="807"/>
      <c r="I47" s="807"/>
      <c r="J47" s="34"/>
      <c r="K47" s="808"/>
      <c r="L47" s="808"/>
      <c r="M47" s="808"/>
      <c r="N47" s="808"/>
      <c r="O47" s="808"/>
      <c r="P47" s="808"/>
      <c r="Q47" s="808"/>
      <c r="R47" s="808"/>
      <c r="S47" s="808"/>
      <c r="T47" s="34"/>
      <c r="U47" s="807"/>
      <c r="V47" s="807"/>
      <c r="W47" s="807"/>
      <c r="X47" s="807"/>
      <c r="Y47" s="807"/>
      <c r="Z47" s="807"/>
      <c r="AA47" s="807"/>
      <c r="AB47" s="807"/>
      <c r="AC47" s="807"/>
      <c r="AD47" s="34"/>
      <c r="AE47" s="808"/>
      <c r="AF47" s="808"/>
      <c r="AG47" s="808"/>
      <c r="AH47" s="808"/>
      <c r="AI47" s="808"/>
      <c r="AJ47" s="808"/>
      <c r="AK47" s="808"/>
      <c r="AL47" s="808"/>
      <c r="AM47" s="808"/>
      <c r="AN47" s="34"/>
    </row>
    <row r="48" spans="1:40" ht="14.25" x14ac:dyDescent="0.2">
      <c r="A48" s="807"/>
      <c r="B48" s="807"/>
      <c r="C48" s="807"/>
      <c r="D48" s="807"/>
      <c r="E48" s="807"/>
      <c r="F48" s="807"/>
      <c r="G48" s="807"/>
      <c r="H48" s="807"/>
      <c r="I48" s="807"/>
      <c r="J48" s="34"/>
      <c r="K48" s="808"/>
      <c r="L48" s="808"/>
      <c r="M48" s="808"/>
      <c r="N48" s="808"/>
      <c r="O48" s="808"/>
      <c r="P48" s="808"/>
      <c r="Q48" s="808"/>
      <c r="R48" s="808"/>
      <c r="S48" s="808"/>
      <c r="T48" s="34"/>
      <c r="U48" s="807"/>
      <c r="V48" s="807"/>
      <c r="W48" s="807"/>
      <c r="X48" s="807"/>
      <c r="Y48" s="807"/>
      <c r="Z48" s="807"/>
      <c r="AA48" s="807"/>
      <c r="AB48" s="807"/>
      <c r="AC48" s="807"/>
      <c r="AD48" s="34"/>
      <c r="AE48" s="808"/>
      <c r="AF48" s="808"/>
      <c r="AG48" s="808"/>
      <c r="AH48" s="808"/>
      <c r="AI48" s="808"/>
      <c r="AJ48" s="808"/>
      <c r="AK48" s="808"/>
      <c r="AL48" s="808"/>
      <c r="AM48" s="808"/>
      <c r="AN48" s="34"/>
    </row>
    <row r="49" spans="1:40" ht="14.25" x14ac:dyDescent="0.2">
      <c r="A49" s="807"/>
      <c r="B49" s="807"/>
      <c r="C49" s="807"/>
      <c r="D49" s="807"/>
      <c r="E49" s="807"/>
      <c r="F49" s="807"/>
      <c r="G49" s="807"/>
      <c r="H49" s="807"/>
      <c r="I49" s="807"/>
      <c r="J49" s="34"/>
      <c r="K49" s="808"/>
      <c r="L49" s="808"/>
      <c r="M49" s="808"/>
      <c r="N49" s="808"/>
      <c r="O49" s="808"/>
      <c r="P49" s="808"/>
      <c r="Q49" s="808"/>
      <c r="R49" s="808"/>
      <c r="S49" s="808"/>
      <c r="T49" s="34"/>
      <c r="U49" s="807"/>
      <c r="V49" s="807"/>
      <c r="W49" s="807"/>
      <c r="X49" s="807"/>
      <c r="Y49" s="807"/>
      <c r="Z49" s="807"/>
      <c r="AA49" s="807"/>
      <c r="AB49" s="807"/>
      <c r="AC49" s="807"/>
      <c r="AD49" s="34"/>
      <c r="AE49" s="808"/>
      <c r="AF49" s="808"/>
      <c r="AG49" s="808"/>
      <c r="AH49" s="808"/>
      <c r="AI49" s="808"/>
      <c r="AJ49" s="808"/>
      <c r="AK49" s="808"/>
      <c r="AL49" s="808"/>
      <c r="AM49" s="808"/>
      <c r="AN49" s="34"/>
    </row>
    <row r="50" spans="1:40" ht="14.25" x14ac:dyDescent="0.2">
      <c r="A50" s="807"/>
      <c r="B50" s="807"/>
      <c r="C50" s="807"/>
      <c r="D50" s="807"/>
      <c r="E50" s="807"/>
      <c r="F50" s="807"/>
      <c r="G50" s="807"/>
      <c r="H50" s="807"/>
      <c r="I50" s="807"/>
      <c r="J50" s="34"/>
      <c r="K50" s="808"/>
      <c r="L50" s="808"/>
      <c r="M50" s="808"/>
      <c r="N50" s="808"/>
      <c r="O50" s="808"/>
      <c r="P50" s="808"/>
      <c r="Q50" s="808"/>
      <c r="R50" s="808"/>
      <c r="S50" s="808"/>
      <c r="T50" s="34"/>
      <c r="U50" s="807"/>
      <c r="V50" s="807"/>
      <c r="W50" s="807"/>
      <c r="X50" s="807"/>
      <c r="Y50" s="807"/>
      <c r="Z50" s="807"/>
      <c r="AA50" s="807"/>
      <c r="AB50" s="807"/>
      <c r="AC50" s="807"/>
      <c r="AD50" s="34"/>
      <c r="AE50" s="808"/>
      <c r="AF50" s="808"/>
      <c r="AG50" s="808"/>
      <c r="AH50" s="808"/>
      <c r="AI50" s="808"/>
      <c r="AJ50" s="808"/>
      <c r="AK50" s="808"/>
      <c r="AL50" s="808"/>
      <c r="AM50" s="808"/>
      <c r="AN50" s="34"/>
    </row>
    <row r="51" spans="1:40" ht="14.25" x14ac:dyDescent="0.2">
      <c r="A51" s="807"/>
      <c r="B51" s="807"/>
      <c r="C51" s="807"/>
      <c r="D51" s="807"/>
      <c r="E51" s="807"/>
      <c r="F51" s="807"/>
      <c r="G51" s="807"/>
      <c r="H51" s="807"/>
      <c r="I51" s="807"/>
      <c r="J51" s="34"/>
      <c r="K51" s="808"/>
      <c r="L51" s="808"/>
      <c r="M51" s="808"/>
      <c r="N51" s="808"/>
      <c r="O51" s="808"/>
      <c r="P51" s="808"/>
      <c r="Q51" s="808"/>
      <c r="R51" s="808"/>
      <c r="S51" s="808"/>
      <c r="T51" s="34"/>
      <c r="U51" s="807"/>
      <c r="V51" s="807"/>
      <c r="W51" s="807"/>
      <c r="X51" s="807"/>
      <c r="Y51" s="807"/>
      <c r="Z51" s="807"/>
      <c r="AA51" s="807"/>
      <c r="AB51" s="807"/>
      <c r="AC51" s="807"/>
      <c r="AD51" s="34"/>
      <c r="AE51" s="808"/>
      <c r="AF51" s="808"/>
      <c r="AG51" s="808"/>
      <c r="AH51" s="808"/>
      <c r="AI51" s="808"/>
      <c r="AJ51" s="808"/>
      <c r="AK51" s="808"/>
      <c r="AL51" s="808"/>
      <c r="AM51" s="808"/>
      <c r="AN51" s="34"/>
    </row>
    <row r="52" spans="1:40" ht="14.25" x14ac:dyDescent="0.2">
      <c r="A52" s="807"/>
      <c r="B52" s="807"/>
      <c r="C52" s="807"/>
      <c r="D52" s="807"/>
      <c r="E52" s="807"/>
      <c r="F52" s="807"/>
      <c r="G52" s="807"/>
      <c r="H52" s="807"/>
      <c r="I52" s="807"/>
      <c r="J52" s="34"/>
      <c r="K52" s="808"/>
      <c r="L52" s="808"/>
      <c r="M52" s="808"/>
      <c r="N52" s="808"/>
      <c r="O52" s="808"/>
      <c r="P52" s="808"/>
      <c r="Q52" s="808"/>
      <c r="R52" s="808"/>
      <c r="S52" s="808"/>
      <c r="T52" s="34"/>
      <c r="U52" s="807"/>
      <c r="V52" s="807"/>
      <c r="W52" s="807"/>
      <c r="X52" s="807"/>
      <c r="Y52" s="807"/>
      <c r="Z52" s="807"/>
      <c r="AA52" s="807"/>
      <c r="AB52" s="807"/>
      <c r="AC52" s="807"/>
      <c r="AD52" s="34"/>
      <c r="AE52" s="808"/>
      <c r="AF52" s="808"/>
      <c r="AG52" s="808"/>
      <c r="AH52" s="808"/>
      <c r="AI52" s="808"/>
      <c r="AJ52" s="808"/>
      <c r="AK52" s="808"/>
      <c r="AL52" s="808"/>
      <c r="AM52" s="808"/>
      <c r="AN52" s="34"/>
    </row>
    <row r="53" spans="1:40" ht="14.85" customHeight="1" x14ac:dyDescent="0.2">
      <c r="A53" s="807"/>
      <c r="B53" s="807"/>
      <c r="C53" s="807"/>
      <c r="D53" s="807"/>
      <c r="E53" s="807"/>
      <c r="F53" s="807"/>
      <c r="G53" s="807"/>
      <c r="H53" s="807"/>
      <c r="I53" s="807"/>
      <c r="J53" s="34"/>
      <c r="K53" s="808"/>
      <c r="L53" s="808"/>
      <c r="M53" s="808"/>
      <c r="N53" s="808"/>
      <c r="O53" s="808"/>
      <c r="P53" s="808"/>
      <c r="Q53" s="808"/>
      <c r="R53" s="808"/>
      <c r="S53" s="808"/>
      <c r="T53" s="34"/>
      <c r="U53" s="807"/>
      <c r="V53" s="807"/>
      <c r="W53" s="807"/>
      <c r="X53" s="807"/>
      <c r="Y53" s="807"/>
      <c r="Z53" s="807"/>
      <c r="AA53" s="807"/>
      <c r="AB53" s="807"/>
      <c r="AC53" s="807"/>
      <c r="AD53" s="34"/>
      <c r="AE53" s="808"/>
      <c r="AF53" s="808"/>
      <c r="AG53" s="808"/>
      <c r="AH53" s="808"/>
      <c r="AI53" s="808"/>
      <c r="AJ53" s="808"/>
      <c r="AK53" s="808"/>
      <c r="AL53" s="808"/>
      <c r="AM53" s="808"/>
      <c r="AN53" s="34"/>
    </row>
    <row r="54" spans="1:40" ht="14.25" x14ac:dyDescent="0.2">
      <c r="A54" s="807"/>
      <c r="B54" s="807"/>
      <c r="C54" s="807"/>
      <c r="D54" s="807"/>
      <c r="E54" s="807"/>
      <c r="F54" s="807"/>
      <c r="G54" s="807"/>
      <c r="H54" s="807"/>
      <c r="I54" s="807"/>
      <c r="J54" s="34"/>
      <c r="K54" s="808"/>
      <c r="L54" s="808"/>
      <c r="M54" s="808"/>
      <c r="N54" s="808"/>
      <c r="O54" s="808"/>
      <c r="P54" s="808"/>
      <c r="Q54" s="808"/>
      <c r="R54" s="808"/>
      <c r="S54" s="808"/>
      <c r="T54" s="34"/>
      <c r="U54" s="807"/>
      <c r="V54" s="807"/>
      <c r="W54" s="807"/>
      <c r="X54" s="807"/>
      <c r="Y54" s="807"/>
      <c r="Z54" s="807"/>
      <c r="AA54" s="807"/>
      <c r="AB54" s="807"/>
      <c r="AC54" s="807"/>
      <c r="AD54" s="34"/>
      <c r="AE54" s="808"/>
      <c r="AF54" s="808"/>
      <c r="AG54" s="808"/>
      <c r="AH54" s="808"/>
      <c r="AI54" s="808"/>
      <c r="AJ54" s="808"/>
      <c r="AK54" s="808"/>
      <c r="AL54" s="808"/>
      <c r="AM54" s="808"/>
      <c r="AN54" s="34"/>
    </row>
    <row r="55" spans="1:40" ht="14.25" x14ac:dyDescent="0.2">
      <c r="A55" s="807"/>
      <c r="B55" s="807"/>
      <c r="C55" s="807"/>
      <c r="D55" s="807"/>
      <c r="E55" s="807"/>
      <c r="F55" s="807"/>
      <c r="G55" s="807"/>
      <c r="H55" s="807"/>
      <c r="I55" s="807"/>
      <c r="J55" s="34"/>
      <c r="K55" s="808"/>
      <c r="L55" s="808"/>
      <c r="M55" s="808"/>
      <c r="N55" s="808"/>
      <c r="O55" s="808"/>
      <c r="P55" s="808"/>
      <c r="Q55" s="808"/>
      <c r="R55" s="808"/>
      <c r="S55" s="808"/>
      <c r="T55" s="34"/>
      <c r="U55" s="807"/>
      <c r="V55" s="807"/>
      <c r="W55" s="807"/>
      <c r="X55" s="807"/>
      <c r="Y55" s="807"/>
      <c r="Z55" s="807"/>
      <c r="AA55" s="807"/>
      <c r="AB55" s="807"/>
      <c r="AC55" s="807"/>
      <c r="AD55" s="34"/>
      <c r="AE55" s="808"/>
      <c r="AF55" s="808"/>
      <c r="AG55" s="808"/>
      <c r="AH55" s="808"/>
      <c r="AI55" s="808"/>
      <c r="AJ55" s="808"/>
      <c r="AK55" s="808"/>
      <c r="AL55" s="808"/>
      <c r="AM55" s="808"/>
      <c r="AN55" s="34"/>
    </row>
    <row r="56" spans="1:40" ht="14.25" x14ac:dyDescent="0.2">
      <c r="A56" s="807"/>
      <c r="B56" s="807"/>
      <c r="C56" s="807"/>
      <c r="D56" s="807"/>
      <c r="E56" s="807"/>
      <c r="F56" s="807"/>
      <c r="G56" s="807"/>
      <c r="H56" s="807"/>
      <c r="I56" s="807"/>
      <c r="J56" s="34"/>
      <c r="K56" s="808"/>
      <c r="L56" s="808"/>
      <c r="M56" s="808"/>
      <c r="N56" s="808"/>
      <c r="O56" s="808"/>
      <c r="P56" s="808"/>
      <c r="Q56" s="808"/>
      <c r="R56" s="808"/>
      <c r="S56" s="808"/>
      <c r="T56" s="34"/>
      <c r="U56" s="807"/>
      <c r="V56" s="807"/>
      <c r="W56" s="807"/>
      <c r="X56" s="807"/>
      <c r="Y56" s="807"/>
      <c r="Z56" s="807"/>
      <c r="AA56" s="807"/>
      <c r="AB56" s="807"/>
      <c r="AC56" s="807"/>
      <c r="AD56" s="34"/>
      <c r="AE56" s="808"/>
      <c r="AF56" s="808"/>
      <c r="AG56" s="808"/>
      <c r="AH56" s="808"/>
      <c r="AI56" s="808"/>
      <c r="AJ56" s="808"/>
      <c r="AK56" s="808"/>
      <c r="AL56" s="808"/>
      <c r="AM56" s="808"/>
      <c r="AN56" s="34"/>
    </row>
    <row r="57" spans="1:40" ht="14.25" x14ac:dyDescent="0.2">
      <c r="A57" s="807"/>
      <c r="B57" s="807"/>
      <c r="C57" s="807"/>
      <c r="D57" s="807"/>
      <c r="E57" s="807"/>
      <c r="F57" s="807"/>
      <c r="G57" s="807"/>
      <c r="H57" s="807"/>
      <c r="I57" s="807"/>
      <c r="J57" s="34"/>
      <c r="K57" s="808"/>
      <c r="L57" s="808"/>
      <c r="M57" s="808"/>
      <c r="N57" s="808"/>
      <c r="O57" s="808"/>
      <c r="P57" s="808"/>
      <c r="Q57" s="808"/>
      <c r="R57" s="808"/>
      <c r="S57" s="808"/>
      <c r="T57" s="34"/>
      <c r="U57" s="807"/>
      <c r="V57" s="807"/>
      <c r="W57" s="807"/>
      <c r="X57" s="807"/>
      <c r="Y57" s="807"/>
      <c r="Z57" s="807"/>
      <c r="AA57" s="807"/>
      <c r="AB57" s="807"/>
      <c r="AC57" s="807"/>
      <c r="AD57" s="34"/>
      <c r="AE57" s="808"/>
      <c r="AF57" s="808"/>
      <c r="AG57" s="808"/>
      <c r="AH57" s="808"/>
      <c r="AI57" s="808"/>
      <c r="AJ57" s="808"/>
      <c r="AK57" s="808"/>
      <c r="AL57" s="808"/>
      <c r="AM57" s="808"/>
      <c r="AN57" s="34"/>
    </row>
    <row r="58" spans="1:40" ht="6" customHeight="1" x14ac:dyDescent="0.2">
      <c r="A58" s="31"/>
      <c r="B58" s="31"/>
      <c r="C58" s="31"/>
      <c r="D58" s="31"/>
      <c r="E58" s="31"/>
      <c r="F58" s="31"/>
      <c r="G58" s="31"/>
      <c r="H58" s="31"/>
      <c r="I58" s="31"/>
      <c r="J58" s="34"/>
      <c r="T58" s="34"/>
      <c r="U58" s="31"/>
      <c r="V58" s="31"/>
      <c r="W58" s="31"/>
      <c r="X58" s="31"/>
      <c r="Y58" s="31"/>
      <c r="Z58" s="31"/>
      <c r="AA58" s="31"/>
      <c r="AB58" s="31"/>
      <c r="AC58" s="31"/>
      <c r="AD58" s="34"/>
      <c r="AN58" s="34"/>
    </row>
    <row r="59" spans="1:40" s="33" customFormat="1" ht="20.100000000000001" customHeight="1" x14ac:dyDescent="0.2">
      <c r="A59" s="810" t="s">
        <v>31</v>
      </c>
      <c r="B59" s="810"/>
      <c r="C59" s="810"/>
      <c r="D59" s="810"/>
      <c r="E59" s="810"/>
      <c r="F59" s="810"/>
      <c r="G59" s="810"/>
      <c r="H59" s="810"/>
      <c r="I59" s="810"/>
      <c r="J59" s="32"/>
      <c r="K59" s="810" t="s">
        <v>32</v>
      </c>
      <c r="L59" s="810"/>
      <c r="M59" s="810"/>
      <c r="N59" s="810"/>
      <c r="O59" s="810"/>
      <c r="P59" s="810"/>
      <c r="Q59" s="810"/>
      <c r="R59" s="810"/>
      <c r="S59" s="810"/>
      <c r="T59" s="32"/>
      <c r="U59" s="810" t="s">
        <v>33</v>
      </c>
      <c r="V59" s="810"/>
      <c r="W59" s="810"/>
      <c r="X59" s="810"/>
      <c r="Y59" s="810"/>
      <c r="Z59" s="810"/>
      <c r="AA59" s="810"/>
      <c r="AB59" s="810"/>
      <c r="AC59" s="810"/>
      <c r="AD59" s="32"/>
      <c r="AE59" s="810" t="s">
        <v>34</v>
      </c>
      <c r="AF59" s="810"/>
      <c r="AG59" s="810"/>
      <c r="AH59" s="810"/>
      <c r="AI59" s="810"/>
      <c r="AJ59" s="810"/>
      <c r="AK59" s="810"/>
      <c r="AL59" s="810"/>
      <c r="AM59" s="810"/>
      <c r="AN59" s="32"/>
    </row>
    <row r="60" spans="1:40" ht="6" customHeight="1" x14ac:dyDescent="0.2">
      <c r="A60" s="31"/>
      <c r="B60" s="31"/>
      <c r="C60" s="31"/>
      <c r="D60" s="31"/>
      <c r="E60" s="31"/>
      <c r="F60" s="31"/>
      <c r="G60" s="31"/>
      <c r="H60" s="31"/>
      <c r="I60" s="31"/>
      <c r="T60" s="34"/>
      <c r="U60" s="31"/>
      <c r="V60" s="31"/>
      <c r="W60" s="31"/>
      <c r="X60" s="31"/>
      <c r="Y60" s="31"/>
      <c r="Z60" s="31"/>
      <c r="AA60" s="31"/>
      <c r="AB60" s="31"/>
      <c r="AC60" s="31"/>
      <c r="AD60" s="34"/>
      <c r="AN60" s="34"/>
    </row>
    <row r="61" spans="1:40" ht="14.1" customHeight="1" x14ac:dyDescent="0.2">
      <c r="A61" s="806" t="s">
        <v>35</v>
      </c>
      <c r="B61" s="807"/>
      <c r="C61" s="807"/>
      <c r="D61" s="807"/>
      <c r="E61" s="807"/>
      <c r="F61" s="807"/>
      <c r="G61" s="807"/>
      <c r="H61" s="807"/>
      <c r="I61" s="807"/>
      <c r="J61" s="34"/>
      <c r="K61" s="806" t="s">
        <v>36</v>
      </c>
      <c r="L61" s="811"/>
      <c r="M61" s="811"/>
      <c r="N61" s="811"/>
      <c r="O61" s="811"/>
      <c r="P61" s="811"/>
      <c r="Q61" s="811"/>
      <c r="R61" s="811"/>
      <c r="S61" s="811"/>
      <c r="T61" s="34"/>
      <c r="U61" s="806" t="s">
        <v>37</v>
      </c>
      <c r="V61" s="807"/>
      <c r="W61" s="807"/>
      <c r="X61" s="807"/>
      <c r="Y61" s="807"/>
      <c r="Z61" s="807"/>
      <c r="AA61" s="807"/>
      <c r="AB61" s="807"/>
      <c r="AC61" s="807"/>
      <c r="AD61" s="34"/>
      <c r="AE61" s="806" t="s">
        <v>38</v>
      </c>
      <c r="AF61" s="811"/>
      <c r="AG61" s="811"/>
      <c r="AH61" s="811"/>
      <c r="AI61" s="811"/>
      <c r="AJ61" s="811"/>
      <c r="AK61" s="811"/>
      <c r="AL61" s="811"/>
      <c r="AM61" s="811"/>
      <c r="AN61" s="34"/>
    </row>
    <row r="62" spans="1:40" ht="14.25" x14ac:dyDescent="0.2">
      <c r="A62" s="807"/>
      <c r="B62" s="807"/>
      <c r="C62" s="807"/>
      <c r="D62" s="807"/>
      <c r="E62" s="807"/>
      <c r="F62" s="807"/>
      <c r="G62" s="807"/>
      <c r="H62" s="807"/>
      <c r="I62" s="807"/>
      <c r="J62" s="34"/>
      <c r="K62" s="811"/>
      <c r="L62" s="811"/>
      <c r="M62" s="811"/>
      <c r="N62" s="811"/>
      <c r="O62" s="811"/>
      <c r="P62" s="811"/>
      <c r="Q62" s="811"/>
      <c r="R62" s="811"/>
      <c r="S62" s="811"/>
      <c r="T62" s="34"/>
      <c r="U62" s="807"/>
      <c r="V62" s="807"/>
      <c r="W62" s="807"/>
      <c r="X62" s="807"/>
      <c r="Y62" s="807"/>
      <c r="Z62" s="807"/>
      <c r="AA62" s="807"/>
      <c r="AB62" s="807"/>
      <c r="AC62" s="807"/>
      <c r="AD62" s="34"/>
      <c r="AE62" s="811"/>
      <c r="AF62" s="811"/>
      <c r="AG62" s="811"/>
      <c r="AH62" s="811"/>
      <c r="AI62" s="811"/>
      <c r="AJ62" s="811"/>
      <c r="AK62" s="811"/>
      <c r="AL62" s="811"/>
      <c r="AM62" s="811"/>
      <c r="AN62" s="34"/>
    </row>
    <row r="63" spans="1:40" ht="14.25" x14ac:dyDescent="0.2">
      <c r="A63" s="807"/>
      <c r="B63" s="807"/>
      <c r="C63" s="807"/>
      <c r="D63" s="807"/>
      <c r="E63" s="807"/>
      <c r="F63" s="807"/>
      <c r="G63" s="807"/>
      <c r="H63" s="807"/>
      <c r="I63" s="807"/>
      <c r="J63" s="34"/>
      <c r="K63" s="811"/>
      <c r="L63" s="811"/>
      <c r="M63" s="811"/>
      <c r="N63" s="811"/>
      <c r="O63" s="811"/>
      <c r="P63" s="811"/>
      <c r="Q63" s="811"/>
      <c r="R63" s="811"/>
      <c r="S63" s="811"/>
      <c r="T63" s="34"/>
      <c r="U63" s="807"/>
      <c r="V63" s="807"/>
      <c r="W63" s="807"/>
      <c r="X63" s="807"/>
      <c r="Y63" s="807"/>
      <c r="Z63" s="807"/>
      <c r="AA63" s="807"/>
      <c r="AB63" s="807"/>
      <c r="AC63" s="807"/>
      <c r="AD63" s="34"/>
      <c r="AE63" s="811"/>
      <c r="AF63" s="811"/>
      <c r="AG63" s="811"/>
      <c r="AH63" s="811"/>
      <c r="AI63" s="811"/>
      <c r="AJ63" s="811"/>
      <c r="AK63" s="811"/>
      <c r="AL63" s="811"/>
      <c r="AM63" s="811"/>
      <c r="AN63" s="34"/>
    </row>
    <row r="64" spans="1:40" ht="14.25" x14ac:dyDescent="0.2">
      <c r="A64" s="807"/>
      <c r="B64" s="807"/>
      <c r="C64" s="807"/>
      <c r="D64" s="807"/>
      <c r="E64" s="807"/>
      <c r="F64" s="807"/>
      <c r="G64" s="807"/>
      <c r="H64" s="807"/>
      <c r="I64" s="807"/>
      <c r="J64" s="34"/>
      <c r="K64" s="811"/>
      <c r="L64" s="811"/>
      <c r="M64" s="811"/>
      <c r="N64" s="811"/>
      <c r="O64" s="811"/>
      <c r="P64" s="811"/>
      <c r="Q64" s="811"/>
      <c r="R64" s="811"/>
      <c r="S64" s="811"/>
      <c r="T64" s="34"/>
      <c r="U64" s="807"/>
      <c r="V64" s="807"/>
      <c r="W64" s="807"/>
      <c r="X64" s="807"/>
      <c r="Y64" s="807"/>
      <c r="Z64" s="807"/>
      <c r="AA64" s="807"/>
      <c r="AB64" s="807"/>
      <c r="AC64" s="807"/>
      <c r="AD64" s="34"/>
      <c r="AE64" s="811"/>
      <c r="AF64" s="811"/>
      <c r="AG64" s="811"/>
      <c r="AH64" s="811"/>
      <c r="AI64" s="811"/>
      <c r="AJ64" s="811"/>
      <c r="AK64" s="811"/>
      <c r="AL64" s="811"/>
      <c r="AM64" s="811"/>
      <c r="AN64" s="34"/>
    </row>
    <row r="65" spans="1:40" ht="14.25" x14ac:dyDescent="0.2">
      <c r="A65" s="807"/>
      <c r="B65" s="807"/>
      <c r="C65" s="807"/>
      <c r="D65" s="807"/>
      <c r="E65" s="807"/>
      <c r="F65" s="807"/>
      <c r="G65" s="807"/>
      <c r="H65" s="807"/>
      <c r="I65" s="807"/>
      <c r="J65" s="34"/>
      <c r="K65" s="811"/>
      <c r="L65" s="811"/>
      <c r="M65" s="811"/>
      <c r="N65" s="811"/>
      <c r="O65" s="811"/>
      <c r="P65" s="811"/>
      <c r="Q65" s="811"/>
      <c r="R65" s="811"/>
      <c r="S65" s="811"/>
      <c r="T65" s="34"/>
      <c r="U65" s="807"/>
      <c r="V65" s="807"/>
      <c r="W65" s="807"/>
      <c r="X65" s="807"/>
      <c r="Y65" s="807"/>
      <c r="Z65" s="807"/>
      <c r="AA65" s="807"/>
      <c r="AB65" s="807"/>
      <c r="AC65" s="807"/>
      <c r="AD65" s="34"/>
      <c r="AE65" s="811"/>
      <c r="AF65" s="811"/>
      <c r="AG65" s="811"/>
      <c r="AH65" s="811"/>
      <c r="AI65" s="811"/>
      <c r="AJ65" s="811"/>
      <c r="AK65" s="811"/>
      <c r="AL65" s="811"/>
      <c r="AM65" s="811"/>
      <c r="AN65" s="34"/>
    </row>
    <row r="66" spans="1:40" ht="14.25" x14ac:dyDescent="0.2">
      <c r="A66" s="807"/>
      <c r="B66" s="807"/>
      <c r="C66" s="807"/>
      <c r="D66" s="807"/>
      <c r="E66" s="807"/>
      <c r="F66" s="807"/>
      <c r="G66" s="807"/>
      <c r="H66" s="807"/>
      <c r="I66" s="807"/>
      <c r="J66" s="34"/>
      <c r="K66" s="811"/>
      <c r="L66" s="811"/>
      <c r="M66" s="811"/>
      <c r="N66" s="811"/>
      <c r="O66" s="811"/>
      <c r="P66" s="811"/>
      <c r="Q66" s="811"/>
      <c r="R66" s="811"/>
      <c r="S66" s="811"/>
      <c r="T66" s="34"/>
      <c r="U66" s="807"/>
      <c r="V66" s="807"/>
      <c r="W66" s="807"/>
      <c r="X66" s="807"/>
      <c r="Y66" s="807"/>
      <c r="Z66" s="807"/>
      <c r="AA66" s="807"/>
      <c r="AB66" s="807"/>
      <c r="AC66" s="807"/>
      <c r="AD66" s="34"/>
      <c r="AE66" s="811"/>
      <c r="AF66" s="811"/>
      <c r="AG66" s="811"/>
      <c r="AH66" s="811"/>
      <c r="AI66" s="811"/>
      <c r="AJ66" s="811"/>
      <c r="AK66" s="811"/>
      <c r="AL66" s="811"/>
      <c r="AM66" s="811"/>
      <c r="AN66" s="34"/>
    </row>
    <row r="67" spans="1:40" ht="14.25" x14ac:dyDescent="0.2">
      <c r="A67" s="807"/>
      <c r="B67" s="807"/>
      <c r="C67" s="807"/>
      <c r="D67" s="807"/>
      <c r="E67" s="807"/>
      <c r="F67" s="807"/>
      <c r="G67" s="807"/>
      <c r="H67" s="807"/>
      <c r="I67" s="807"/>
      <c r="J67" s="34"/>
      <c r="K67" s="811"/>
      <c r="L67" s="811"/>
      <c r="M67" s="811"/>
      <c r="N67" s="811"/>
      <c r="O67" s="811"/>
      <c r="P67" s="811"/>
      <c r="Q67" s="811"/>
      <c r="R67" s="811"/>
      <c r="S67" s="811"/>
      <c r="T67" s="34"/>
      <c r="U67" s="807"/>
      <c r="V67" s="807"/>
      <c r="W67" s="807"/>
      <c r="X67" s="807"/>
      <c r="Y67" s="807"/>
      <c r="Z67" s="807"/>
      <c r="AA67" s="807"/>
      <c r="AB67" s="807"/>
      <c r="AC67" s="807"/>
      <c r="AD67" s="34"/>
      <c r="AE67" s="811"/>
      <c r="AF67" s="811"/>
      <c r="AG67" s="811"/>
      <c r="AH67" s="811"/>
      <c r="AI67" s="811"/>
      <c r="AJ67" s="811"/>
      <c r="AK67" s="811"/>
      <c r="AL67" s="811"/>
      <c r="AM67" s="811"/>
      <c r="AN67" s="34"/>
    </row>
    <row r="68" spans="1:40" ht="14.25" x14ac:dyDescent="0.2">
      <c r="A68" s="807"/>
      <c r="B68" s="807"/>
      <c r="C68" s="807"/>
      <c r="D68" s="807"/>
      <c r="E68" s="807"/>
      <c r="F68" s="807"/>
      <c r="G68" s="807"/>
      <c r="H68" s="807"/>
      <c r="I68" s="807"/>
      <c r="J68" s="34"/>
      <c r="K68" s="811"/>
      <c r="L68" s="811"/>
      <c r="M68" s="811"/>
      <c r="N68" s="811"/>
      <c r="O68" s="811"/>
      <c r="P68" s="811"/>
      <c r="Q68" s="811"/>
      <c r="R68" s="811"/>
      <c r="S68" s="811"/>
      <c r="T68" s="34"/>
      <c r="U68" s="807"/>
      <c r="V68" s="807"/>
      <c r="W68" s="807"/>
      <c r="X68" s="807"/>
      <c r="Y68" s="807"/>
      <c r="Z68" s="807"/>
      <c r="AA68" s="807"/>
      <c r="AB68" s="807"/>
      <c r="AC68" s="807"/>
      <c r="AD68" s="34"/>
      <c r="AE68" s="811"/>
      <c r="AF68" s="811"/>
      <c r="AG68" s="811"/>
      <c r="AH68" s="811"/>
      <c r="AI68" s="811"/>
      <c r="AJ68" s="811"/>
      <c r="AK68" s="811"/>
      <c r="AL68" s="811"/>
      <c r="AM68" s="811"/>
      <c r="AN68" s="34"/>
    </row>
    <row r="69" spans="1:40" ht="14.25" x14ac:dyDescent="0.2">
      <c r="A69" s="807"/>
      <c r="B69" s="807"/>
      <c r="C69" s="807"/>
      <c r="D69" s="807"/>
      <c r="E69" s="807"/>
      <c r="F69" s="807"/>
      <c r="G69" s="807"/>
      <c r="H69" s="807"/>
      <c r="I69" s="807"/>
      <c r="J69" s="34"/>
      <c r="K69" s="811"/>
      <c r="L69" s="811"/>
      <c r="M69" s="811"/>
      <c r="N69" s="811"/>
      <c r="O69" s="811"/>
      <c r="P69" s="811"/>
      <c r="Q69" s="811"/>
      <c r="R69" s="811"/>
      <c r="S69" s="811"/>
      <c r="T69" s="34"/>
      <c r="U69" s="807"/>
      <c r="V69" s="807"/>
      <c r="W69" s="807"/>
      <c r="X69" s="807"/>
      <c r="Y69" s="807"/>
      <c r="Z69" s="807"/>
      <c r="AA69" s="807"/>
      <c r="AB69" s="807"/>
      <c r="AC69" s="807"/>
      <c r="AD69" s="34"/>
      <c r="AE69" s="811"/>
      <c r="AF69" s="811"/>
      <c r="AG69" s="811"/>
      <c r="AH69" s="811"/>
      <c r="AI69" s="811"/>
      <c r="AJ69" s="811"/>
      <c r="AK69" s="811"/>
      <c r="AL69" s="811"/>
      <c r="AM69" s="811"/>
      <c r="AN69" s="34"/>
    </row>
    <row r="70" spans="1:40" ht="14.25" x14ac:dyDescent="0.2">
      <c r="A70" s="807"/>
      <c r="B70" s="807"/>
      <c r="C70" s="807"/>
      <c r="D70" s="807"/>
      <c r="E70" s="807"/>
      <c r="F70" s="807"/>
      <c r="G70" s="807"/>
      <c r="H70" s="807"/>
      <c r="I70" s="807"/>
      <c r="J70" s="34"/>
      <c r="K70" s="811"/>
      <c r="L70" s="811"/>
      <c r="M70" s="811"/>
      <c r="N70" s="811"/>
      <c r="O70" s="811"/>
      <c r="P70" s="811"/>
      <c r="Q70" s="811"/>
      <c r="R70" s="811"/>
      <c r="S70" s="811"/>
      <c r="T70" s="34"/>
      <c r="U70" s="807"/>
      <c r="V70" s="807"/>
      <c r="W70" s="807"/>
      <c r="X70" s="807"/>
      <c r="Y70" s="807"/>
      <c r="Z70" s="807"/>
      <c r="AA70" s="807"/>
      <c r="AB70" s="807"/>
      <c r="AC70" s="807"/>
      <c r="AD70" s="34"/>
      <c r="AE70" s="811"/>
      <c r="AF70" s="811"/>
      <c r="AG70" s="811"/>
      <c r="AH70" s="811"/>
      <c r="AI70" s="811"/>
      <c r="AJ70" s="811"/>
      <c r="AK70" s="811"/>
      <c r="AL70" s="811"/>
      <c r="AM70" s="811"/>
      <c r="AN70" s="34"/>
    </row>
    <row r="71" spans="1:40" ht="14.25" x14ac:dyDescent="0.2">
      <c r="A71" s="807"/>
      <c r="B71" s="807"/>
      <c r="C71" s="807"/>
      <c r="D71" s="807"/>
      <c r="E71" s="807"/>
      <c r="F71" s="807"/>
      <c r="G71" s="807"/>
      <c r="H71" s="807"/>
      <c r="I71" s="807"/>
      <c r="J71" s="34"/>
      <c r="K71" s="811"/>
      <c r="L71" s="811"/>
      <c r="M71" s="811"/>
      <c r="N71" s="811"/>
      <c r="O71" s="811"/>
      <c r="P71" s="811"/>
      <c r="Q71" s="811"/>
      <c r="R71" s="811"/>
      <c r="S71" s="811"/>
      <c r="T71" s="34"/>
      <c r="U71" s="807"/>
      <c r="V71" s="807"/>
      <c r="W71" s="807"/>
      <c r="X71" s="807"/>
      <c r="Y71" s="807"/>
      <c r="Z71" s="807"/>
      <c r="AA71" s="807"/>
      <c r="AB71" s="807"/>
      <c r="AC71" s="807"/>
      <c r="AD71" s="34"/>
      <c r="AE71" s="811"/>
      <c r="AF71" s="811"/>
      <c r="AG71" s="811"/>
      <c r="AH71" s="811"/>
      <c r="AI71" s="811"/>
      <c r="AJ71" s="811"/>
      <c r="AK71" s="811"/>
      <c r="AL71" s="811"/>
      <c r="AM71" s="811"/>
      <c r="AN71" s="34"/>
    </row>
    <row r="72" spans="1:40" ht="14.25" x14ac:dyDescent="0.2">
      <c r="A72" s="807"/>
      <c r="B72" s="807"/>
      <c r="C72" s="807"/>
      <c r="D72" s="807"/>
      <c r="E72" s="807"/>
      <c r="F72" s="807"/>
      <c r="G72" s="807"/>
      <c r="H72" s="807"/>
      <c r="I72" s="807"/>
      <c r="J72" s="34"/>
      <c r="K72" s="811"/>
      <c r="L72" s="811"/>
      <c r="M72" s="811"/>
      <c r="N72" s="811"/>
      <c r="O72" s="811"/>
      <c r="P72" s="811"/>
      <c r="Q72" s="811"/>
      <c r="R72" s="811"/>
      <c r="S72" s="811"/>
      <c r="T72" s="34"/>
      <c r="U72" s="807"/>
      <c r="V72" s="807"/>
      <c r="W72" s="807"/>
      <c r="X72" s="807"/>
      <c r="Y72" s="807"/>
      <c r="Z72" s="807"/>
      <c r="AA72" s="807"/>
      <c r="AB72" s="807"/>
      <c r="AC72" s="807"/>
      <c r="AD72" s="34"/>
      <c r="AE72" s="811"/>
      <c r="AF72" s="811"/>
      <c r="AG72" s="811"/>
      <c r="AH72" s="811"/>
      <c r="AI72" s="811"/>
      <c r="AJ72" s="811"/>
      <c r="AK72" s="811"/>
      <c r="AL72" s="811"/>
      <c r="AM72" s="811"/>
      <c r="AN72" s="34"/>
    </row>
    <row r="73" spans="1:40" ht="14.25" x14ac:dyDescent="0.2">
      <c r="A73" s="807"/>
      <c r="B73" s="807"/>
      <c r="C73" s="807"/>
      <c r="D73" s="807"/>
      <c r="E73" s="807"/>
      <c r="F73" s="807"/>
      <c r="G73" s="807"/>
      <c r="H73" s="807"/>
      <c r="I73" s="807"/>
      <c r="J73" s="34"/>
      <c r="K73" s="811"/>
      <c r="L73" s="811"/>
      <c r="M73" s="811"/>
      <c r="N73" s="811"/>
      <c r="O73" s="811"/>
      <c r="P73" s="811"/>
      <c r="Q73" s="811"/>
      <c r="R73" s="811"/>
      <c r="S73" s="811"/>
      <c r="T73" s="34"/>
      <c r="U73" s="807"/>
      <c r="V73" s="807"/>
      <c r="W73" s="807"/>
      <c r="X73" s="807"/>
      <c r="Y73" s="807"/>
      <c r="Z73" s="807"/>
      <c r="AA73" s="807"/>
      <c r="AB73" s="807"/>
      <c r="AC73" s="807"/>
      <c r="AD73" s="34"/>
      <c r="AE73" s="811"/>
      <c r="AF73" s="811"/>
      <c r="AG73" s="811"/>
      <c r="AH73" s="811"/>
      <c r="AI73" s="811"/>
      <c r="AJ73" s="811"/>
      <c r="AK73" s="811"/>
      <c r="AL73" s="811"/>
      <c r="AM73" s="811"/>
      <c r="AN73" s="34"/>
    </row>
    <row r="74" spans="1:40" ht="14.25" x14ac:dyDescent="0.2">
      <c r="A74" s="807"/>
      <c r="B74" s="807"/>
      <c r="C74" s="807"/>
      <c r="D74" s="807"/>
      <c r="E74" s="807"/>
      <c r="F74" s="807"/>
      <c r="G74" s="807"/>
      <c r="H74" s="807"/>
      <c r="I74" s="807"/>
      <c r="J74" s="34"/>
      <c r="K74" s="811"/>
      <c r="L74" s="811"/>
      <c r="M74" s="811"/>
      <c r="N74" s="811"/>
      <c r="O74" s="811"/>
      <c r="P74" s="811"/>
      <c r="Q74" s="811"/>
      <c r="R74" s="811"/>
      <c r="S74" s="811"/>
      <c r="T74" s="34"/>
      <c r="U74" s="807"/>
      <c r="V74" s="807"/>
      <c r="W74" s="807"/>
      <c r="X74" s="807"/>
      <c r="Y74" s="807"/>
      <c r="Z74" s="807"/>
      <c r="AA74" s="807"/>
      <c r="AB74" s="807"/>
      <c r="AC74" s="807"/>
      <c r="AD74" s="34"/>
      <c r="AE74" s="811"/>
      <c r="AF74" s="811"/>
      <c r="AG74" s="811"/>
      <c r="AH74" s="811"/>
      <c r="AI74" s="811"/>
      <c r="AJ74" s="811"/>
      <c r="AK74" s="811"/>
      <c r="AL74" s="811"/>
      <c r="AM74" s="811"/>
      <c r="AN74" s="34"/>
    </row>
    <row r="75" spans="1:40" ht="14.25" x14ac:dyDescent="0.2">
      <c r="A75" s="807"/>
      <c r="B75" s="807"/>
      <c r="C75" s="807"/>
      <c r="D75" s="807"/>
      <c r="E75" s="807"/>
      <c r="F75" s="807"/>
      <c r="G75" s="807"/>
      <c r="H75" s="807"/>
      <c r="I75" s="807"/>
      <c r="J75" s="34"/>
      <c r="K75" s="811"/>
      <c r="L75" s="811"/>
      <c r="M75" s="811"/>
      <c r="N75" s="811"/>
      <c r="O75" s="811"/>
      <c r="P75" s="811"/>
      <c r="Q75" s="811"/>
      <c r="R75" s="811"/>
      <c r="S75" s="811"/>
      <c r="T75" s="34"/>
      <c r="U75" s="807"/>
      <c r="V75" s="807"/>
      <c r="W75" s="807"/>
      <c r="X75" s="807"/>
      <c r="Y75" s="807"/>
      <c r="Z75" s="807"/>
      <c r="AA75" s="807"/>
      <c r="AB75" s="807"/>
      <c r="AC75" s="807"/>
      <c r="AD75" s="34"/>
      <c r="AE75" s="811"/>
      <c r="AF75" s="811"/>
      <c r="AG75" s="811"/>
      <c r="AH75" s="811"/>
      <c r="AI75" s="811"/>
      <c r="AJ75" s="811"/>
      <c r="AK75" s="811"/>
      <c r="AL75" s="811"/>
      <c r="AM75" s="811"/>
      <c r="AN75" s="34"/>
    </row>
    <row r="76" spans="1:40" ht="14.25" x14ac:dyDescent="0.2">
      <c r="A76" s="807"/>
      <c r="B76" s="807"/>
      <c r="C76" s="807"/>
      <c r="D76" s="807"/>
      <c r="E76" s="807"/>
      <c r="F76" s="807"/>
      <c r="G76" s="807"/>
      <c r="H76" s="807"/>
      <c r="I76" s="807"/>
      <c r="J76" s="34"/>
      <c r="K76" s="811"/>
      <c r="L76" s="811"/>
      <c r="M76" s="811"/>
      <c r="N76" s="811"/>
      <c r="O76" s="811"/>
      <c r="P76" s="811"/>
      <c r="Q76" s="811"/>
      <c r="R76" s="811"/>
      <c r="S76" s="811"/>
      <c r="T76" s="34"/>
      <c r="U76" s="807"/>
      <c r="V76" s="807"/>
      <c r="W76" s="807"/>
      <c r="X76" s="807"/>
      <c r="Y76" s="807"/>
      <c r="Z76" s="807"/>
      <c r="AA76" s="807"/>
      <c r="AB76" s="807"/>
      <c r="AC76" s="807"/>
      <c r="AD76" s="34"/>
      <c r="AE76" s="811"/>
      <c r="AF76" s="811"/>
      <c r="AG76" s="811"/>
      <c r="AH76" s="811"/>
      <c r="AI76" s="811"/>
      <c r="AJ76" s="811"/>
      <c r="AK76" s="811"/>
      <c r="AL76" s="811"/>
      <c r="AM76" s="811"/>
      <c r="AN76" s="34"/>
    </row>
    <row r="77" spans="1:40" ht="14.25" x14ac:dyDescent="0.2">
      <c r="A77" s="807"/>
      <c r="B77" s="807"/>
      <c r="C77" s="807"/>
      <c r="D77" s="807"/>
      <c r="E77" s="807"/>
      <c r="F77" s="807"/>
      <c r="G77" s="807"/>
      <c r="H77" s="807"/>
      <c r="I77" s="807"/>
      <c r="J77" s="34"/>
      <c r="K77" s="811"/>
      <c r="L77" s="811"/>
      <c r="M77" s="811"/>
      <c r="N77" s="811"/>
      <c r="O77" s="811"/>
      <c r="P77" s="811"/>
      <c r="Q77" s="811"/>
      <c r="R77" s="811"/>
      <c r="S77" s="811"/>
      <c r="T77" s="34"/>
      <c r="U77" s="807"/>
      <c r="V77" s="807"/>
      <c r="W77" s="807"/>
      <c r="X77" s="807"/>
      <c r="Y77" s="807"/>
      <c r="Z77" s="807"/>
      <c r="AA77" s="807"/>
      <c r="AB77" s="807"/>
      <c r="AC77" s="807"/>
      <c r="AD77" s="34"/>
      <c r="AE77" s="811"/>
      <c r="AF77" s="811"/>
      <c r="AG77" s="811"/>
      <c r="AH77" s="811"/>
      <c r="AI77" s="811"/>
      <c r="AJ77" s="811"/>
      <c r="AK77" s="811"/>
      <c r="AL77" s="811"/>
      <c r="AM77" s="811"/>
      <c r="AN77" s="34"/>
    </row>
    <row r="78" spans="1:40" ht="14.25" x14ac:dyDescent="0.2">
      <c r="A78" s="807"/>
      <c r="B78" s="807"/>
      <c r="C78" s="807"/>
      <c r="D78" s="807"/>
      <c r="E78" s="807"/>
      <c r="F78" s="807"/>
      <c r="G78" s="807"/>
      <c r="H78" s="807"/>
      <c r="I78" s="807"/>
      <c r="J78" s="34"/>
      <c r="K78" s="811"/>
      <c r="L78" s="811"/>
      <c r="M78" s="811"/>
      <c r="N78" s="811"/>
      <c r="O78" s="811"/>
      <c r="P78" s="811"/>
      <c r="Q78" s="811"/>
      <c r="R78" s="811"/>
      <c r="S78" s="811"/>
      <c r="T78" s="34"/>
      <c r="U78" s="807"/>
      <c r="V78" s="807"/>
      <c r="W78" s="807"/>
      <c r="X78" s="807"/>
      <c r="Y78" s="807"/>
      <c r="Z78" s="807"/>
      <c r="AA78" s="807"/>
      <c r="AB78" s="807"/>
      <c r="AC78" s="807"/>
      <c r="AD78" s="34"/>
      <c r="AE78" s="811"/>
      <c r="AF78" s="811"/>
      <c r="AG78" s="811"/>
      <c r="AH78" s="811"/>
      <c r="AI78" s="811"/>
      <c r="AJ78" s="811"/>
      <c r="AK78" s="811"/>
      <c r="AL78" s="811"/>
      <c r="AM78" s="811"/>
      <c r="AN78" s="34"/>
    </row>
    <row r="79" spans="1:40" ht="14.25" x14ac:dyDescent="0.2">
      <c r="A79" s="807"/>
      <c r="B79" s="807"/>
      <c r="C79" s="807"/>
      <c r="D79" s="807"/>
      <c r="E79" s="807"/>
      <c r="F79" s="807"/>
      <c r="G79" s="807"/>
      <c r="H79" s="807"/>
      <c r="I79" s="807"/>
      <c r="J79" s="34"/>
      <c r="K79" s="811"/>
      <c r="L79" s="811"/>
      <c r="M79" s="811"/>
      <c r="N79" s="811"/>
      <c r="O79" s="811"/>
      <c r="P79" s="811"/>
      <c r="Q79" s="811"/>
      <c r="R79" s="811"/>
      <c r="S79" s="811"/>
      <c r="T79" s="34"/>
      <c r="U79" s="807"/>
      <c r="V79" s="807"/>
      <c r="W79" s="807"/>
      <c r="X79" s="807"/>
      <c r="Y79" s="807"/>
      <c r="Z79" s="807"/>
      <c r="AA79" s="807"/>
      <c r="AB79" s="807"/>
      <c r="AC79" s="807"/>
      <c r="AD79" s="34"/>
      <c r="AE79" s="811"/>
      <c r="AF79" s="811"/>
      <c r="AG79" s="811"/>
      <c r="AH79" s="811"/>
      <c r="AI79" s="811"/>
      <c r="AJ79" s="811"/>
      <c r="AK79" s="811"/>
      <c r="AL79" s="811"/>
      <c r="AM79" s="811"/>
      <c r="AN79" s="34"/>
    </row>
    <row r="80" spans="1:40" ht="14.25" x14ac:dyDescent="0.2">
      <c r="A80" s="807"/>
      <c r="B80" s="807"/>
      <c r="C80" s="807"/>
      <c r="D80" s="807"/>
      <c r="E80" s="807"/>
      <c r="F80" s="807"/>
      <c r="G80" s="807"/>
      <c r="H80" s="807"/>
      <c r="I80" s="807"/>
      <c r="J80" s="34"/>
      <c r="K80" s="811"/>
      <c r="L80" s="811"/>
      <c r="M80" s="811"/>
      <c r="N80" s="811"/>
      <c r="O80" s="811"/>
      <c r="P80" s="811"/>
      <c r="Q80" s="811"/>
      <c r="R80" s="811"/>
      <c r="S80" s="811"/>
      <c r="T80" s="34"/>
      <c r="U80" s="807"/>
      <c r="V80" s="807"/>
      <c r="W80" s="807"/>
      <c r="X80" s="807"/>
      <c r="Y80" s="807"/>
      <c r="Z80" s="807"/>
      <c r="AA80" s="807"/>
      <c r="AB80" s="807"/>
      <c r="AC80" s="807"/>
      <c r="AD80" s="34"/>
      <c r="AE80" s="811"/>
      <c r="AF80" s="811"/>
      <c r="AG80" s="811"/>
      <c r="AH80" s="811"/>
      <c r="AI80" s="811"/>
      <c r="AJ80" s="811"/>
      <c r="AK80" s="811"/>
      <c r="AL80" s="811"/>
      <c r="AM80" s="811"/>
      <c r="AN80" s="34"/>
    </row>
    <row r="81" spans="1:40" ht="14.25" x14ac:dyDescent="0.2">
      <c r="A81" s="807"/>
      <c r="B81" s="807"/>
      <c r="C81" s="807"/>
      <c r="D81" s="807"/>
      <c r="E81" s="807"/>
      <c r="F81" s="807"/>
      <c r="G81" s="807"/>
      <c r="H81" s="807"/>
      <c r="I81" s="807"/>
      <c r="J81" s="34"/>
      <c r="K81" s="811"/>
      <c r="L81" s="811"/>
      <c r="M81" s="811"/>
      <c r="N81" s="811"/>
      <c r="O81" s="811"/>
      <c r="P81" s="811"/>
      <c r="Q81" s="811"/>
      <c r="R81" s="811"/>
      <c r="S81" s="811"/>
      <c r="T81" s="34"/>
      <c r="U81" s="807"/>
      <c r="V81" s="807"/>
      <c r="W81" s="807"/>
      <c r="X81" s="807"/>
      <c r="Y81" s="807"/>
      <c r="Z81" s="807"/>
      <c r="AA81" s="807"/>
      <c r="AB81" s="807"/>
      <c r="AC81" s="807"/>
      <c r="AD81" s="34"/>
      <c r="AE81" s="811"/>
      <c r="AF81" s="811"/>
      <c r="AG81" s="811"/>
      <c r="AH81" s="811"/>
      <c r="AI81" s="811"/>
      <c r="AJ81" s="811"/>
      <c r="AK81" s="811"/>
      <c r="AL81" s="811"/>
      <c r="AM81" s="811"/>
      <c r="AN81" s="34"/>
    </row>
    <row r="82" spans="1:40" ht="14.25" x14ac:dyDescent="0.2">
      <c r="A82" s="807"/>
      <c r="B82" s="807"/>
      <c r="C82" s="807"/>
      <c r="D82" s="807"/>
      <c r="E82" s="807"/>
      <c r="F82" s="807"/>
      <c r="G82" s="807"/>
      <c r="H82" s="807"/>
      <c r="I82" s="807"/>
      <c r="J82" s="34"/>
      <c r="K82" s="811"/>
      <c r="L82" s="811"/>
      <c r="M82" s="811"/>
      <c r="N82" s="811"/>
      <c r="O82" s="811"/>
      <c r="P82" s="811"/>
      <c r="Q82" s="811"/>
      <c r="R82" s="811"/>
      <c r="S82" s="811"/>
      <c r="T82" s="34"/>
      <c r="U82" s="807"/>
      <c r="V82" s="807"/>
      <c r="W82" s="807"/>
      <c r="X82" s="807"/>
      <c r="Y82" s="807"/>
      <c r="Z82" s="807"/>
      <c r="AA82" s="807"/>
      <c r="AB82" s="807"/>
      <c r="AC82" s="807"/>
      <c r="AD82" s="34"/>
      <c r="AE82" s="811"/>
      <c r="AF82" s="811"/>
      <c r="AG82" s="811"/>
      <c r="AH82" s="811"/>
      <c r="AI82" s="811"/>
      <c r="AJ82" s="811"/>
      <c r="AK82" s="811"/>
      <c r="AL82" s="811"/>
      <c r="AM82" s="811"/>
      <c r="AN82" s="34"/>
    </row>
    <row r="83" spans="1:40" ht="14.25" x14ac:dyDescent="0.2">
      <c r="A83" s="807"/>
      <c r="B83" s="807"/>
      <c r="C83" s="807"/>
      <c r="D83" s="807"/>
      <c r="E83" s="807"/>
      <c r="F83" s="807"/>
      <c r="G83" s="807"/>
      <c r="H83" s="807"/>
      <c r="I83" s="807"/>
      <c r="J83" s="34"/>
      <c r="K83" s="811"/>
      <c r="L83" s="811"/>
      <c r="M83" s="811"/>
      <c r="N83" s="811"/>
      <c r="O83" s="811"/>
      <c r="P83" s="811"/>
      <c r="Q83" s="811"/>
      <c r="R83" s="811"/>
      <c r="S83" s="811"/>
      <c r="T83" s="34"/>
      <c r="U83" s="807"/>
      <c r="V83" s="807"/>
      <c r="W83" s="807"/>
      <c r="X83" s="807"/>
      <c r="Y83" s="807"/>
      <c r="Z83" s="807"/>
      <c r="AA83" s="807"/>
      <c r="AB83" s="807"/>
      <c r="AC83" s="807"/>
      <c r="AD83" s="34"/>
      <c r="AE83" s="811"/>
      <c r="AF83" s="811"/>
      <c r="AG83" s="811"/>
      <c r="AH83" s="811"/>
      <c r="AI83" s="811"/>
      <c r="AJ83" s="811"/>
      <c r="AK83" s="811"/>
      <c r="AL83" s="811"/>
      <c r="AM83" s="811"/>
      <c r="AN83" s="34"/>
    </row>
    <row r="84" spans="1:40" ht="5.85" customHeight="1" x14ac:dyDescent="0.2">
      <c r="A84" s="807"/>
      <c r="B84" s="807"/>
      <c r="C84" s="807"/>
      <c r="D84" s="807"/>
      <c r="E84" s="807"/>
      <c r="F84" s="807"/>
      <c r="G84" s="807"/>
      <c r="H84" s="807"/>
      <c r="I84" s="807"/>
      <c r="J84" s="34"/>
      <c r="K84" s="811"/>
      <c r="L84" s="811"/>
      <c r="M84" s="811"/>
      <c r="N84" s="811"/>
      <c r="O84" s="811"/>
      <c r="P84" s="811"/>
      <c r="Q84" s="811"/>
      <c r="R84" s="811"/>
      <c r="S84" s="811"/>
      <c r="T84" s="34"/>
      <c r="U84" s="807"/>
      <c r="V84" s="807"/>
      <c r="W84" s="807"/>
      <c r="X84" s="807"/>
      <c r="Y84" s="807"/>
      <c r="Z84" s="807"/>
      <c r="AA84" s="807"/>
      <c r="AB84" s="807"/>
      <c r="AC84" s="807"/>
      <c r="AD84" s="34"/>
      <c r="AE84" s="811"/>
      <c r="AF84" s="811"/>
      <c r="AG84" s="811"/>
      <c r="AH84" s="811"/>
      <c r="AI84" s="811"/>
      <c r="AJ84" s="811"/>
      <c r="AK84" s="811"/>
      <c r="AL84" s="811"/>
      <c r="AM84" s="811"/>
      <c r="AN84" s="34"/>
    </row>
    <row r="85" spans="1:40" ht="14.85" customHeight="1" x14ac:dyDescent="0.2">
      <c r="A85" s="807"/>
      <c r="B85" s="807"/>
      <c r="C85" s="807"/>
      <c r="D85" s="807"/>
      <c r="E85" s="807"/>
      <c r="F85" s="807"/>
      <c r="G85" s="807"/>
      <c r="H85" s="807"/>
      <c r="I85" s="807"/>
      <c r="J85" s="34"/>
      <c r="K85" s="811"/>
      <c r="L85" s="811"/>
      <c r="M85" s="811"/>
      <c r="N85" s="811"/>
      <c r="O85" s="811"/>
      <c r="P85" s="811"/>
      <c r="Q85" s="811"/>
      <c r="R85" s="811"/>
      <c r="S85" s="811"/>
      <c r="T85" s="34"/>
      <c r="U85" s="807"/>
      <c r="V85" s="807"/>
      <c r="W85" s="807"/>
      <c r="X85" s="807"/>
      <c r="Y85" s="807"/>
      <c r="Z85" s="807"/>
      <c r="AA85" s="807"/>
      <c r="AB85" s="807"/>
      <c r="AC85" s="807"/>
      <c r="AD85" s="34"/>
      <c r="AE85" s="811"/>
      <c r="AF85" s="811"/>
      <c r="AG85" s="811"/>
      <c r="AH85" s="811"/>
      <c r="AI85" s="811"/>
      <c r="AJ85" s="811"/>
      <c r="AK85" s="811"/>
      <c r="AL85" s="811"/>
      <c r="AM85" s="811"/>
      <c r="AN85" s="34"/>
    </row>
    <row r="86" spans="1:40" ht="6" customHeight="1" x14ac:dyDescent="0.2">
      <c r="A86" s="807"/>
      <c r="B86" s="807"/>
      <c r="C86" s="807"/>
      <c r="D86" s="807"/>
      <c r="E86" s="807"/>
      <c r="F86" s="807"/>
      <c r="G86" s="807"/>
      <c r="H86" s="807"/>
      <c r="I86" s="807"/>
      <c r="J86" s="34"/>
      <c r="K86" s="811"/>
      <c r="L86" s="811"/>
      <c r="M86" s="811"/>
      <c r="N86" s="811"/>
      <c r="O86" s="811"/>
      <c r="P86" s="811"/>
      <c r="Q86" s="811"/>
      <c r="R86" s="811"/>
      <c r="S86" s="811"/>
      <c r="T86" s="34"/>
      <c r="U86" s="807"/>
      <c r="V86" s="807"/>
      <c r="W86" s="807"/>
      <c r="X86" s="807"/>
      <c r="Y86" s="807"/>
      <c r="Z86" s="807"/>
      <c r="AA86" s="807"/>
      <c r="AB86" s="807"/>
      <c r="AC86" s="807"/>
      <c r="AD86" s="34"/>
      <c r="AE86" s="811"/>
      <c r="AF86" s="811"/>
      <c r="AG86" s="811"/>
      <c r="AH86" s="811"/>
      <c r="AI86" s="811"/>
      <c r="AJ86" s="811"/>
      <c r="AK86" s="811"/>
      <c r="AL86" s="811"/>
      <c r="AM86" s="811"/>
      <c r="AN86" s="34"/>
    </row>
    <row r="87" spans="1:40" ht="14.85" customHeight="1" x14ac:dyDescent="0.2">
      <c r="A87" s="807"/>
      <c r="B87" s="807"/>
      <c r="C87" s="807"/>
      <c r="D87" s="807"/>
      <c r="E87" s="807"/>
      <c r="F87" s="807"/>
      <c r="G87" s="807"/>
      <c r="H87" s="807"/>
      <c r="I87" s="807"/>
      <c r="J87" s="34"/>
      <c r="K87" s="811"/>
      <c r="L87" s="811"/>
      <c r="M87" s="811"/>
      <c r="N87" s="811"/>
      <c r="O87" s="811"/>
      <c r="P87" s="811"/>
      <c r="Q87" s="811"/>
      <c r="R87" s="811"/>
      <c r="S87" s="811"/>
      <c r="T87" s="34"/>
      <c r="U87" s="807"/>
      <c r="V87" s="807"/>
      <c r="W87" s="807"/>
      <c r="X87" s="807"/>
      <c r="Y87" s="807"/>
      <c r="Z87" s="807"/>
      <c r="AA87" s="807"/>
      <c r="AB87" s="807"/>
      <c r="AC87" s="807"/>
      <c r="AD87" s="34"/>
      <c r="AE87" s="811"/>
      <c r="AF87" s="811"/>
      <c r="AG87" s="811"/>
      <c r="AH87" s="811"/>
      <c r="AI87" s="811"/>
      <c r="AJ87" s="811"/>
      <c r="AK87" s="811"/>
      <c r="AL87" s="811"/>
      <c r="AM87" s="811"/>
      <c r="AN87" s="34"/>
    </row>
    <row r="88" spans="1:40" ht="14.25" x14ac:dyDescent="0.2">
      <c r="A88" s="807"/>
      <c r="B88" s="807"/>
      <c r="C88" s="807"/>
      <c r="D88" s="807"/>
      <c r="E88" s="807"/>
      <c r="F88" s="807"/>
      <c r="G88" s="807"/>
      <c r="H88" s="807"/>
      <c r="I88" s="807"/>
      <c r="J88" s="34"/>
      <c r="K88" s="811"/>
      <c r="L88" s="811"/>
      <c r="M88" s="811"/>
      <c r="N88" s="811"/>
      <c r="O88" s="811"/>
      <c r="P88" s="811"/>
      <c r="Q88" s="811"/>
      <c r="R88" s="811"/>
      <c r="S88" s="811"/>
      <c r="T88" s="34"/>
      <c r="U88" s="807"/>
      <c r="V88" s="807"/>
      <c r="W88" s="807"/>
      <c r="X88" s="807"/>
      <c r="Y88" s="807"/>
      <c r="Z88" s="807"/>
      <c r="AA88" s="807"/>
      <c r="AB88" s="807"/>
      <c r="AC88" s="807"/>
      <c r="AD88" s="34"/>
      <c r="AE88" s="811"/>
      <c r="AF88" s="811"/>
      <c r="AG88" s="811"/>
      <c r="AH88" s="811"/>
      <c r="AI88" s="811"/>
      <c r="AJ88" s="811"/>
      <c r="AK88" s="811"/>
      <c r="AL88" s="811"/>
      <c r="AM88" s="811"/>
      <c r="AN88" s="34"/>
    </row>
    <row r="89" spans="1:40" ht="14.25" x14ac:dyDescent="0.2">
      <c r="A89" s="807"/>
      <c r="B89" s="807"/>
      <c r="C89" s="807"/>
      <c r="D89" s="807"/>
      <c r="E89" s="807"/>
      <c r="F89" s="807"/>
      <c r="G89" s="807"/>
      <c r="H89" s="807"/>
      <c r="I89" s="807"/>
      <c r="J89" s="34"/>
      <c r="K89" s="811"/>
      <c r="L89" s="811"/>
      <c r="M89" s="811"/>
      <c r="N89" s="811"/>
      <c r="O89" s="811"/>
      <c r="P89" s="811"/>
      <c r="Q89" s="811"/>
      <c r="R89" s="811"/>
      <c r="S89" s="811"/>
      <c r="T89" s="34"/>
      <c r="U89" s="807"/>
      <c r="V89" s="807"/>
      <c r="W89" s="807"/>
      <c r="X89" s="807"/>
      <c r="Y89" s="807"/>
      <c r="Z89" s="807"/>
      <c r="AA89" s="807"/>
      <c r="AB89" s="807"/>
      <c r="AC89" s="807"/>
      <c r="AD89" s="34"/>
      <c r="AE89" s="811"/>
      <c r="AF89" s="811"/>
      <c r="AG89" s="811"/>
      <c r="AH89" s="811"/>
      <c r="AI89" s="811"/>
      <c r="AJ89" s="811"/>
      <c r="AK89" s="811"/>
      <c r="AL89" s="811"/>
      <c r="AM89" s="811"/>
      <c r="AN89" s="34"/>
    </row>
    <row r="90" spans="1:40" ht="14.25" x14ac:dyDescent="0.2">
      <c r="A90" s="807"/>
      <c r="B90" s="807"/>
      <c r="C90" s="807"/>
      <c r="D90" s="807"/>
      <c r="E90" s="807"/>
      <c r="F90" s="807"/>
      <c r="G90" s="807"/>
      <c r="H90" s="807"/>
      <c r="I90" s="807"/>
      <c r="J90" s="34"/>
      <c r="K90" s="811"/>
      <c r="L90" s="811"/>
      <c r="M90" s="811"/>
      <c r="N90" s="811"/>
      <c r="O90" s="811"/>
      <c r="P90" s="811"/>
      <c r="Q90" s="811"/>
      <c r="R90" s="811"/>
      <c r="S90" s="811"/>
      <c r="T90" s="34"/>
      <c r="U90" s="807"/>
      <c r="V90" s="807"/>
      <c r="W90" s="807"/>
      <c r="X90" s="807"/>
      <c r="Y90" s="807"/>
      <c r="Z90" s="807"/>
      <c r="AA90" s="807"/>
      <c r="AB90" s="807"/>
      <c r="AC90" s="807"/>
      <c r="AD90" s="34"/>
      <c r="AE90" s="811"/>
      <c r="AF90" s="811"/>
      <c r="AG90" s="811"/>
      <c r="AH90" s="811"/>
      <c r="AI90" s="811"/>
      <c r="AJ90" s="811"/>
      <c r="AK90" s="811"/>
      <c r="AL90" s="811"/>
      <c r="AM90" s="811"/>
      <c r="AN90" s="34"/>
    </row>
    <row r="91" spans="1:40" ht="14.25" x14ac:dyDescent="0.2">
      <c r="A91" s="807"/>
      <c r="B91" s="807"/>
      <c r="C91" s="807"/>
      <c r="D91" s="807"/>
      <c r="E91" s="807"/>
      <c r="F91" s="807"/>
      <c r="G91" s="807"/>
      <c r="H91" s="807"/>
      <c r="I91" s="807"/>
      <c r="J91" s="34"/>
      <c r="K91" s="811"/>
      <c r="L91" s="811"/>
      <c r="M91" s="811"/>
      <c r="N91" s="811"/>
      <c r="O91" s="811"/>
      <c r="P91" s="811"/>
      <c r="Q91" s="811"/>
      <c r="R91" s="811"/>
      <c r="S91" s="811"/>
      <c r="T91" s="34"/>
      <c r="U91" s="807"/>
      <c r="V91" s="807"/>
      <c r="W91" s="807"/>
      <c r="X91" s="807"/>
      <c r="Y91" s="807"/>
      <c r="Z91" s="807"/>
      <c r="AA91" s="807"/>
      <c r="AB91" s="807"/>
      <c r="AC91" s="807"/>
      <c r="AD91" s="34"/>
      <c r="AE91" s="811"/>
      <c r="AF91" s="811"/>
      <c r="AG91" s="811"/>
      <c r="AH91" s="811"/>
      <c r="AI91" s="811"/>
      <c r="AJ91" s="811"/>
      <c r="AK91" s="811"/>
      <c r="AL91" s="811"/>
      <c r="AM91" s="811"/>
      <c r="AN91" s="34"/>
    </row>
    <row r="92" spans="1:40" ht="14.25" x14ac:dyDescent="0.2">
      <c r="A92" s="807"/>
      <c r="B92" s="807"/>
      <c r="C92" s="807"/>
      <c r="D92" s="807"/>
      <c r="E92" s="807"/>
      <c r="F92" s="807"/>
      <c r="G92" s="807"/>
      <c r="H92" s="807"/>
      <c r="I92" s="807"/>
      <c r="J92" s="34"/>
      <c r="K92" s="811"/>
      <c r="L92" s="811"/>
      <c r="M92" s="811"/>
      <c r="N92" s="811"/>
      <c r="O92" s="811"/>
      <c r="P92" s="811"/>
      <c r="Q92" s="811"/>
      <c r="R92" s="811"/>
      <c r="S92" s="811"/>
      <c r="T92" s="34"/>
      <c r="U92" s="807"/>
      <c r="V92" s="807"/>
      <c r="W92" s="807"/>
      <c r="X92" s="807"/>
      <c r="Y92" s="807"/>
      <c r="Z92" s="807"/>
      <c r="AA92" s="807"/>
      <c r="AB92" s="807"/>
      <c r="AC92" s="807"/>
      <c r="AD92" s="34"/>
      <c r="AE92" s="811"/>
      <c r="AF92" s="811"/>
      <c r="AG92" s="811"/>
      <c r="AH92" s="811"/>
      <c r="AI92" s="811"/>
      <c r="AJ92" s="811"/>
      <c r="AK92" s="811"/>
      <c r="AL92" s="811"/>
      <c r="AM92" s="811"/>
      <c r="AN92" s="34"/>
    </row>
    <row r="93" spans="1:40" ht="14.25" x14ac:dyDescent="0.2">
      <c r="A93" s="807"/>
      <c r="B93" s="807"/>
      <c r="C93" s="807"/>
      <c r="D93" s="807"/>
      <c r="E93" s="807"/>
      <c r="F93" s="807"/>
      <c r="G93" s="807"/>
      <c r="H93" s="807"/>
      <c r="I93" s="807"/>
      <c r="J93" s="34"/>
      <c r="K93" s="811"/>
      <c r="L93" s="811"/>
      <c r="M93" s="811"/>
      <c r="N93" s="811"/>
      <c r="O93" s="811"/>
      <c r="P93" s="811"/>
      <c r="Q93" s="811"/>
      <c r="R93" s="811"/>
      <c r="S93" s="811"/>
      <c r="T93" s="34"/>
      <c r="U93" s="807"/>
      <c r="V93" s="807"/>
      <c r="W93" s="807"/>
      <c r="X93" s="807"/>
      <c r="Y93" s="807"/>
      <c r="Z93" s="807"/>
      <c r="AA93" s="807"/>
      <c r="AB93" s="807"/>
      <c r="AC93" s="807"/>
      <c r="AD93" s="34"/>
      <c r="AE93" s="811"/>
      <c r="AF93" s="811"/>
      <c r="AG93" s="811"/>
      <c r="AH93" s="811"/>
      <c r="AI93" s="811"/>
      <c r="AJ93" s="811"/>
      <c r="AK93" s="811"/>
      <c r="AL93" s="811"/>
      <c r="AM93" s="811"/>
      <c r="AN93" s="34"/>
    </row>
    <row r="94" spans="1:40" ht="14.25" x14ac:dyDescent="0.2">
      <c r="A94" s="807"/>
      <c r="B94" s="807"/>
      <c r="C94" s="807"/>
      <c r="D94" s="807"/>
      <c r="E94" s="807"/>
      <c r="F94" s="807"/>
      <c r="G94" s="807"/>
      <c r="H94" s="807"/>
      <c r="I94" s="807"/>
      <c r="J94" s="34"/>
      <c r="K94" s="811"/>
      <c r="L94" s="811"/>
      <c r="M94" s="811"/>
      <c r="N94" s="811"/>
      <c r="O94" s="811"/>
      <c r="P94" s="811"/>
      <c r="Q94" s="811"/>
      <c r="R94" s="811"/>
      <c r="S94" s="811"/>
      <c r="T94" s="34"/>
      <c r="U94" s="807"/>
      <c r="V94" s="807"/>
      <c r="W94" s="807"/>
      <c r="X94" s="807"/>
      <c r="Y94" s="807"/>
      <c r="Z94" s="807"/>
      <c r="AA94" s="807"/>
      <c r="AB94" s="807"/>
      <c r="AC94" s="807"/>
      <c r="AD94" s="34"/>
      <c r="AE94" s="811"/>
      <c r="AF94" s="811"/>
      <c r="AG94" s="811"/>
      <c r="AH94" s="811"/>
      <c r="AI94" s="811"/>
      <c r="AJ94" s="811"/>
      <c r="AK94" s="811"/>
      <c r="AL94" s="811"/>
      <c r="AM94" s="811"/>
      <c r="AN94" s="34"/>
    </row>
    <row r="95" spans="1:40" ht="14.25" x14ac:dyDescent="0.2">
      <c r="A95" s="807"/>
      <c r="B95" s="807"/>
      <c r="C95" s="807"/>
      <c r="D95" s="807"/>
      <c r="E95" s="807"/>
      <c r="F95" s="807"/>
      <c r="G95" s="807"/>
      <c r="H95" s="807"/>
      <c r="I95" s="807"/>
      <c r="J95" s="34"/>
      <c r="K95" s="811"/>
      <c r="L95" s="811"/>
      <c r="M95" s="811"/>
      <c r="N95" s="811"/>
      <c r="O95" s="811"/>
      <c r="P95" s="811"/>
      <c r="Q95" s="811"/>
      <c r="R95" s="811"/>
      <c r="S95" s="811"/>
      <c r="T95" s="34"/>
      <c r="U95" s="807"/>
      <c r="V95" s="807"/>
      <c r="W95" s="807"/>
      <c r="X95" s="807"/>
      <c r="Y95" s="807"/>
      <c r="Z95" s="807"/>
      <c r="AA95" s="807"/>
      <c r="AB95" s="807"/>
      <c r="AC95" s="807"/>
      <c r="AD95" s="34"/>
      <c r="AE95" s="811"/>
      <c r="AF95" s="811"/>
      <c r="AG95" s="811"/>
      <c r="AH95" s="811"/>
      <c r="AI95" s="811"/>
      <c r="AJ95" s="811"/>
      <c r="AK95" s="811"/>
      <c r="AL95" s="811"/>
      <c r="AM95" s="811"/>
      <c r="AN95" s="34"/>
    </row>
    <row r="96" spans="1:40" ht="14.25" x14ac:dyDescent="0.2">
      <c r="A96" s="807"/>
      <c r="B96" s="807"/>
      <c r="C96" s="807"/>
      <c r="D96" s="807"/>
      <c r="E96" s="807"/>
      <c r="F96" s="807"/>
      <c r="G96" s="807"/>
      <c r="H96" s="807"/>
      <c r="I96" s="807"/>
      <c r="J96" s="34"/>
      <c r="K96" s="811"/>
      <c r="L96" s="811"/>
      <c r="M96" s="811"/>
      <c r="N96" s="811"/>
      <c r="O96" s="811"/>
      <c r="P96" s="811"/>
      <c r="Q96" s="811"/>
      <c r="R96" s="811"/>
      <c r="S96" s="811"/>
      <c r="T96" s="34"/>
      <c r="U96" s="807"/>
      <c r="V96" s="807"/>
      <c r="W96" s="807"/>
      <c r="X96" s="807"/>
      <c r="Y96" s="807"/>
      <c r="Z96" s="807"/>
      <c r="AA96" s="807"/>
      <c r="AB96" s="807"/>
      <c r="AC96" s="807"/>
      <c r="AD96" s="34"/>
      <c r="AE96" s="811"/>
      <c r="AF96" s="811"/>
      <c r="AG96" s="811"/>
      <c r="AH96" s="811"/>
      <c r="AI96" s="811"/>
      <c r="AJ96" s="811"/>
      <c r="AK96" s="811"/>
      <c r="AL96" s="811"/>
      <c r="AM96" s="811"/>
      <c r="AN96" s="34"/>
    </row>
    <row r="97" spans="1:40" ht="14.25" x14ac:dyDescent="0.2">
      <c r="A97" s="807"/>
      <c r="B97" s="807"/>
      <c r="C97" s="807"/>
      <c r="D97" s="807"/>
      <c r="E97" s="807"/>
      <c r="F97" s="807"/>
      <c r="G97" s="807"/>
      <c r="H97" s="807"/>
      <c r="I97" s="807"/>
      <c r="J97" s="34"/>
      <c r="K97" s="811"/>
      <c r="L97" s="811"/>
      <c r="M97" s="811"/>
      <c r="N97" s="811"/>
      <c r="O97" s="811"/>
      <c r="P97" s="811"/>
      <c r="Q97" s="811"/>
      <c r="R97" s="811"/>
      <c r="S97" s="811"/>
      <c r="T97" s="34"/>
      <c r="U97" s="807"/>
      <c r="V97" s="807"/>
      <c r="W97" s="807"/>
      <c r="X97" s="807"/>
      <c r="Y97" s="807"/>
      <c r="Z97" s="807"/>
      <c r="AA97" s="807"/>
      <c r="AB97" s="807"/>
      <c r="AC97" s="807"/>
      <c r="AD97" s="34"/>
      <c r="AE97" s="811"/>
      <c r="AF97" s="811"/>
      <c r="AG97" s="811"/>
      <c r="AH97" s="811"/>
      <c r="AI97" s="811"/>
      <c r="AJ97" s="811"/>
      <c r="AK97" s="811"/>
      <c r="AL97" s="811"/>
      <c r="AM97" s="811"/>
      <c r="AN97" s="34"/>
    </row>
    <row r="98" spans="1:40" ht="14.25" x14ac:dyDescent="0.2">
      <c r="A98" s="807"/>
      <c r="B98" s="807"/>
      <c r="C98" s="807"/>
      <c r="D98" s="807"/>
      <c r="E98" s="807"/>
      <c r="F98" s="807"/>
      <c r="G98" s="807"/>
      <c r="H98" s="807"/>
      <c r="I98" s="807"/>
      <c r="J98" s="34"/>
      <c r="K98" s="811"/>
      <c r="L98" s="811"/>
      <c r="M98" s="811"/>
      <c r="N98" s="811"/>
      <c r="O98" s="811"/>
      <c r="P98" s="811"/>
      <c r="Q98" s="811"/>
      <c r="R98" s="811"/>
      <c r="S98" s="811"/>
      <c r="T98" s="34"/>
      <c r="U98" s="807"/>
      <c r="V98" s="807"/>
      <c r="W98" s="807"/>
      <c r="X98" s="807"/>
      <c r="Y98" s="807"/>
      <c r="Z98" s="807"/>
      <c r="AA98" s="807"/>
      <c r="AB98" s="807"/>
      <c r="AC98" s="807"/>
      <c r="AD98" s="34"/>
      <c r="AE98" s="811"/>
      <c r="AF98" s="811"/>
      <c r="AG98" s="811"/>
      <c r="AH98" s="811"/>
      <c r="AI98" s="811"/>
      <c r="AJ98" s="811"/>
      <c r="AK98" s="811"/>
      <c r="AL98" s="811"/>
      <c r="AM98" s="811"/>
      <c r="AN98" s="34"/>
    </row>
    <row r="99" spans="1:40" ht="14.25" x14ac:dyDescent="0.2">
      <c r="A99" s="807"/>
      <c r="B99" s="807"/>
      <c r="C99" s="807"/>
      <c r="D99" s="807"/>
      <c r="E99" s="807"/>
      <c r="F99" s="807"/>
      <c r="G99" s="807"/>
      <c r="H99" s="807"/>
      <c r="I99" s="807"/>
      <c r="J99" s="34"/>
      <c r="K99" s="811"/>
      <c r="L99" s="811"/>
      <c r="M99" s="811"/>
      <c r="N99" s="811"/>
      <c r="O99" s="811"/>
      <c r="P99" s="811"/>
      <c r="Q99" s="811"/>
      <c r="R99" s="811"/>
      <c r="S99" s="811"/>
      <c r="T99" s="34"/>
      <c r="U99" s="807"/>
      <c r="V99" s="807"/>
      <c r="W99" s="807"/>
      <c r="X99" s="807"/>
      <c r="Y99" s="807"/>
      <c r="Z99" s="807"/>
      <c r="AA99" s="807"/>
      <c r="AB99" s="807"/>
      <c r="AC99" s="807"/>
      <c r="AD99" s="34"/>
      <c r="AE99" s="811"/>
      <c r="AF99" s="811"/>
      <c r="AG99" s="811"/>
      <c r="AH99" s="811"/>
      <c r="AI99" s="811"/>
      <c r="AJ99" s="811"/>
      <c r="AK99" s="811"/>
      <c r="AL99" s="811"/>
      <c r="AM99" s="811"/>
      <c r="AN99" s="34"/>
    </row>
    <row r="100" spans="1:40" ht="14.25" x14ac:dyDescent="0.2">
      <c r="A100" s="807"/>
      <c r="B100" s="807"/>
      <c r="C100" s="807"/>
      <c r="D100" s="807"/>
      <c r="E100" s="807"/>
      <c r="F100" s="807"/>
      <c r="G100" s="807"/>
      <c r="H100" s="807"/>
      <c r="I100" s="807"/>
      <c r="J100" s="34"/>
      <c r="K100" s="811"/>
      <c r="L100" s="811"/>
      <c r="M100" s="811"/>
      <c r="N100" s="811"/>
      <c r="O100" s="811"/>
      <c r="P100" s="811"/>
      <c r="Q100" s="811"/>
      <c r="R100" s="811"/>
      <c r="S100" s="811"/>
      <c r="T100" s="34"/>
      <c r="U100" s="807"/>
      <c r="V100" s="807"/>
      <c r="W100" s="807"/>
      <c r="X100" s="807"/>
      <c r="Y100" s="807"/>
      <c r="Z100" s="807"/>
      <c r="AA100" s="807"/>
      <c r="AB100" s="807"/>
      <c r="AC100" s="807"/>
      <c r="AD100" s="34"/>
      <c r="AE100" s="811"/>
      <c r="AF100" s="811"/>
      <c r="AG100" s="811"/>
      <c r="AH100" s="811"/>
      <c r="AI100" s="811"/>
      <c r="AJ100" s="811"/>
      <c r="AK100" s="811"/>
      <c r="AL100" s="811"/>
      <c r="AM100" s="811"/>
      <c r="AN100" s="34"/>
    </row>
    <row r="101" spans="1:40" ht="14.25" x14ac:dyDescent="0.2">
      <c r="A101" s="807"/>
      <c r="B101" s="807"/>
      <c r="C101" s="807"/>
      <c r="D101" s="807"/>
      <c r="E101" s="807"/>
      <c r="F101" s="807"/>
      <c r="G101" s="807"/>
      <c r="H101" s="807"/>
      <c r="I101" s="807"/>
      <c r="J101" s="34"/>
      <c r="K101" s="811"/>
      <c r="L101" s="811"/>
      <c r="M101" s="811"/>
      <c r="N101" s="811"/>
      <c r="O101" s="811"/>
      <c r="P101" s="811"/>
      <c r="Q101" s="811"/>
      <c r="R101" s="811"/>
      <c r="S101" s="811"/>
      <c r="T101" s="34"/>
      <c r="U101" s="807"/>
      <c r="V101" s="807"/>
      <c r="W101" s="807"/>
      <c r="X101" s="807"/>
      <c r="Y101" s="807"/>
      <c r="Z101" s="807"/>
      <c r="AA101" s="807"/>
      <c r="AB101" s="807"/>
      <c r="AC101" s="807"/>
      <c r="AD101" s="34"/>
      <c r="AE101" s="811"/>
      <c r="AF101" s="811"/>
      <c r="AG101" s="811"/>
      <c r="AH101" s="811"/>
      <c r="AI101" s="811"/>
      <c r="AJ101" s="811"/>
      <c r="AK101" s="811"/>
      <c r="AL101" s="811"/>
      <c r="AM101" s="811"/>
      <c r="AN101" s="34"/>
    </row>
    <row r="102" spans="1:40" ht="14.25" x14ac:dyDescent="0.2">
      <c r="A102" s="807"/>
      <c r="B102" s="807"/>
      <c r="C102" s="807"/>
      <c r="D102" s="807"/>
      <c r="E102" s="807"/>
      <c r="F102" s="807"/>
      <c r="G102" s="807"/>
      <c r="H102" s="807"/>
      <c r="I102" s="807"/>
      <c r="J102" s="34"/>
      <c r="K102" s="811"/>
      <c r="L102" s="811"/>
      <c r="M102" s="811"/>
      <c r="N102" s="811"/>
      <c r="O102" s="811"/>
      <c r="P102" s="811"/>
      <c r="Q102" s="811"/>
      <c r="R102" s="811"/>
      <c r="S102" s="811"/>
      <c r="T102" s="34"/>
      <c r="U102" s="807"/>
      <c r="V102" s="807"/>
      <c r="W102" s="807"/>
      <c r="X102" s="807"/>
      <c r="Y102" s="807"/>
      <c r="Z102" s="807"/>
      <c r="AA102" s="807"/>
      <c r="AB102" s="807"/>
      <c r="AC102" s="807"/>
      <c r="AD102" s="34"/>
      <c r="AE102" s="811"/>
      <c r="AF102" s="811"/>
      <c r="AG102" s="811"/>
      <c r="AH102" s="811"/>
      <c r="AI102" s="811"/>
      <c r="AJ102" s="811"/>
      <c r="AK102" s="811"/>
      <c r="AL102" s="811"/>
      <c r="AM102" s="811"/>
      <c r="AN102" s="34"/>
    </row>
    <row r="103" spans="1:40" ht="14.25" x14ac:dyDescent="0.2">
      <c r="A103" s="807"/>
      <c r="B103" s="807"/>
      <c r="C103" s="807"/>
      <c r="D103" s="807"/>
      <c r="E103" s="807"/>
      <c r="F103" s="807"/>
      <c r="G103" s="807"/>
      <c r="H103" s="807"/>
      <c r="I103" s="807"/>
      <c r="J103" s="34"/>
      <c r="K103" s="811"/>
      <c r="L103" s="811"/>
      <c r="M103" s="811"/>
      <c r="N103" s="811"/>
      <c r="O103" s="811"/>
      <c r="P103" s="811"/>
      <c r="Q103" s="811"/>
      <c r="R103" s="811"/>
      <c r="S103" s="811"/>
      <c r="T103" s="34"/>
      <c r="U103" s="807"/>
      <c r="V103" s="807"/>
      <c r="W103" s="807"/>
      <c r="X103" s="807"/>
      <c r="Y103" s="807"/>
      <c r="Z103" s="807"/>
      <c r="AA103" s="807"/>
      <c r="AB103" s="807"/>
      <c r="AC103" s="807"/>
      <c r="AD103" s="34"/>
      <c r="AE103" s="811"/>
      <c r="AF103" s="811"/>
      <c r="AG103" s="811"/>
      <c r="AH103" s="811"/>
      <c r="AI103" s="811"/>
      <c r="AJ103" s="811"/>
      <c r="AK103" s="811"/>
      <c r="AL103" s="811"/>
      <c r="AM103" s="811"/>
      <c r="AN103" s="34"/>
    </row>
    <row r="104" spans="1:40" ht="14.25" x14ac:dyDescent="0.2">
      <c r="A104" s="807"/>
      <c r="B104" s="807"/>
      <c r="C104" s="807"/>
      <c r="D104" s="807"/>
      <c r="E104" s="807"/>
      <c r="F104" s="807"/>
      <c r="G104" s="807"/>
      <c r="H104" s="807"/>
      <c r="I104" s="807"/>
      <c r="J104" s="34"/>
      <c r="K104" s="811"/>
      <c r="L104" s="811"/>
      <c r="M104" s="811"/>
      <c r="N104" s="811"/>
      <c r="O104" s="811"/>
      <c r="P104" s="811"/>
      <c r="Q104" s="811"/>
      <c r="R104" s="811"/>
      <c r="S104" s="811"/>
      <c r="T104" s="34"/>
      <c r="U104" s="807"/>
      <c r="V104" s="807"/>
      <c r="W104" s="807"/>
      <c r="X104" s="807"/>
      <c r="Y104" s="807"/>
      <c r="Z104" s="807"/>
      <c r="AA104" s="807"/>
      <c r="AB104" s="807"/>
      <c r="AC104" s="807"/>
      <c r="AD104" s="34"/>
      <c r="AE104" s="811"/>
      <c r="AF104" s="811"/>
      <c r="AG104" s="811"/>
      <c r="AH104" s="811"/>
      <c r="AI104" s="811"/>
      <c r="AJ104" s="811"/>
      <c r="AK104" s="811"/>
      <c r="AL104" s="811"/>
      <c r="AM104" s="811"/>
      <c r="AN104" s="34"/>
    </row>
    <row r="105" spans="1:40" ht="14.25" x14ac:dyDescent="0.2">
      <c r="A105" s="807"/>
      <c r="B105" s="807"/>
      <c r="C105" s="807"/>
      <c r="D105" s="807"/>
      <c r="E105" s="807"/>
      <c r="F105" s="807"/>
      <c r="G105" s="807"/>
      <c r="H105" s="807"/>
      <c r="I105" s="807"/>
      <c r="J105" s="34"/>
      <c r="K105" s="811"/>
      <c r="L105" s="811"/>
      <c r="M105" s="811"/>
      <c r="N105" s="811"/>
      <c r="O105" s="811"/>
      <c r="P105" s="811"/>
      <c r="Q105" s="811"/>
      <c r="R105" s="811"/>
      <c r="S105" s="811"/>
      <c r="T105" s="34"/>
      <c r="U105" s="807"/>
      <c r="V105" s="807"/>
      <c r="W105" s="807"/>
      <c r="X105" s="807"/>
      <c r="Y105" s="807"/>
      <c r="Z105" s="807"/>
      <c r="AA105" s="807"/>
      <c r="AB105" s="807"/>
      <c r="AC105" s="807"/>
      <c r="AD105" s="34"/>
      <c r="AE105" s="811"/>
      <c r="AF105" s="811"/>
      <c r="AG105" s="811"/>
      <c r="AH105" s="811"/>
      <c r="AI105" s="811"/>
      <c r="AJ105" s="811"/>
      <c r="AK105" s="811"/>
      <c r="AL105" s="811"/>
      <c r="AM105" s="811"/>
      <c r="AN105" s="34"/>
    </row>
    <row r="106" spans="1:40" ht="14.25" x14ac:dyDescent="0.2">
      <c r="A106" s="807"/>
      <c r="B106" s="807"/>
      <c r="C106" s="807"/>
      <c r="D106" s="807"/>
      <c r="E106" s="807"/>
      <c r="F106" s="807"/>
      <c r="G106" s="807"/>
      <c r="H106" s="807"/>
      <c r="I106" s="807"/>
      <c r="J106" s="34"/>
      <c r="K106" s="811"/>
      <c r="L106" s="811"/>
      <c r="M106" s="811"/>
      <c r="N106" s="811"/>
      <c r="O106" s="811"/>
      <c r="P106" s="811"/>
      <c r="Q106" s="811"/>
      <c r="R106" s="811"/>
      <c r="S106" s="811"/>
      <c r="T106" s="34"/>
      <c r="U106" s="807"/>
      <c r="V106" s="807"/>
      <c r="W106" s="807"/>
      <c r="X106" s="807"/>
      <c r="Y106" s="807"/>
      <c r="Z106" s="807"/>
      <c r="AA106" s="807"/>
      <c r="AB106" s="807"/>
      <c r="AC106" s="807"/>
      <c r="AD106" s="34"/>
      <c r="AE106" s="811"/>
      <c r="AF106" s="811"/>
      <c r="AG106" s="811"/>
      <c r="AH106" s="811"/>
      <c r="AI106" s="811"/>
      <c r="AJ106" s="811"/>
      <c r="AK106" s="811"/>
      <c r="AL106" s="811"/>
      <c r="AM106" s="811"/>
      <c r="AN106" s="34"/>
    </row>
    <row r="107" spans="1:40" ht="14.25" x14ac:dyDescent="0.2">
      <c r="A107" s="807"/>
      <c r="B107" s="807"/>
      <c r="C107" s="807"/>
      <c r="D107" s="807"/>
      <c r="E107" s="807"/>
      <c r="F107" s="807"/>
      <c r="G107" s="807"/>
      <c r="H107" s="807"/>
      <c r="I107" s="807"/>
      <c r="J107" s="34"/>
      <c r="K107" s="811"/>
      <c r="L107" s="811"/>
      <c r="M107" s="811"/>
      <c r="N107" s="811"/>
      <c r="O107" s="811"/>
      <c r="P107" s="811"/>
      <c r="Q107" s="811"/>
      <c r="R107" s="811"/>
      <c r="S107" s="811"/>
      <c r="T107" s="34"/>
      <c r="U107" s="807"/>
      <c r="V107" s="807"/>
      <c r="W107" s="807"/>
      <c r="X107" s="807"/>
      <c r="Y107" s="807"/>
      <c r="Z107" s="807"/>
      <c r="AA107" s="807"/>
      <c r="AB107" s="807"/>
      <c r="AC107" s="807"/>
      <c r="AD107" s="34"/>
      <c r="AE107" s="811"/>
      <c r="AF107" s="811"/>
      <c r="AG107" s="811"/>
      <c r="AH107" s="811"/>
      <c r="AI107" s="811"/>
      <c r="AJ107" s="811"/>
      <c r="AK107" s="811"/>
      <c r="AL107" s="811"/>
      <c r="AM107" s="811"/>
      <c r="AN107" s="34"/>
    </row>
    <row r="108" spans="1:40" ht="14.25" x14ac:dyDescent="0.2">
      <c r="A108" s="807"/>
      <c r="B108" s="807"/>
      <c r="C108" s="807"/>
      <c r="D108" s="807"/>
      <c r="E108" s="807"/>
      <c r="F108" s="807"/>
      <c r="G108" s="807"/>
      <c r="H108" s="807"/>
      <c r="I108" s="807"/>
      <c r="J108" s="34"/>
      <c r="K108" s="811"/>
      <c r="L108" s="811"/>
      <c r="M108" s="811"/>
      <c r="N108" s="811"/>
      <c r="O108" s="811"/>
      <c r="P108" s="811"/>
      <c r="Q108" s="811"/>
      <c r="R108" s="811"/>
      <c r="S108" s="811"/>
      <c r="T108" s="34"/>
      <c r="U108" s="807"/>
      <c r="V108" s="807"/>
      <c r="W108" s="807"/>
      <c r="X108" s="807"/>
      <c r="Y108" s="807"/>
      <c r="Z108" s="807"/>
      <c r="AA108" s="807"/>
      <c r="AB108" s="807"/>
      <c r="AC108" s="807"/>
      <c r="AD108" s="34"/>
      <c r="AE108" s="811"/>
      <c r="AF108" s="811"/>
      <c r="AG108" s="811"/>
      <c r="AH108" s="811"/>
      <c r="AI108" s="811"/>
      <c r="AJ108" s="811"/>
      <c r="AK108" s="811"/>
      <c r="AL108" s="811"/>
      <c r="AM108" s="811"/>
      <c r="AN108" s="34"/>
    </row>
    <row r="109" spans="1:40" ht="14.25" x14ac:dyDescent="0.2">
      <c r="A109" s="807"/>
      <c r="B109" s="807"/>
      <c r="C109" s="807"/>
      <c r="D109" s="807"/>
      <c r="E109" s="807"/>
      <c r="F109" s="807"/>
      <c r="G109" s="807"/>
      <c r="H109" s="807"/>
      <c r="I109" s="807"/>
      <c r="J109" s="34"/>
      <c r="K109" s="811"/>
      <c r="L109" s="811"/>
      <c r="M109" s="811"/>
      <c r="N109" s="811"/>
      <c r="O109" s="811"/>
      <c r="P109" s="811"/>
      <c r="Q109" s="811"/>
      <c r="R109" s="811"/>
      <c r="S109" s="811"/>
      <c r="T109" s="34"/>
      <c r="U109" s="807"/>
      <c r="V109" s="807"/>
      <c r="W109" s="807"/>
      <c r="X109" s="807"/>
      <c r="Y109" s="807"/>
      <c r="Z109" s="807"/>
      <c r="AA109" s="807"/>
      <c r="AB109" s="807"/>
      <c r="AC109" s="807"/>
      <c r="AD109" s="34"/>
      <c r="AE109" s="811"/>
      <c r="AF109" s="811"/>
      <c r="AG109" s="811"/>
      <c r="AH109" s="811"/>
      <c r="AI109" s="811"/>
      <c r="AJ109" s="811"/>
      <c r="AK109" s="811"/>
      <c r="AL109" s="811"/>
      <c r="AM109" s="811"/>
      <c r="AN109" s="34"/>
    </row>
    <row r="110" spans="1:40" ht="14.25" x14ac:dyDescent="0.2">
      <c r="A110" s="807"/>
      <c r="B110" s="807"/>
      <c r="C110" s="807"/>
      <c r="D110" s="807"/>
      <c r="E110" s="807"/>
      <c r="F110" s="807"/>
      <c r="G110" s="807"/>
      <c r="H110" s="807"/>
      <c r="I110" s="807"/>
      <c r="J110" s="34"/>
      <c r="K110" s="811"/>
      <c r="L110" s="811"/>
      <c r="M110" s="811"/>
      <c r="N110" s="811"/>
      <c r="O110" s="811"/>
      <c r="P110" s="811"/>
      <c r="Q110" s="811"/>
      <c r="R110" s="811"/>
      <c r="S110" s="811"/>
      <c r="T110" s="34"/>
      <c r="U110" s="807"/>
      <c r="V110" s="807"/>
      <c r="W110" s="807"/>
      <c r="X110" s="807"/>
      <c r="Y110" s="807"/>
      <c r="Z110" s="807"/>
      <c r="AA110" s="807"/>
      <c r="AB110" s="807"/>
      <c r="AC110" s="807"/>
      <c r="AD110" s="34"/>
      <c r="AE110" s="811"/>
      <c r="AF110" s="811"/>
      <c r="AG110" s="811"/>
      <c r="AH110" s="811"/>
      <c r="AI110" s="811"/>
      <c r="AJ110" s="811"/>
      <c r="AK110" s="811"/>
      <c r="AL110" s="811"/>
      <c r="AM110" s="811"/>
      <c r="AN110" s="34"/>
    </row>
    <row r="111" spans="1:40" ht="14.25" x14ac:dyDescent="0.2">
      <c r="A111" s="807"/>
      <c r="B111" s="807"/>
      <c r="C111" s="807"/>
      <c r="D111" s="807"/>
      <c r="E111" s="807"/>
      <c r="F111" s="807"/>
      <c r="G111" s="807"/>
      <c r="H111" s="807"/>
      <c r="I111" s="807"/>
      <c r="J111" s="34"/>
      <c r="K111" s="811"/>
      <c r="L111" s="811"/>
      <c r="M111" s="811"/>
      <c r="N111" s="811"/>
      <c r="O111" s="811"/>
      <c r="P111" s="811"/>
      <c r="Q111" s="811"/>
      <c r="R111" s="811"/>
      <c r="S111" s="811"/>
      <c r="T111" s="34"/>
      <c r="U111" s="807"/>
      <c r="V111" s="807"/>
      <c r="W111" s="807"/>
      <c r="X111" s="807"/>
      <c r="Y111" s="807"/>
      <c r="Z111" s="807"/>
      <c r="AA111" s="807"/>
      <c r="AB111" s="807"/>
      <c r="AC111" s="807"/>
      <c r="AD111" s="34"/>
      <c r="AE111" s="811"/>
      <c r="AF111" s="811"/>
      <c r="AG111" s="811"/>
      <c r="AH111" s="811"/>
      <c r="AI111" s="811"/>
      <c r="AJ111" s="811"/>
      <c r="AK111" s="811"/>
      <c r="AL111" s="811"/>
      <c r="AM111" s="811"/>
      <c r="AN111" s="34"/>
    </row>
    <row r="112" spans="1:40" ht="14.25" x14ac:dyDescent="0.2">
      <c r="A112" s="807"/>
      <c r="B112" s="807"/>
      <c r="C112" s="807"/>
      <c r="D112" s="807"/>
      <c r="E112" s="807"/>
      <c r="F112" s="807"/>
      <c r="G112" s="807"/>
      <c r="H112" s="807"/>
      <c r="I112" s="807"/>
      <c r="J112" s="34"/>
      <c r="K112" s="811"/>
      <c r="L112" s="811"/>
      <c r="M112" s="811"/>
      <c r="N112" s="811"/>
      <c r="O112" s="811"/>
      <c r="P112" s="811"/>
      <c r="Q112" s="811"/>
      <c r="R112" s="811"/>
      <c r="S112" s="811"/>
      <c r="T112" s="34"/>
      <c r="U112" s="807"/>
      <c r="V112" s="807"/>
      <c r="W112" s="807"/>
      <c r="X112" s="807"/>
      <c r="Y112" s="807"/>
      <c r="Z112" s="807"/>
      <c r="AA112" s="807"/>
      <c r="AB112" s="807"/>
      <c r="AC112" s="807"/>
      <c r="AD112" s="34"/>
      <c r="AE112" s="811"/>
      <c r="AF112" s="811"/>
      <c r="AG112" s="811"/>
      <c r="AH112" s="811"/>
      <c r="AI112" s="811"/>
      <c r="AJ112" s="811"/>
      <c r="AK112" s="811"/>
      <c r="AL112" s="811"/>
      <c r="AM112" s="811"/>
      <c r="AN112" s="34"/>
    </row>
    <row r="113" spans="1:40" ht="14.25" x14ac:dyDescent="0.2">
      <c r="A113" s="807"/>
      <c r="B113" s="807"/>
      <c r="C113" s="807"/>
      <c r="D113" s="807"/>
      <c r="E113" s="807"/>
      <c r="F113" s="807"/>
      <c r="G113" s="807"/>
      <c r="H113" s="807"/>
      <c r="I113" s="807"/>
      <c r="J113" s="34"/>
      <c r="K113" s="811"/>
      <c r="L113" s="811"/>
      <c r="M113" s="811"/>
      <c r="N113" s="811"/>
      <c r="O113" s="811"/>
      <c r="P113" s="811"/>
      <c r="Q113" s="811"/>
      <c r="R113" s="811"/>
      <c r="S113" s="811"/>
      <c r="T113" s="34"/>
      <c r="U113" s="807"/>
      <c r="V113" s="807"/>
      <c r="W113" s="807"/>
      <c r="X113" s="807"/>
      <c r="Y113" s="807"/>
      <c r="Z113" s="807"/>
      <c r="AA113" s="807"/>
      <c r="AB113" s="807"/>
      <c r="AC113" s="807"/>
      <c r="AD113" s="34"/>
      <c r="AE113" s="811"/>
      <c r="AF113" s="811"/>
      <c r="AG113" s="811"/>
      <c r="AH113" s="811"/>
      <c r="AI113" s="811"/>
      <c r="AJ113" s="811"/>
      <c r="AK113" s="811"/>
      <c r="AL113" s="811"/>
      <c r="AM113" s="811"/>
      <c r="AN113" s="34"/>
    </row>
    <row r="114" spans="1:40" ht="14.25" x14ac:dyDescent="0.2">
      <c r="A114" s="807"/>
      <c r="B114" s="807"/>
      <c r="C114" s="807"/>
      <c r="D114" s="807"/>
      <c r="E114" s="807"/>
      <c r="F114" s="807"/>
      <c r="G114" s="807"/>
      <c r="H114" s="807"/>
      <c r="I114" s="807"/>
      <c r="J114" s="34"/>
      <c r="K114" s="811"/>
      <c r="L114" s="811"/>
      <c r="M114" s="811"/>
      <c r="N114" s="811"/>
      <c r="O114" s="811"/>
      <c r="P114" s="811"/>
      <c r="Q114" s="811"/>
      <c r="R114" s="811"/>
      <c r="S114" s="811"/>
      <c r="T114" s="34"/>
      <c r="U114" s="807"/>
      <c r="V114" s="807"/>
      <c r="W114" s="807"/>
      <c r="X114" s="807"/>
      <c r="Y114" s="807"/>
      <c r="Z114" s="807"/>
      <c r="AA114" s="807"/>
      <c r="AB114" s="807"/>
      <c r="AC114" s="807"/>
      <c r="AD114" s="34"/>
      <c r="AE114" s="811"/>
      <c r="AF114" s="811"/>
      <c r="AG114" s="811"/>
      <c r="AH114" s="811"/>
      <c r="AI114" s="811"/>
      <c r="AJ114" s="811"/>
      <c r="AK114" s="811"/>
      <c r="AL114" s="811"/>
      <c r="AM114" s="811"/>
      <c r="AN114" s="34"/>
    </row>
    <row r="115" spans="1:40" ht="14.25" x14ac:dyDescent="0.2">
      <c r="A115" s="807"/>
      <c r="B115" s="807"/>
      <c r="C115" s="807"/>
      <c r="D115" s="807"/>
      <c r="E115" s="807"/>
      <c r="F115" s="807"/>
      <c r="G115" s="807"/>
      <c r="H115" s="807"/>
      <c r="I115" s="807"/>
      <c r="J115" s="34"/>
      <c r="K115" s="811"/>
      <c r="L115" s="811"/>
      <c r="M115" s="811"/>
      <c r="N115" s="811"/>
      <c r="O115" s="811"/>
      <c r="P115" s="811"/>
      <c r="Q115" s="811"/>
      <c r="R115" s="811"/>
      <c r="S115" s="811"/>
      <c r="T115" s="34"/>
      <c r="U115" s="807"/>
      <c r="V115" s="807"/>
      <c r="W115" s="807"/>
      <c r="X115" s="807"/>
      <c r="Y115" s="807"/>
      <c r="Z115" s="807"/>
      <c r="AA115" s="807"/>
      <c r="AB115" s="807"/>
      <c r="AC115" s="807"/>
      <c r="AD115" s="34"/>
      <c r="AE115" s="811"/>
      <c r="AF115" s="811"/>
      <c r="AG115" s="811"/>
      <c r="AH115" s="811"/>
      <c r="AI115" s="811"/>
      <c r="AJ115" s="811"/>
      <c r="AK115" s="811"/>
      <c r="AL115" s="811"/>
      <c r="AM115" s="811"/>
      <c r="AN115" s="34"/>
    </row>
    <row r="116" spans="1:40" ht="14.25" x14ac:dyDescent="0.2">
      <c r="A116" s="807"/>
      <c r="B116" s="807"/>
      <c r="C116" s="807"/>
      <c r="D116" s="807"/>
      <c r="E116" s="807"/>
      <c r="F116" s="807"/>
      <c r="G116" s="807"/>
      <c r="H116" s="807"/>
      <c r="I116" s="807"/>
      <c r="J116" s="34"/>
      <c r="K116" s="811"/>
      <c r="L116" s="811"/>
      <c r="M116" s="811"/>
      <c r="N116" s="811"/>
      <c r="O116" s="811"/>
      <c r="P116" s="811"/>
      <c r="Q116" s="811"/>
      <c r="R116" s="811"/>
      <c r="S116" s="811"/>
      <c r="T116" s="34"/>
      <c r="U116" s="807"/>
      <c r="V116" s="807"/>
      <c r="W116" s="807"/>
      <c r="X116" s="807"/>
      <c r="Y116" s="807"/>
      <c r="Z116" s="807"/>
      <c r="AA116" s="807"/>
      <c r="AB116" s="807"/>
      <c r="AC116" s="807"/>
      <c r="AD116" s="34"/>
      <c r="AE116" s="811"/>
      <c r="AF116" s="811"/>
      <c r="AG116" s="811"/>
      <c r="AH116" s="811"/>
      <c r="AI116" s="811"/>
      <c r="AJ116" s="811"/>
      <c r="AK116" s="811"/>
      <c r="AL116" s="811"/>
      <c r="AM116" s="811"/>
      <c r="AN116" s="34"/>
    </row>
    <row r="117" spans="1:40" ht="14.25" x14ac:dyDescent="0.2">
      <c r="A117" s="807"/>
      <c r="B117" s="807"/>
      <c r="C117" s="807"/>
      <c r="D117" s="807"/>
      <c r="E117" s="807"/>
      <c r="F117" s="807"/>
      <c r="G117" s="807"/>
      <c r="H117" s="807"/>
      <c r="I117" s="807"/>
      <c r="J117" s="34"/>
      <c r="K117" s="811"/>
      <c r="L117" s="811"/>
      <c r="M117" s="811"/>
      <c r="N117" s="811"/>
      <c r="O117" s="811"/>
      <c r="P117" s="811"/>
      <c r="Q117" s="811"/>
      <c r="R117" s="811"/>
      <c r="S117" s="811"/>
      <c r="T117" s="34"/>
      <c r="U117" s="807"/>
      <c r="V117" s="807"/>
      <c r="W117" s="807"/>
      <c r="X117" s="807"/>
      <c r="Y117" s="807"/>
      <c r="Z117" s="807"/>
      <c r="AA117" s="807"/>
      <c r="AB117" s="807"/>
      <c r="AC117" s="807"/>
      <c r="AD117" s="34"/>
      <c r="AE117" s="811"/>
      <c r="AF117" s="811"/>
      <c r="AG117" s="811"/>
      <c r="AH117" s="811"/>
      <c r="AI117" s="811"/>
      <c r="AJ117" s="811"/>
      <c r="AK117" s="811"/>
      <c r="AL117" s="811"/>
      <c r="AM117" s="811"/>
      <c r="AN117" s="34"/>
    </row>
    <row r="118" spans="1:40" ht="6" customHeight="1" x14ac:dyDescent="0.2">
      <c r="A118" s="31"/>
      <c r="B118" s="31"/>
      <c r="C118" s="31"/>
      <c r="D118" s="31"/>
      <c r="E118" s="31"/>
      <c r="F118" s="31"/>
      <c r="G118" s="31"/>
      <c r="H118" s="31"/>
      <c r="I118" s="31"/>
      <c r="U118" s="31"/>
      <c r="V118" s="31"/>
      <c r="W118" s="31"/>
      <c r="X118" s="31"/>
      <c r="Y118" s="31"/>
      <c r="Z118" s="31"/>
      <c r="AA118" s="31"/>
      <c r="AB118" s="31"/>
      <c r="AC118" s="31"/>
    </row>
  </sheetData>
  <mergeCells count="17">
    <mergeCell ref="A59:I59"/>
    <mergeCell ref="K59:S59"/>
    <mergeCell ref="U59:AC59"/>
    <mergeCell ref="AE59:AM59"/>
    <mergeCell ref="A61:I117"/>
    <mergeCell ref="K61:S117"/>
    <mergeCell ref="U61:AC117"/>
    <mergeCell ref="AE61:AM117"/>
    <mergeCell ref="A5:I57"/>
    <mergeCell ref="K5:S57"/>
    <mergeCell ref="U5:AC57"/>
    <mergeCell ref="AE5:AM57"/>
    <mergeCell ref="A1:E1"/>
    <mergeCell ref="A3:I3"/>
    <mergeCell ref="K3:S3"/>
    <mergeCell ref="U3:AC3"/>
    <mergeCell ref="AE3:AM3"/>
  </mergeCells>
  <pageMargins left="0.7" right="0.7" top="0.75" bottom="0.75" header="0.3" footer="0.3"/>
  <pageSetup orientation="portrait" horizontalDpi="90" verticalDpi="9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4A408-3A96-45E0-B27C-8A2072096DA4}">
  <sheetPr codeName="Sheet11">
    <tabColor theme="8" tint="0.59999389629810485"/>
  </sheetPr>
  <dimension ref="A1:AQ65"/>
  <sheetViews>
    <sheetView zoomScale="80" zoomScaleNormal="80" workbookViewId="0">
      <selection activeCell="G3" sqref="G3"/>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16.625" style="145" customWidth="1"/>
    <col min="8" max="8" width="15.625" style="145" customWidth="1"/>
    <col min="9" max="9" width="11.125" style="145" customWidth="1"/>
    <col min="10" max="14" width="10.125" style="145" hidden="1" customWidth="1"/>
    <col min="15" max="15" width="12.625" style="145" bestFit="1" customWidth="1"/>
    <col min="16" max="17" width="12.625" style="145" customWidth="1"/>
    <col min="18" max="18" width="11.5" style="145" bestFit="1" customWidth="1"/>
    <col min="19" max="19" width="7.5" style="145" hidden="1" customWidth="1"/>
    <col min="20" max="20" width="14.125" style="145" customWidth="1"/>
    <col min="21" max="16384" width="8.625" style="145"/>
  </cols>
  <sheetData>
    <row r="1" spans="1:43" x14ac:dyDescent="0.2">
      <c r="A1" s="144" t="s">
        <v>795</v>
      </c>
      <c r="J1" s="145" t="s">
        <v>207</v>
      </c>
      <c r="K1" s="145" t="s">
        <v>207</v>
      </c>
      <c r="L1" s="145" t="s">
        <v>207</v>
      </c>
      <c r="M1" s="145" t="s">
        <v>207</v>
      </c>
      <c r="N1" s="145" t="s">
        <v>207</v>
      </c>
      <c r="S1" s="145" t="s">
        <v>207</v>
      </c>
    </row>
    <row r="2" spans="1:43" ht="9.75" customHeight="1" x14ac:dyDescent="0.2"/>
    <row r="3" spans="1:43" ht="34.5" customHeight="1" x14ac:dyDescent="0.5">
      <c r="B3" s="188" t="s">
        <v>34</v>
      </c>
      <c r="C3" s="147"/>
      <c r="D3" s="147"/>
      <c r="E3" s="147"/>
      <c r="F3" s="147"/>
      <c r="G3" s="147"/>
      <c r="H3" s="147"/>
    </row>
    <row r="4" spans="1:43" ht="29.1" customHeight="1" x14ac:dyDescent="0.2">
      <c r="B4" s="797" t="s">
        <v>210</v>
      </c>
      <c r="C4" s="797"/>
      <c r="D4" s="797"/>
      <c r="E4" s="797"/>
      <c r="F4" s="797"/>
      <c r="G4" s="797"/>
      <c r="H4" s="797"/>
      <c r="I4" s="797"/>
      <c r="J4" s="797"/>
      <c r="K4" s="797"/>
      <c r="L4" s="207"/>
      <c r="M4" s="207"/>
      <c r="N4" s="207"/>
    </row>
    <row r="5" spans="1:43" ht="9" customHeight="1" thickBot="1" x14ac:dyDescent="0.3">
      <c r="B5" s="148"/>
      <c r="C5" s="148"/>
      <c r="D5" s="148"/>
      <c r="E5" s="148"/>
      <c r="F5" s="148"/>
      <c r="G5" s="148"/>
    </row>
    <row r="6" spans="1:43" s="149" customFormat="1" ht="22.35" customHeight="1" x14ac:dyDescent="0.2">
      <c r="B6" s="941" t="s">
        <v>275</v>
      </c>
      <c r="C6" s="943" t="s">
        <v>796</v>
      </c>
      <c r="D6" s="944"/>
      <c r="E6" s="944"/>
      <c r="F6" s="944"/>
      <c r="G6" s="944"/>
      <c r="H6" s="944"/>
      <c r="I6" s="945"/>
      <c r="J6" s="666"/>
      <c r="K6" s="667"/>
      <c r="L6" s="667"/>
      <c r="M6" s="667"/>
      <c r="N6" s="667"/>
      <c r="O6" s="953" t="s">
        <v>797</v>
      </c>
      <c r="P6" s="954"/>
      <c r="Q6" s="954"/>
      <c r="R6" s="955"/>
      <c r="S6" s="949" t="s">
        <v>219</v>
      </c>
      <c r="T6" s="941" t="s">
        <v>798</v>
      </c>
      <c r="X6" s="150"/>
      <c r="Y6" s="150"/>
      <c r="Z6" s="150"/>
      <c r="AA6" s="150"/>
      <c r="AB6" s="150"/>
      <c r="AC6" s="150"/>
    </row>
    <row r="7" spans="1:43" s="150" customFormat="1" ht="51" customHeight="1" thickBot="1" x14ac:dyDescent="0.25">
      <c r="B7" s="942"/>
      <c r="C7" s="151" t="s">
        <v>799</v>
      </c>
      <c r="D7" s="152" t="s">
        <v>141</v>
      </c>
      <c r="E7" s="152" t="s">
        <v>143</v>
      </c>
      <c r="F7" s="153" t="s">
        <v>145</v>
      </c>
      <c r="G7" s="153" t="s">
        <v>800</v>
      </c>
      <c r="H7" s="153" t="s">
        <v>833</v>
      </c>
      <c r="I7" s="154" t="s">
        <v>155</v>
      </c>
      <c r="J7" s="198" t="s">
        <v>706</v>
      </c>
      <c r="K7" s="205" t="s">
        <v>834</v>
      </c>
      <c r="L7" s="205" t="s">
        <v>835</v>
      </c>
      <c r="M7" s="205" t="s">
        <v>836</v>
      </c>
      <c r="N7" s="579" t="s">
        <v>837</v>
      </c>
      <c r="O7" s="151" t="s">
        <v>192</v>
      </c>
      <c r="P7" s="179" t="s">
        <v>806</v>
      </c>
      <c r="Q7" s="179" t="s">
        <v>807</v>
      </c>
      <c r="R7" s="154" t="s">
        <v>808</v>
      </c>
      <c r="S7" s="949"/>
      <c r="T7" s="950"/>
    </row>
    <row r="8" spans="1:43" s="149" customFormat="1" ht="21.75" customHeight="1" x14ac:dyDescent="0.2">
      <c r="B8" s="376">
        <v>1</v>
      </c>
      <c r="C8" s="166"/>
      <c r="D8" s="167"/>
      <c r="E8" s="167"/>
      <c r="F8" s="168"/>
      <c r="G8" s="168"/>
      <c r="H8" s="168"/>
      <c r="I8" s="186"/>
      <c r="J8" s="192">
        <v>0.9</v>
      </c>
      <c r="K8" s="193">
        <v>0.746</v>
      </c>
      <c r="L8" s="193">
        <v>0.88</v>
      </c>
      <c r="M8" s="193">
        <v>8760</v>
      </c>
      <c r="N8" s="319">
        <v>0.15</v>
      </c>
      <c r="O8" s="587" t="str">
        <f>IFERROR(ROUND(IF(F8="Retrofit",(H8*J8*K8*M8*(VLOOKUP(G8,'Look Up Tables'!$B$191:$C$193,2,FALSE))*N8*I8)/L8,""),2),"")</f>
        <v/>
      </c>
      <c r="P8" s="496" t="str">
        <f t="shared" ref="P8:P17" si="0">IFERROR(IF(F8="Retrofit",0,""),"")</f>
        <v/>
      </c>
      <c r="Q8" s="496" t="str">
        <f>IFERROR(ROUND(O8*'Look Up Tables'!$C$166,4),"")</f>
        <v/>
      </c>
      <c r="R8" s="503" t="str">
        <f t="shared" ref="R8:R17" si="1">IFERROR(ROUND(AVERAGE(P8:Q8),4),"")</f>
        <v/>
      </c>
      <c r="S8" s="150" t="str">
        <f>IFERROR(O8*Incentives!$C$4+R8*Incentives!$C$5,"")</f>
        <v/>
      </c>
      <c r="T8" s="191" t="str">
        <f>IFERROR(S8*'Project Summary'!$H$37/'Project Summary'!$G$37,"")</f>
        <v/>
      </c>
      <c r="U8" s="150"/>
      <c r="V8" s="150"/>
      <c r="W8" s="150"/>
      <c r="X8" s="150"/>
      <c r="Y8" s="150"/>
      <c r="Z8" s="150"/>
      <c r="AA8" s="150"/>
      <c r="AB8" s="150"/>
      <c r="AC8" s="150"/>
      <c r="AD8" s="150"/>
      <c r="AE8" s="150"/>
      <c r="AF8" s="150"/>
      <c r="AG8" s="150"/>
      <c r="AH8" s="150"/>
      <c r="AI8" s="150"/>
      <c r="AJ8" s="150"/>
      <c r="AK8" s="150"/>
      <c r="AL8" s="150"/>
      <c r="AM8" s="150"/>
      <c r="AN8" s="150"/>
      <c r="AO8" s="150"/>
      <c r="AP8" s="150"/>
      <c r="AQ8" s="150"/>
    </row>
    <row r="9" spans="1:43" s="149" customFormat="1" ht="21.75" customHeight="1" x14ac:dyDescent="0.2">
      <c r="B9" s="327">
        <v>2</v>
      </c>
      <c r="C9" s="170"/>
      <c r="D9" s="708"/>
      <c r="E9" s="708"/>
      <c r="F9" s="171"/>
      <c r="G9" s="173"/>
      <c r="H9" s="171"/>
      <c r="I9" s="203"/>
      <c r="J9" s="159">
        <v>0.9</v>
      </c>
      <c r="K9" s="160">
        <v>0.746</v>
      </c>
      <c r="L9" s="160">
        <v>0.88</v>
      </c>
      <c r="M9" s="160">
        <v>8760</v>
      </c>
      <c r="N9" s="320">
        <v>0.15</v>
      </c>
      <c r="O9" s="588" t="str">
        <f>IFERROR(ROUND(IF(F9="Retrofit",(H9*J9*K9*M9*(VLOOKUP(G9,'Look Up Tables'!$B$191:$C$193,2,FALSE))*N9*I9)/L9,""),2),"")</f>
        <v/>
      </c>
      <c r="P9" s="498" t="str">
        <f t="shared" si="0"/>
        <v/>
      </c>
      <c r="Q9" s="498" t="str">
        <f>IFERROR(ROUND(O9*'Look Up Tables'!$C$166,4),"")</f>
        <v/>
      </c>
      <c r="R9" s="504" t="str">
        <f t="shared" si="1"/>
        <v/>
      </c>
      <c r="S9" s="150" t="str">
        <f>IFERROR(O9*Incentives!$C$4+R9*Incentives!$C$5,"")</f>
        <v/>
      </c>
      <c r="T9" s="161" t="str">
        <f>IFERROR(S9*'Project Summary'!$H$37/'Project Summary'!$G$37,"")</f>
        <v/>
      </c>
      <c r="U9" s="150"/>
      <c r="V9" s="150"/>
      <c r="W9" s="150"/>
      <c r="X9" s="150"/>
      <c r="Y9" s="150"/>
      <c r="Z9" s="150"/>
      <c r="AA9" s="150"/>
      <c r="AB9" s="150"/>
      <c r="AC9" s="150"/>
      <c r="AD9" s="150"/>
      <c r="AE9" s="150"/>
      <c r="AF9" s="150"/>
      <c r="AG9" s="150"/>
      <c r="AH9" s="150"/>
      <c r="AI9" s="150"/>
      <c r="AJ9" s="150"/>
      <c r="AK9" s="150"/>
      <c r="AL9" s="150"/>
      <c r="AM9" s="150"/>
      <c r="AN9" s="150"/>
      <c r="AO9" s="150"/>
      <c r="AP9" s="150"/>
      <c r="AQ9" s="150"/>
    </row>
    <row r="10" spans="1:43" s="149" customFormat="1" ht="21.75" customHeight="1" x14ac:dyDescent="0.2">
      <c r="B10" s="327">
        <v>3</v>
      </c>
      <c r="C10" s="170"/>
      <c r="D10" s="708"/>
      <c r="E10" s="708"/>
      <c r="F10" s="171"/>
      <c r="G10" s="173"/>
      <c r="H10" s="171"/>
      <c r="I10" s="203"/>
      <c r="J10" s="159">
        <v>0.9</v>
      </c>
      <c r="K10" s="160">
        <v>0.746</v>
      </c>
      <c r="L10" s="160">
        <v>0.88</v>
      </c>
      <c r="M10" s="160">
        <v>8760</v>
      </c>
      <c r="N10" s="320">
        <v>0.15</v>
      </c>
      <c r="O10" s="588" t="str">
        <f>IFERROR(ROUND(IF(F10="Retrofit",(H10*J10*K10*M10*(VLOOKUP(G10,'Look Up Tables'!$B$191:$C$193,2,FALSE))*N10*I10)/L10,""),2),"")</f>
        <v/>
      </c>
      <c r="P10" s="498" t="str">
        <f t="shared" si="0"/>
        <v/>
      </c>
      <c r="Q10" s="498" t="str">
        <f>IFERROR(ROUND(O10*'Look Up Tables'!$C$166,4),"")</f>
        <v/>
      </c>
      <c r="R10" s="504" t="str">
        <f t="shared" si="1"/>
        <v/>
      </c>
      <c r="S10" s="150" t="str">
        <f>IFERROR(O10*Incentives!$C$4+R10*Incentives!$C$5,"")</f>
        <v/>
      </c>
      <c r="T10" s="161" t="str">
        <f>IFERROR(S10*'Project Summary'!$H$37/'Project Summary'!$G$37,"")</f>
        <v/>
      </c>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row>
    <row r="11" spans="1:43" s="149" customFormat="1" ht="21.75" customHeight="1" x14ac:dyDescent="0.2">
      <c r="B11" s="327">
        <v>4</v>
      </c>
      <c r="C11" s="170"/>
      <c r="D11" s="708"/>
      <c r="E11" s="708"/>
      <c r="F11" s="171"/>
      <c r="G11" s="173"/>
      <c r="H11" s="171"/>
      <c r="I11" s="203"/>
      <c r="J11" s="159">
        <v>0.9</v>
      </c>
      <c r="K11" s="160">
        <v>0.746</v>
      </c>
      <c r="L11" s="160">
        <v>0.88</v>
      </c>
      <c r="M11" s="160">
        <v>8760</v>
      </c>
      <c r="N11" s="320">
        <v>0.15</v>
      </c>
      <c r="O11" s="588" t="str">
        <f>IFERROR(ROUND(IF(F11="Retrofit",(H11*J11*K11*M11*(VLOOKUP(G11,'Look Up Tables'!$B$191:$C$193,2,FALSE))*N11*I11)/L11,""),2),"")</f>
        <v/>
      </c>
      <c r="P11" s="498" t="str">
        <f t="shared" si="0"/>
        <v/>
      </c>
      <c r="Q11" s="498" t="str">
        <f>IFERROR(ROUND(O11*'Look Up Tables'!$C$166,4),"")</f>
        <v/>
      </c>
      <c r="R11" s="504" t="str">
        <f t="shared" si="1"/>
        <v/>
      </c>
      <c r="S11" s="150" t="str">
        <f>IFERROR(O11*Incentives!$C$4+R11*Incentives!$C$5,"")</f>
        <v/>
      </c>
      <c r="T11" s="161" t="str">
        <f>IFERROR(S11*'Project Summary'!$H$37/'Project Summary'!$G$37,"")</f>
        <v/>
      </c>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row>
    <row r="12" spans="1:43" s="149" customFormat="1" ht="21.75" customHeight="1" x14ac:dyDescent="0.2">
      <c r="B12" s="327">
        <v>5</v>
      </c>
      <c r="C12" s="170"/>
      <c r="D12" s="708"/>
      <c r="E12" s="708"/>
      <c r="F12" s="171"/>
      <c r="G12" s="173"/>
      <c r="H12" s="171"/>
      <c r="I12" s="203"/>
      <c r="J12" s="159">
        <v>0.9</v>
      </c>
      <c r="K12" s="160">
        <v>0.746</v>
      </c>
      <c r="L12" s="160">
        <v>0.88</v>
      </c>
      <c r="M12" s="160">
        <v>8760</v>
      </c>
      <c r="N12" s="320">
        <v>0.15</v>
      </c>
      <c r="O12" s="588" t="str">
        <f>IFERROR(ROUND(IF(F12="Retrofit",(H12*J12*K12*M12*(VLOOKUP(G12,'Look Up Tables'!$B$191:$C$193,2,FALSE))*N12*I12)/L12,""),2),"")</f>
        <v/>
      </c>
      <c r="P12" s="498" t="str">
        <f t="shared" si="0"/>
        <v/>
      </c>
      <c r="Q12" s="498" t="str">
        <f>IFERROR(ROUND(O12*'Look Up Tables'!$C$166,4),"")</f>
        <v/>
      </c>
      <c r="R12" s="504" t="str">
        <f t="shared" si="1"/>
        <v/>
      </c>
      <c r="S12" s="150" t="str">
        <f>IFERROR(O12*Incentives!$C$4+R12*Incentives!$C$5,"")</f>
        <v/>
      </c>
      <c r="T12" s="161" t="str">
        <f>IFERROR(S12*'Project Summary'!$H$37/'Project Summary'!$G$37,"")</f>
        <v/>
      </c>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row>
    <row r="13" spans="1:43" s="149" customFormat="1" ht="21.75" customHeight="1" x14ac:dyDescent="0.2">
      <c r="B13" s="327">
        <v>6</v>
      </c>
      <c r="C13" s="170"/>
      <c r="D13" s="708"/>
      <c r="E13" s="708"/>
      <c r="F13" s="171"/>
      <c r="G13" s="171"/>
      <c r="H13" s="171"/>
      <c r="I13" s="203"/>
      <c r="J13" s="159">
        <v>0.9</v>
      </c>
      <c r="K13" s="160">
        <v>0.746</v>
      </c>
      <c r="L13" s="160">
        <v>0.88</v>
      </c>
      <c r="M13" s="160">
        <v>8760</v>
      </c>
      <c r="N13" s="320">
        <v>0.15</v>
      </c>
      <c r="O13" s="588" t="str">
        <f>IFERROR(ROUND(IF(F13="Retrofit",(H13*J13*K13*M13*(VLOOKUP(G13,'Look Up Tables'!$B$191:$C$193,2,FALSE))*N13*I13)/L13,""),2),"")</f>
        <v/>
      </c>
      <c r="P13" s="498" t="str">
        <f t="shared" si="0"/>
        <v/>
      </c>
      <c r="Q13" s="498" t="str">
        <f>IFERROR(ROUND(O13*'Look Up Tables'!$C$166,4),"")</f>
        <v/>
      </c>
      <c r="R13" s="504" t="str">
        <f t="shared" si="1"/>
        <v/>
      </c>
      <c r="S13" s="150" t="str">
        <f>IFERROR(O13*Incentives!$C$4+R13*Incentives!$C$5,"")</f>
        <v/>
      </c>
      <c r="T13" s="161" t="str">
        <f>IFERROR(S13*'Project Summary'!$H$37/'Project Summary'!$G$37,"")</f>
        <v/>
      </c>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row>
    <row r="14" spans="1:43" s="149" customFormat="1" ht="21.75" customHeight="1" x14ac:dyDescent="0.2">
      <c r="B14" s="327">
        <v>7</v>
      </c>
      <c r="C14" s="170"/>
      <c r="D14" s="708"/>
      <c r="E14" s="708"/>
      <c r="F14" s="171"/>
      <c r="G14" s="171"/>
      <c r="H14" s="171"/>
      <c r="I14" s="203"/>
      <c r="J14" s="159">
        <v>0.9</v>
      </c>
      <c r="K14" s="160">
        <v>0.746</v>
      </c>
      <c r="L14" s="160">
        <v>0.88</v>
      </c>
      <c r="M14" s="160">
        <v>8760</v>
      </c>
      <c r="N14" s="320">
        <v>0.15</v>
      </c>
      <c r="O14" s="588" t="str">
        <f>IFERROR(ROUND(IF(F14="Retrofit",(H14*J14*K14*M14*(VLOOKUP(G14,'Look Up Tables'!$B$191:$C$193,2,FALSE))*N14*I14)/L14,""),2),"")</f>
        <v/>
      </c>
      <c r="P14" s="498" t="str">
        <f t="shared" si="0"/>
        <v/>
      </c>
      <c r="Q14" s="498" t="str">
        <f>IFERROR(ROUND(O14*'Look Up Tables'!$C$166,4),"")</f>
        <v/>
      </c>
      <c r="R14" s="504" t="str">
        <f t="shared" si="1"/>
        <v/>
      </c>
      <c r="S14" s="150" t="str">
        <f>IFERROR(O14*Incentives!$C$4+R14*Incentives!$C$5,"")</f>
        <v/>
      </c>
      <c r="T14" s="161" t="str">
        <f>IFERROR(S14*'Project Summary'!$H$37/'Project Summary'!$G$37,"")</f>
        <v/>
      </c>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row>
    <row r="15" spans="1:43" s="149" customFormat="1" ht="21.75" customHeight="1" x14ac:dyDescent="0.2">
      <c r="B15" s="327">
        <v>8</v>
      </c>
      <c r="C15" s="170"/>
      <c r="D15" s="708"/>
      <c r="E15" s="708"/>
      <c r="F15" s="171"/>
      <c r="G15" s="171"/>
      <c r="H15" s="171"/>
      <c r="I15" s="203"/>
      <c r="J15" s="159">
        <v>0.9</v>
      </c>
      <c r="K15" s="160">
        <v>0.746</v>
      </c>
      <c r="L15" s="160">
        <v>0.88</v>
      </c>
      <c r="M15" s="160">
        <v>8760</v>
      </c>
      <c r="N15" s="320">
        <v>0.15</v>
      </c>
      <c r="O15" s="588" t="str">
        <f>IFERROR(ROUND(IF(F15="Retrofit",(H15*J15*K15*M15*(VLOOKUP(G15,'Look Up Tables'!$B$191:$C$193,2,FALSE))*N15*I15)/L15,""),2),"")</f>
        <v/>
      </c>
      <c r="P15" s="498" t="str">
        <f t="shared" si="0"/>
        <v/>
      </c>
      <c r="Q15" s="498" t="str">
        <f>IFERROR(ROUND(O15*'Look Up Tables'!$C$166,4),"")</f>
        <v/>
      </c>
      <c r="R15" s="504" t="str">
        <f t="shared" si="1"/>
        <v/>
      </c>
      <c r="S15" s="150" t="str">
        <f>IFERROR(O15*Incentives!$C$4+R15*Incentives!$C$5,"")</f>
        <v/>
      </c>
      <c r="T15" s="161" t="str">
        <f>IFERROR(S15*'Project Summary'!$H$37/'Project Summary'!$G$37,"")</f>
        <v/>
      </c>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row>
    <row r="16" spans="1:43" s="149" customFormat="1" ht="21.75" customHeight="1" x14ac:dyDescent="0.2">
      <c r="B16" s="327">
        <v>9</v>
      </c>
      <c r="C16" s="170"/>
      <c r="D16" s="708"/>
      <c r="E16" s="708"/>
      <c r="F16" s="171"/>
      <c r="G16" s="171"/>
      <c r="H16" s="171"/>
      <c r="I16" s="203"/>
      <c r="J16" s="159">
        <v>0.9</v>
      </c>
      <c r="K16" s="160">
        <v>0.746</v>
      </c>
      <c r="L16" s="160">
        <v>0.88</v>
      </c>
      <c r="M16" s="160">
        <v>8760</v>
      </c>
      <c r="N16" s="320">
        <v>0.15</v>
      </c>
      <c r="O16" s="588" t="str">
        <f>IFERROR(ROUND(IF(F16="Retrofit",(H16*J16*K16*M16*(VLOOKUP(G16,'Look Up Tables'!$B$191:$C$193,2,FALSE))*N16*I16)/L16,""),2),"")</f>
        <v/>
      </c>
      <c r="P16" s="498" t="str">
        <f t="shared" si="0"/>
        <v/>
      </c>
      <c r="Q16" s="498" t="str">
        <f>IFERROR(ROUND(O16*'Look Up Tables'!$C$166,4),"")</f>
        <v/>
      </c>
      <c r="R16" s="504" t="str">
        <f t="shared" si="1"/>
        <v/>
      </c>
      <c r="S16" s="150" t="str">
        <f>IFERROR(O16*Incentives!$C$4+R16*Incentives!$C$5,"")</f>
        <v/>
      </c>
      <c r="T16" s="161" t="str">
        <f>IFERROR(S16*'Project Summary'!$H$37/'Project Summary'!$G$37,"")</f>
        <v/>
      </c>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row>
    <row r="17" spans="2:43" s="149" customFormat="1" ht="21.75" customHeight="1" thickBot="1" x14ac:dyDescent="0.25">
      <c r="B17" s="328">
        <v>10</v>
      </c>
      <c r="C17" s="174"/>
      <c r="D17" s="175"/>
      <c r="E17" s="175"/>
      <c r="F17" s="177"/>
      <c r="G17" s="177"/>
      <c r="H17" s="177"/>
      <c r="I17" s="206"/>
      <c r="J17" s="163">
        <v>0.9</v>
      </c>
      <c r="K17" s="164">
        <v>0.746</v>
      </c>
      <c r="L17" s="164">
        <v>0.88</v>
      </c>
      <c r="M17" s="164">
        <v>8760</v>
      </c>
      <c r="N17" s="321">
        <v>0.15</v>
      </c>
      <c r="O17" s="605" t="str">
        <f>IFERROR(ROUND(IF(F17="Retrofit",(H17*J17*K17*M17*(VLOOKUP(G17,'Look Up Tables'!$B$191:$C$193,2,FALSE))*N17*I17)/L17,""),2),"")</f>
        <v/>
      </c>
      <c r="P17" s="499" t="str">
        <f t="shared" si="0"/>
        <v/>
      </c>
      <c r="Q17" s="499" t="str">
        <f>IFERROR(ROUND(O17*'Look Up Tables'!$C$166,4),"")</f>
        <v/>
      </c>
      <c r="R17" s="505" t="str">
        <f t="shared" si="1"/>
        <v/>
      </c>
      <c r="S17" s="150" t="str">
        <f>IFERROR(O17*Incentives!$C$4+R17*Incentives!$C$5,"")</f>
        <v/>
      </c>
      <c r="T17" s="165" t="str">
        <f>IFERROR(S17*'Project Summary'!$H$37/'Project Summary'!$G$37,"")</f>
        <v/>
      </c>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row>
    <row r="18" spans="2:43"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row>
    <row r="19" spans="2:43"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row>
    <row r="20" spans="2:43"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row>
    <row r="21" spans="2:43"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row>
    <row r="22" spans="2:43"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row>
    <row r="23" spans="2:43"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row>
    <row r="24" spans="2:43"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row>
    <row r="25" spans="2:43"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row>
    <row r="26" spans="2:43"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row>
    <row r="27" spans="2:43"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row>
    <row r="28" spans="2:43"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row>
    <row r="29" spans="2:43"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row>
    <row r="30" spans="2:43"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row>
    <row r="31" spans="2:43"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row>
    <row r="32" spans="2:43"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row>
    <row r="33" spans="2:43"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row>
    <row r="34" spans="2:43"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row>
    <row r="35" spans="2:43"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row>
    <row r="36" spans="2:43"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row>
    <row r="37" spans="2:43"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row>
    <row r="38" spans="2:43"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row>
    <row r="39" spans="2:43"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row>
    <row r="40" spans="2:43"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row>
    <row r="41" spans="2:43"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row>
    <row r="42" spans="2:43"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row>
    <row r="43" spans="2:43"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row>
    <row r="44" spans="2:43"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row>
    <row r="45" spans="2:43"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row>
    <row r="46" spans="2:43"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row>
    <row r="47" spans="2:43"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row>
    <row r="48" spans="2:43"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row>
    <row r="49" spans="2:43"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row>
    <row r="50" spans="2:43"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row>
    <row r="51" spans="2:43"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row>
    <row r="52" spans="2:43"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row>
    <row r="53" spans="2:43"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row>
    <row r="54" spans="2:43"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row>
    <row r="55" spans="2:43"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row>
    <row r="56" spans="2:43"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row>
    <row r="57" spans="2:43"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row>
    <row r="58" spans="2:43"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row>
    <row r="59" spans="2:43"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row>
    <row r="60" spans="2:43"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row>
    <row r="61" spans="2:43"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row>
    <row r="62" spans="2:43"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row>
    <row r="63" spans="2:43"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row>
    <row r="64" spans="2:43"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row>
    <row r="65" spans="2:43"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row>
  </sheetData>
  <sheetProtection algorithmName="SHA-512" hashValue="LSyapKZ++YJbxoKcYW7rnEhD/5Q3yM0ZuPT2NaLSZPmpV9f6ZKVGc8NUHH222rXedxvPKPqhvroIvnxYMzkTHg==" saltValue="6R/w/TdTEkIkrmaFgxhAIg==" spinCount="100000" sheet="1" formatColumns="0"/>
  <mergeCells count="6">
    <mergeCell ref="B4:K4"/>
    <mergeCell ref="C6:I6"/>
    <mergeCell ref="S6:S7"/>
    <mergeCell ref="T6:T7"/>
    <mergeCell ref="B6:B7"/>
    <mergeCell ref="O6:R6"/>
  </mergeCells>
  <conditionalFormatting sqref="F8:F17">
    <cfRule type="expression" dxfId="14"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Retrofit Only" prompt="This measure is for retrofit projects only. If new Construction, please contact CLEAResult for further assistance._x000a_" xr:uid="{6C2DE820-7F38-4CDD-A0A0-F861031B2550}">
          <x14:formula1>
            <xm:f>'Look Up Tables'!$F$33:$F$34</xm:f>
          </x14:formula1>
          <xm:sqref>F8:F17</xm:sqref>
        </x14:dataValidation>
        <x14:dataValidation type="list" allowBlank="1" showInputMessage="1" showErrorMessage="1" xr:uid="{E011F8B6-7463-4591-850D-852A95D76888}">
          <x14:formula1>
            <xm:f>'Look Up Tables'!$D$3:$D$5</xm:f>
          </x14:formula1>
          <xm:sqref>G8:G17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AFC01-6159-4623-900F-8636034EF4B5}">
  <sheetPr codeName="Sheet10">
    <tabColor theme="8" tint="0.59999389629810485"/>
  </sheetPr>
  <dimension ref="A1:AN65"/>
  <sheetViews>
    <sheetView zoomScaleNormal="100" workbookViewId="0">
      <selection activeCell="M28" sqref="M28"/>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15.625" style="145" customWidth="1"/>
    <col min="8" max="8" width="11.125" style="145" customWidth="1"/>
    <col min="9" max="11" width="11.125" style="145" hidden="1" customWidth="1"/>
    <col min="12" max="12" width="12.625" style="145" bestFit="1" customWidth="1"/>
    <col min="13" max="14" width="12.625" style="145" customWidth="1"/>
    <col min="15" max="15" width="11.5" style="145" bestFit="1" customWidth="1"/>
    <col min="16" max="16" width="8.625" style="145" hidden="1" customWidth="1"/>
    <col min="17" max="17" width="14.125" style="145" customWidth="1"/>
    <col min="18" max="16384" width="8.625" style="145"/>
  </cols>
  <sheetData>
    <row r="1" spans="1:40" x14ac:dyDescent="0.2">
      <c r="A1" s="144" t="s">
        <v>795</v>
      </c>
      <c r="I1" s="145" t="s">
        <v>207</v>
      </c>
      <c r="J1" s="145" t="s">
        <v>207</v>
      </c>
      <c r="K1" s="145" t="s">
        <v>207</v>
      </c>
      <c r="P1" s="145" t="s">
        <v>207</v>
      </c>
    </row>
    <row r="2" spans="1:40" ht="9.75" customHeight="1" x14ac:dyDescent="0.2"/>
    <row r="3" spans="1:40" ht="34.5" customHeight="1" x14ac:dyDescent="0.5">
      <c r="B3" s="783" t="s">
        <v>222</v>
      </c>
      <c r="C3" s="784"/>
      <c r="D3" s="784"/>
      <c r="E3" s="784"/>
      <c r="F3" s="784"/>
      <c r="G3" s="784"/>
      <c r="H3" s="785"/>
    </row>
    <row r="4" spans="1:40" ht="29.1" customHeight="1" x14ac:dyDescent="0.2">
      <c r="B4" s="923" t="s">
        <v>210</v>
      </c>
      <c r="C4" s="923"/>
      <c r="D4" s="923"/>
      <c r="E4" s="923"/>
      <c r="F4" s="923"/>
      <c r="G4" s="923"/>
      <c r="H4" s="923"/>
      <c r="I4" s="207"/>
      <c r="J4" s="207"/>
      <c r="K4" s="207"/>
      <c r="W4" s="379"/>
      <c r="X4" s="379"/>
      <c r="Y4" s="379"/>
      <c r="Z4" s="379"/>
      <c r="AA4" s="379"/>
    </row>
    <row r="5" spans="1:40" ht="9" customHeight="1" thickBot="1" x14ac:dyDescent="0.3">
      <c r="B5" s="148"/>
      <c r="C5" s="148"/>
      <c r="D5" s="148"/>
      <c r="E5" s="148"/>
      <c r="F5" s="148"/>
      <c r="W5" s="379"/>
      <c r="X5" s="379"/>
      <c r="Y5" s="379"/>
      <c r="Z5" s="379"/>
      <c r="AA5" s="379"/>
    </row>
    <row r="6" spans="1:40" s="149" customFormat="1" ht="22.35" customHeight="1" x14ac:dyDescent="0.2">
      <c r="B6" s="926" t="s">
        <v>275</v>
      </c>
      <c r="C6" s="929" t="s">
        <v>796</v>
      </c>
      <c r="D6" s="930"/>
      <c r="E6" s="930"/>
      <c r="F6" s="930"/>
      <c r="G6" s="930"/>
      <c r="H6" s="936"/>
      <c r="I6" s="765"/>
      <c r="J6" s="765"/>
      <c r="K6" s="765"/>
      <c r="L6" s="921" t="s">
        <v>797</v>
      </c>
      <c r="M6" s="921"/>
      <c r="N6" s="921"/>
      <c r="O6" s="922"/>
      <c r="P6" s="956" t="s">
        <v>219</v>
      </c>
      <c r="Q6" s="926" t="s">
        <v>798</v>
      </c>
      <c r="W6" s="379"/>
      <c r="X6" s="379"/>
      <c r="Y6" s="379"/>
      <c r="Z6" s="379"/>
      <c r="AA6" s="379"/>
    </row>
    <row r="7" spans="1:40" s="150" customFormat="1" ht="60.75" customHeight="1" thickBot="1" x14ac:dyDescent="0.25">
      <c r="B7" s="928"/>
      <c r="C7" s="761" t="s">
        <v>799</v>
      </c>
      <c r="D7" s="766" t="s">
        <v>141</v>
      </c>
      <c r="E7" s="766" t="s">
        <v>143</v>
      </c>
      <c r="F7" s="762" t="s">
        <v>145</v>
      </c>
      <c r="G7" s="762" t="s">
        <v>800</v>
      </c>
      <c r="H7" s="764" t="s">
        <v>838</v>
      </c>
      <c r="I7" s="763" t="s">
        <v>839</v>
      </c>
      <c r="J7" s="763" t="s">
        <v>837</v>
      </c>
      <c r="K7" s="763" t="s">
        <v>819</v>
      </c>
      <c r="L7" s="762" t="s">
        <v>192</v>
      </c>
      <c r="M7" s="763" t="s">
        <v>806</v>
      </c>
      <c r="N7" s="763" t="s">
        <v>807</v>
      </c>
      <c r="O7" s="764" t="s">
        <v>808</v>
      </c>
      <c r="P7" s="956"/>
      <c r="Q7" s="927"/>
      <c r="Z7" s="379"/>
      <c r="AA7" s="379"/>
    </row>
    <row r="8" spans="1:40" s="149" customFormat="1" ht="21.75" customHeight="1" x14ac:dyDescent="0.2">
      <c r="B8" s="376">
        <v>1</v>
      </c>
      <c r="C8" s="166"/>
      <c r="D8" s="168"/>
      <c r="E8" s="168"/>
      <c r="F8" s="168"/>
      <c r="G8" s="168"/>
      <c r="H8" s="169"/>
      <c r="I8" s="597">
        <v>0.9</v>
      </c>
      <c r="J8" s="598">
        <v>0.3</v>
      </c>
      <c r="K8" s="602">
        <v>487</v>
      </c>
      <c r="L8" s="587" t="str">
        <f>IFERROR(ROUND(IF(F8="Retrofit",H8*I8*J8*K8*(1+(3.412/(12*VLOOKUP(G8,'Look Up Tables'!$B$339:$C$341,2,FALSE)))),""),2),"")</f>
        <v/>
      </c>
      <c r="M8" s="496" t="str">
        <f>IFERROR(IF(F8="Retrofit",ROUND(L8*'Look Up Tables'!$C$167,4),""),"")</f>
        <v/>
      </c>
      <c r="N8" s="496" t="str">
        <f>IFERROR(IF(F8="Retrofit",ROUND(L8*'Look Up Tables'!$C$166,4),""),"")</f>
        <v/>
      </c>
      <c r="O8" s="503" t="str">
        <f t="shared" ref="O8:O16" si="0">IFERROR(AVERAGE(M8:N8),"")</f>
        <v/>
      </c>
      <c r="P8" s="150" t="str">
        <f>IFERROR(L8*Incentives!$C$4+O8*Incentives!$C$5,"")</f>
        <v/>
      </c>
      <c r="Q8" s="191" t="str">
        <f>IFERROR(P8*'Project Summary'!$H$37/'Project Summary'!$G$37,"")</f>
        <v/>
      </c>
      <c r="R8" s="150"/>
      <c r="S8" s="150"/>
      <c r="T8" s="150"/>
      <c r="U8" s="150"/>
      <c r="V8" s="150"/>
      <c r="W8" s="150"/>
      <c r="X8" s="150"/>
      <c r="Y8" s="150"/>
      <c r="Z8" s="379"/>
      <c r="AA8" s="379"/>
      <c r="AB8" s="150"/>
      <c r="AC8" s="150"/>
      <c r="AD8" s="150"/>
      <c r="AE8" s="150"/>
      <c r="AF8" s="150"/>
      <c r="AG8" s="150"/>
      <c r="AH8" s="150"/>
      <c r="AI8" s="150"/>
      <c r="AJ8" s="150"/>
      <c r="AK8" s="150"/>
      <c r="AL8" s="150"/>
      <c r="AM8" s="150"/>
      <c r="AN8" s="150"/>
    </row>
    <row r="9" spans="1:40" s="149" customFormat="1" ht="21.75" customHeight="1" x14ac:dyDescent="0.2">
      <c r="B9" s="327">
        <v>2</v>
      </c>
      <c r="C9" s="170"/>
      <c r="D9" s="171"/>
      <c r="E9" s="171"/>
      <c r="F9" s="171"/>
      <c r="G9" s="171"/>
      <c r="H9" s="172"/>
      <c r="I9" s="599">
        <v>0.9</v>
      </c>
      <c r="J9" s="596">
        <v>0.3</v>
      </c>
      <c r="K9" s="603">
        <v>487</v>
      </c>
      <c r="L9" s="588" t="str">
        <f>IFERROR(ROUND(IF(F9="Retrofit",H9*I9*J9*K9*(1+(3.412/(12*VLOOKUP(G9,'Look Up Tables'!$B$339:$C$341,2,FALSE)))),""),2),"")</f>
        <v/>
      </c>
      <c r="M9" s="498" t="str">
        <f>IFERROR(IF(F9="Retrofit",ROUND(L9*'Look Up Tables'!$C$167,4),""),"")</f>
        <v/>
      </c>
      <c r="N9" s="498" t="str">
        <f>IFERROR(IF(F9="Retrofit",ROUND(L9*'Look Up Tables'!$C$166,4),""),"")</f>
        <v/>
      </c>
      <c r="O9" s="504" t="str">
        <f t="shared" si="0"/>
        <v/>
      </c>
      <c r="P9" s="150" t="str">
        <f>IFERROR(L9*Incentives!$C$4+O9*Incentives!$C$5,"")</f>
        <v/>
      </c>
      <c r="Q9" s="161" t="str">
        <f>IFERROR(P9*'Project Summary'!$H$37/'Project Summary'!$G$37,"")</f>
        <v/>
      </c>
      <c r="R9" s="150"/>
      <c r="S9" s="150"/>
      <c r="T9" s="150"/>
      <c r="U9" s="150"/>
      <c r="V9" s="150"/>
      <c r="W9" s="150"/>
      <c r="X9" s="150"/>
      <c r="Y9" s="150"/>
      <c r="Z9" s="379"/>
      <c r="AA9" s="379"/>
      <c r="AB9" s="150"/>
      <c r="AC9" s="150"/>
      <c r="AD9" s="150"/>
      <c r="AE9" s="150"/>
      <c r="AF9" s="150"/>
      <c r="AG9" s="150"/>
      <c r="AH9" s="150"/>
      <c r="AI9" s="150"/>
      <c r="AJ9" s="150"/>
      <c r="AK9" s="150"/>
      <c r="AL9" s="150"/>
      <c r="AM9" s="150"/>
      <c r="AN9" s="150"/>
    </row>
    <row r="10" spans="1:40" s="149" customFormat="1" ht="21.75" customHeight="1" x14ac:dyDescent="0.2">
      <c r="B10" s="327">
        <v>3</v>
      </c>
      <c r="C10" s="170"/>
      <c r="D10" s="171"/>
      <c r="E10" s="171"/>
      <c r="F10" s="171"/>
      <c r="G10" s="171"/>
      <c r="H10" s="172"/>
      <c r="I10" s="599">
        <v>0.9</v>
      </c>
      <c r="J10" s="596">
        <v>0.3</v>
      </c>
      <c r="K10" s="603">
        <v>487</v>
      </c>
      <c r="L10" s="588" t="str">
        <f>IFERROR(ROUND(IF(F10="Retrofit",H10*I10*J10*K10*(1+(3.412/(12*VLOOKUP(G10,'Look Up Tables'!$B$339:$C$341,2,FALSE)))),""),2),"")</f>
        <v/>
      </c>
      <c r="M10" s="498" t="str">
        <f>IFERROR(IF(F10="Retrofit",ROUND(L10*'Look Up Tables'!$C$167,4),""),"")</f>
        <v/>
      </c>
      <c r="N10" s="498" t="str">
        <f>IFERROR(IF(F10="Retrofit",ROUND(L10*'Look Up Tables'!$C$166,4),""),"")</f>
        <v/>
      </c>
      <c r="O10" s="504" t="str">
        <f t="shared" si="0"/>
        <v/>
      </c>
      <c r="P10" s="150" t="str">
        <f>IFERROR(L10*Incentives!$C$4+O10*Incentives!$C$5,"")</f>
        <v/>
      </c>
      <c r="Q10" s="161" t="str">
        <f>IFERROR(P10*'Project Summary'!$H$37/'Project Summary'!$G$37,"")</f>
        <v/>
      </c>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row>
    <row r="11" spans="1:40" s="149" customFormat="1" ht="21.75" customHeight="1" x14ac:dyDescent="0.2">
      <c r="B11" s="327">
        <v>4</v>
      </c>
      <c r="C11" s="170"/>
      <c r="D11" s="171"/>
      <c r="E11" s="171"/>
      <c r="F11" s="171"/>
      <c r="G11" s="171"/>
      <c r="H11" s="172"/>
      <c r="I11" s="599">
        <v>0.9</v>
      </c>
      <c r="J11" s="596">
        <v>0.3</v>
      </c>
      <c r="K11" s="603">
        <v>487</v>
      </c>
      <c r="L11" s="588" t="str">
        <f>IFERROR(ROUND(IF(F11="Retrofit",H11*I11*J11*K11*(1+(3.412/(12*VLOOKUP(G11,'Look Up Tables'!$B$339:$C$341,2,FALSE)))),""),2),"")</f>
        <v/>
      </c>
      <c r="M11" s="498" t="str">
        <f>IFERROR(IF(F11="Retrofit",ROUND(L11*'Look Up Tables'!$C$167,4),""),"")</f>
        <v/>
      </c>
      <c r="N11" s="498" t="str">
        <f>IFERROR(IF(F11="Retrofit",ROUND(L11*'Look Up Tables'!$C$166,4),""),"")</f>
        <v/>
      </c>
      <c r="O11" s="504" t="str">
        <f t="shared" si="0"/>
        <v/>
      </c>
      <c r="P11" s="150" t="str">
        <f>IFERROR(L11*Incentives!$C$4+O11*Incentives!$C$5,"")</f>
        <v/>
      </c>
      <c r="Q11" s="161" t="str">
        <f>IFERROR(P11*'Project Summary'!$H$37/'Project Summary'!$G$37,"")</f>
        <v/>
      </c>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row>
    <row r="12" spans="1:40" s="149" customFormat="1" ht="21.75" customHeight="1" x14ac:dyDescent="0.2">
      <c r="B12" s="327">
        <v>5</v>
      </c>
      <c r="C12" s="170"/>
      <c r="D12" s="171"/>
      <c r="E12" s="171"/>
      <c r="F12" s="171"/>
      <c r="G12" s="171"/>
      <c r="H12" s="172"/>
      <c r="I12" s="599">
        <v>0.9</v>
      </c>
      <c r="J12" s="596">
        <v>0.3</v>
      </c>
      <c r="K12" s="603">
        <v>487</v>
      </c>
      <c r="L12" s="588" t="str">
        <f>IFERROR(ROUND(IF(F12="Retrofit",H12*I12*J12*K12*(1+(3.412/(12*VLOOKUP(G12,'Look Up Tables'!$B$339:$C$341,2,FALSE)))),""),2),"")</f>
        <v/>
      </c>
      <c r="M12" s="498" t="str">
        <f>IFERROR(IF(F12="Retrofit",ROUND(L12*'Look Up Tables'!$C$167,4),""),"")</f>
        <v/>
      </c>
      <c r="N12" s="498" t="str">
        <f>IFERROR(IF(F12="Retrofit",ROUND(L12*'Look Up Tables'!$C$166,4),""),"")</f>
        <v/>
      </c>
      <c r="O12" s="504" t="str">
        <f t="shared" si="0"/>
        <v/>
      </c>
      <c r="P12" s="150" t="str">
        <f>IFERROR(L12*Incentives!$C$4+O12*Incentives!$C$5,"")</f>
        <v/>
      </c>
      <c r="Q12" s="161" t="str">
        <f>IFERROR(P12*'Project Summary'!$H$37/'Project Summary'!$G$37,"")</f>
        <v/>
      </c>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row>
    <row r="13" spans="1:40" s="149" customFormat="1" ht="21.75" customHeight="1" x14ac:dyDescent="0.2">
      <c r="B13" s="327">
        <v>6</v>
      </c>
      <c r="C13" s="170"/>
      <c r="D13" s="171"/>
      <c r="E13" s="171"/>
      <c r="F13" s="171"/>
      <c r="G13" s="171"/>
      <c r="H13" s="172"/>
      <c r="I13" s="599">
        <v>0.9</v>
      </c>
      <c r="J13" s="596">
        <v>0.3</v>
      </c>
      <c r="K13" s="603">
        <v>487</v>
      </c>
      <c r="L13" s="588" t="str">
        <f>IFERROR(ROUND(IF(F13="Retrofit",H13*I13*J13*K13*(1+(3.412/(12*VLOOKUP(G13,'Look Up Tables'!$B$339:$C$341,2,FALSE)))),""),2),"")</f>
        <v/>
      </c>
      <c r="M13" s="498" t="str">
        <f>IFERROR(IF(F13="Retrofit",ROUND(L13*'Look Up Tables'!$C$167,4),""),"")</f>
        <v/>
      </c>
      <c r="N13" s="498" t="str">
        <f>IFERROR(IF(F13="Retrofit",ROUND(L13*'Look Up Tables'!$C$166,4),""),"")</f>
        <v/>
      </c>
      <c r="O13" s="504" t="str">
        <f t="shared" si="0"/>
        <v/>
      </c>
      <c r="P13" s="150" t="str">
        <f>IFERROR(L13*Incentives!$C$4+O13*Incentives!$C$5,"")</f>
        <v/>
      </c>
      <c r="Q13" s="161" t="str">
        <f>IFERROR(P13*'Project Summary'!$H$37/'Project Summary'!$G$37,"")</f>
        <v/>
      </c>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row>
    <row r="14" spans="1:40" s="149" customFormat="1" ht="21.75" customHeight="1" x14ac:dyDescent="0.2">
      <c r="B14" s="327">
        <v>7</v>
      </c>
      <c r="C14" s="170"/>
      <c r="D14" s="171"/>
      <c r="E14" s="171"/>
      <c r="F14" s="171"/>
      <c r="G14" s="171"/>
      <c r="H14" s="172"/>
      <c r="I14" s="599">
        <v>0.9</v>
      </c>
      <c r="J14" s="596">
        <v>0.3</v>
      </c>
      <c r="K14" s="603">
        <v>487</v>
      </c>
      <c r="L14" s="588" t="str">
        <f>IFERROR(ROUND(IF(F14="Retrofit",H14*I14*J14*K14*(1+(3.412/(12*VLOOKUP(G14,'Look Up Tables'!$B$339:$C$341,2,FALSE)))),""),2),"")</f>
        <v/>
      </c>
      <c r="M14" s="498" t="str">
        <f>IFERROR(IF(F14="Retrofit",ROUND(L14*'Look Up Tables'!$C$167,4),""),"")</f>
        <v/>
      </c>
      <c r="N14" s="498" t="str">
        <f>IFERROR(IF(F14="Retrofit",ROUND(L14*'Look Up Tables'!$C$166,4),""),"")</f>
        <v/>
      </c>
      <c r="O14" s="504" t="str">
        <f t="shared" si="0"/>
        <v/>
      </c>
      <c r="P14" s="150" t="str">
        <f>IFERROR(L14*Incentives!$C$4+O14*Incentives!$C$5,"")</f>
        <v/>
      </c>
      <c r="Q14" s="161" t="str">
        <f>IFERROR(P14*'Project Summary'!$H$37/'Project Summary'!$G$37,"")</f>
        <v/>
      </c>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row>
    <row r="15" spans="1:40" s="149" customFormat="1" ht="21.75" customHeight="1" x14ac:dyDescent="0.2">
      <c r="B15" s="327">
        <v>8</v>
      </c>
      <c r="C15" s="170"/>
      <c r="D15" s="171"/>
      <c r="E15" s="171"/>
      <c r="F15" s="171"/>
      <c r="G15" s="171"/>
      <c r="H15" s="172"/>
      <c r="I15" s="599">
        <v>0.9</v>
      </c>
      <c r="J15" s="596">
        <v>0.3</v>
      </c>
      <c r="K15" s="603">
        <v>487</v>
      </c>
      <c r="L15" s="588" t="str">
        <f>IFERROR(ROUND(IF(F15="Retrofit",H15*I15*J15*K15*(1+(3.412/(12*VLOOKUP(G15,'Look Up Tables'!$B$339:$C$341,2,FALSE)))),""),2),"")</f>
        <v/>
      </c>
      <c r="M15" s="498" t="str">
        <f>IFERROR(IF(F15="Retrofit",ROUND(L15*'Look Up Tables'!$C$167,4),""),"")</f>
        <v/>
      </c>
      <c r="N15" s="498" t="str">
        <f>IFERROR(IF(F15="Retrofit",ROUND(L15*'Look Up Tables'!$C$166,4),""),"")</f>
        <v/>
      </c>
      <c r="O15" s="504" t="str">
        <f t="shared" si="0"/>
        <v/>
      </c>
      <c r="P15" s="150" t="str">
        <f>IFERROR(L15*Incentives!$C$4+O15*Incentives!$C$5,"")</f>
        <v/>
      </c>
      <c r="Q15" s="161" t="str">
        <f>IFERROR(P15*'Project Summary'!$H$37/'Project Summary'!$G$37,"")</f>
        <v/>
      </c>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row>
    <row r="16" spans="1:40" s="149" customFormat="1" ht="21.75" customHeight="1" x14ac:dyDescent="0.2">
      <c r="B16" s="327">
        <v>9</v>
      </c>
      <c r="C16" s="170"/>
      <c r="D16" s="171"/>
      <c r="E16" s="171"/>
      <c r="F16" s="171"/>
      <c r="G16" s="171"/>
      <c r="H16" s="172"/>
      <c r="I16" s="599">
        <v>0.9</v>
      </c>
      <c r="J16" s="596">
        <v>0.3</v>
      </c>
      <c r="K16" s="603">
        <v>487</v>
      </c>
      <c r="L16" s="588" t="str">
        <f>IFERROR(ROUND(IF(F16="Retrofit",H16*I16*J16*K16*(1+(3.412/(12*VLOOKUP(G16,'Look Up Tables'!$B$339:$C$341,2,FALSE)))),""),2),"")</f>
        <v/>
      </c>
      <c r="M16" s="498" t="str">
        <f>IFERROR(IF(F16="Retrofit",ROUND(L16*'Look Up Tables'!$C$167,4),""),"")</f>
        <v/>
      </c>
      <c r="N16" s="498" t="str">
        <f>IFERROR(IF(F16="Retrofit",ROUND(L16*'Look Up Tables'!$C$166,4),""),"")</f>
        <v/>
      </c>
      <c r="O16" s="504" t="str">
        <f t="shared" si="0"/>
        <v/>
      </c>
      <c r="P16" s="150" t="str">
        <f>IFERROR(L16*Incentives!$C$4+O16*Incentives!$C$5,"")</f>
        <v/>
      </c>
      <c r="Q16" s="161" t="str">
        <f>IFERROR(P16*'Project Summary'!$H$37/'Project Summary'!$G$37,"")</f>
        <v/>
      </c>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row>
    <row r="17" spans="2:40" s="149" customFormat="1" ht="21.75" customHeight="1" thickBot="1" x14ac:dyDescent="0.25">
      <c r="B17" s="328">
        <v>10</v>
      </c>
      <c r="C17" s="174"/>
      <c r="D17" s="177"/>
      <c r="E17" s="177"/>
      <c r="F17" s="177"/>
      <c r="G17" s="177"/>
      <c r="H17" s="178"/>
      <c r="I17" s="600">
        <v>0.9</v>
      </c>
      <c r="J17" s="601">
        <v>0.3</v>
      </c>
      <c r="K17" s="604">
        <v>487</v>
      </c>
      <c r="L17" s="605" t="str">
        <f>IFERROR(ROUND(IF(F17="Retrofit",H17*I17*J17*K17*(1+(3.412/(12*VLOOKUP(G17,'Look Up Tables'!$B$339:$C$341,2,FALSE)))),""),2),"")</f>
        <v/>
      </c>
      <c r="M17" s="499" t="str">
        <f>IFERROR(IF(F17="Retrofit",ROUND(L17*'Look Up Tables'!$C$167,4),""),"")</f>
        <v/>
      </c>
      <c r="N17" s="499" t="str">
        <f>IFERROR(IF(F17="Retrofit",ROUND(L17*'Look Up Tables'!$C$166,4),""),"")</f>
        <v/>
      </c>
      <c r="O17" s="505" t="str">
        <f t="shared" ref="O17" si="1">IFERROR(ROUND(AVERAGE(M17:N17),4),"")</f>
        <v/>
      </c>
      <c r="P17" s="150" t="str">
        <f>IFERROR(L17*Incentives!$C$4+O17*Incentives!$C$5,"")</f>
        <v/>
      </c>
      <c r="Q17" s="165" t="str">
        <f>IFERROR(P17*'Project Summary'!$H$37/'Project Summary'!$G$37,"")</f>
        <v/>
      </c>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row>
    <row r="18" spans="2:40"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row>
    <row r="19" spans="2:40"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row>
    <row r="20" spans="2:40"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row>
    <row r="21" spans="2:40"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row>
    <row r="22" spans="2:40"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row>
    <row r="23" spans="2:40"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row>
    <row r="24" spans="2:40"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row>
    <row r="25" spans="2:40"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row>
    <row r="26" spans="2:40"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row>
    <row r="27" spans="2:40"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row>
    <row r="28" spans="2:40"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row>
    <row r="29" spans="2:40"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row>
    <row r="30" spans="2:40"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row>
    <row r="31" spans="2:40"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row>
    <row r="32" spans="2:40"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row>
    <row r="33" spans="2:40"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row>
    <row r="34" spans="2:40"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row>
    <row r="35" spans="2:40"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row>
    <row r="36" spans="2:40"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row>
    <row r="37" spans="2:40"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row>
    <row r="38" spans="2:40"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row>
    <row r="39" spans="2:40"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row>
    <row r="40" spans="2:40"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row>
    <row r="41" spans="2:40"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row>
    <row r="42" spans="2:40"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row>
    <row r="43" spans="2:40"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row>
    <row r="44" spans="2:40"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row>
    <row r="45" spans="2:40"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row>
    <row r="46" spans="2:40"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row>
    <row r="47" spans="2:40"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row>
    <row r="48" spans="2:40"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row>
    <row r="49" spans="2:40"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row>
    <row r="50" spans="2:40"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row>
    <row r="51" spans="2:40"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row>
    <row r="52" spans="2:40"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row>
    <row r="53" spans="2:40"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row>
    <row r="54" spans="2:40"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row>
    <row r="55" spans="2:40"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row>
    <row r="56" spans="2:40"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row>
    <row r="57" spans="2:40"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row>
    <row r="58" spans="2:40"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row>
    <row r="59" spans="2:40"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row>
    <row r="60" spans="2:40"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row>
    <row r="61" spans="2:40"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row>
    <row r="62" spans="2:40"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row>
    <row r="63" spans="2:40"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row>
    <row r="64" spans="2:40"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row>
    <row r="65" spans="2:40"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row>
  </sheetData>
  <sheetProtection algorithmName="SHA-512" hashValue="PuGc9wpZnVb3wXCN/EhBMQjalCzHQ6/SkHqq06IlFKXWvWjeM/Dvay6cYUigPoR/0WFJtiqUBL7rMeffrjJfQw==" saltValue="ZAifMJ4suZhYQBLP3aH1SQ==" spinCount="100000" sheet="1" formatColumns="0"/>
  <mergeCells count="6">
    <mergeCell ref="B4:H4"/>
    <mergeCell ref="C6:H6"/>
    <mergeCell ref="L6:O6"/>
    <mergeCell ref="P6:P7"/>
    <mergeCell ref="Q6:Q7"/>
    <mergeCell ref="B6:B7"/>
  </mergeCells>
  <conditionalFormatting sqref="F8:F17">
    <cfRule type="expression" dxfId="13"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72" yWindow="534" count="2">
        <x14:dataValidation type="list" allowBlank="1" showInputMessage="1" showErrorMessage="1" xr:uid="{2F3152E3-5560-4851-80C0-B16174D4811D}">
          <x14:formula1>
            <xm:f>'Look Up Tables'!$D$3:$D$5</xm:f>
          </x14:formula1>
          <xm:sqref>G8:G17</xm:sqref>
        </x14:dataValidation>
        <x14:dataValidation type="list" allowBlank="1" showInputMessage="1" showErrorMessage="1" promptTitle="Retrofit Only" prompt="This measure is for retrofit projects only. If new Construction, please contact CLEAResult for further assistance._x000a_" xr:uid="{33E5FAFF-39C3-4D0A-813F-ABC483ACF839}">
          <x14:formula1>
            <xm:f>'Look Up Tables'!$F$33:$F$34</xm:f>
          </x14:formula1>
          <xm:sqref>F8:F17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E9D65-630E-48A8-971A-0B52E85457F4}">
  <sheetPr codeName="Sheet13">
    <tabColor theme="8" tint="0.59999389629810485"/>
  </sheetPr>
  <dimension ref="A1:AT65"/>
  <sheetViews>
    <sheetView zoomScale="80" zoomScaleNormal="80" workbookViewId="0">
      <selection activeCell="R25" sqref="R25"/>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25.125" style="145" customWidth="1"/>
    <col min="8" max="8" width="17.25" style="145" customWidth="1"/>
    <col min="9" max="9" width="15.875" style="145" bestFit="1" customWidth="1"/>
    <col min="10" max="10" width="18.25" style="145" customWidth="1"/>
    <col min="11" max="11" width="12.125" style="145" customWidth="1"/>
    <col min="12" max="12" width="11.125" style="145" customWidth="1"/>
    <col min="13" max="17" width="10.125" style="145" hidden="1" customWidth="1"/>
    <col min="18" max="18" width="19.625" style="145" bestFit="1" customWidth="1"/>
    <col min="19" max="20" width="12.625" style="145" customWidth="1"/>
    <col min="21" max="21" width="11.5" style="145" bestFit="1" customWidth="1"/>
    <col min="22" max="22" width="8.625" style="145" hidden="1" customWidth="1"/>
    <col min="23" max="23" width="14.125" style="145" customWidth="1"/>
    <col min="24" max="16384" width="8.625" style="145"/>
  </cols>
  <sheetData>
    <row r="1" spans="1:46" x14ac:dyDescent="0.2">
      <c r="A1" s="144" t="s">
        <v>795</v>
      </c>
      <c r="M1" s="145" t="s">
        <v>207</v>
      </c>
      <c r="N1" s="145" t="s">
        <v>207</v>
      </c>
      <c r="O1" s="145" t="s">
        <v>207</v>
      </c>
      <c r="P1" s="145" t="s">
        <v>207</v>
      </c>
      <c r="Q1" s="145" t="s">
        <v>207</v>
      </c>
      <c r="V1" s="145" t="s">
        <v>207</v>
      </c>
    </row>
    <row r="2" spans="1:46" ht="9.75" customHeight="1" x14ac:dyDescent="0.2"/>
    <row r="3" spans="1:46" ht="34.5" customHeight="1" x14ac:dyDescent="0.5">
      <c r="B3" s="188" t="s">
        <v>224</v>
      </c>
      <c r="C3" s="147"/>
      <c r="D3" s="147"/>
      <c r="E3" s="147"/>
      <c r="F3" s="147"/>
      <c r="G3" s="147"/>
      <c r="H3" s="147"/>
      <c r="I3" s="147"/>
      <c r="J3" s="147"/>
      <c r="K3" s="147"/>
    </row>
    <row r="4" spans="1:46" ht="29.1" customHeight="1" x14ac:dyDescent="0.2">
      <c r="B4" s="797" t="s">
        <v>210</v>
      </c>
      <c r="C4" s="797"/>
      <c r="D4" s="797"/>
      <c r="E4" s="797"/>
      <c r="F4" s="797"/>
      <c r="G4" s="797"/>
      <c r="H4" s="797"/>
      <c r="I4" s="797"/>
      <c r="J4" s="797"/>
      <c r="K4" s="797"/>
      <c r="L4" s="797"/>
      <c r="M4" s="797"/>
      <c r="N4" s="797"/>
      <c r="O4" s="797"/>
      <c r="P4" s="797"/>
      <c r="Q4" s="797"/>
    </row>
    <row r="5" spans="1:46" ht="9" customHeight="1" thickBot="1" x14ac:dyDescent="0.3">
      <c r="B5" s="148"/>
      <c r="C5" s="148"/>
      <c r="D5" s="148"/>
      <c r="E5" s="148"/>
      <c r="F5" s="148"/>
      <c r="G5" s="148"/>
      <c r="H5" s="148"/>
      <c r="I5" s="148"/>
    </row>
    <row r="6" spans="1:46" s="149" customFormat="1" ht="22.35" customHeight="1" x14ac:dyDescent="0.2">
      <c r="B6" s="961" t="s">
        <v>275</v>
      </c>
      <c r="C6" s="943" t="s">
        <v>796</v>
      </c>
      <c r="D6" s="944"/>
      <c r="E6" s="944"/>
      <c r="F6" s="944"/>
      <c r="G6" s="944"/>
      <c r="H6" s="944"/>
      <c r="I6" s="944"/>
      <c r="J6" s="944"/>
      <c r="K6" s="944"/>
      <c r="L6" s="945"/>
      <c r="M6" s="957" t="s">
        <v>797</v>
      </c>
      <c r="N6" s="958"/>
      <c r="O6" s="958"/>
      <c r="P6" s="958"/>
      <c r="Q6" s="958"/>
      <c r="R6" s="958"/>
      <c r="S6" s="958"/>
      <c r="T6" s="958"/>
      <c r="U6" s="959"/>
      <c r="V6" s="960" t="s">
        <v>219</v>
      </c>
      <c r="W6" s="941" t="s">
        <v>798</v>
      </c>
      <c r="Z6" s="150"/>
      <c r="AA6" s="150"/>
      <c r="AB6" s="150"/>
      <c r="AC6" s="150"/>
      <c r="AD6" s="150"/>
      <c r="AE6" s="150"/>
    </row>
    <row r="7" spans="1:46" s="150" customFormat="1" ht="48" customHeight="1" thickBot="1" x14ac:dyDescent="0.25">
      <c r="B7" s="962"/>
      <c r="C7" s="151" t="s">
        <v>799</v>
      </c>
      <c r="D7" s="152" t="s">
        <v>141</v>
      </c>
      <c r="E7" s="152" t="s">
        <v>143</v>
      </c>
      <c r="F7" s="153" t="s">
        <v>145</v>
      </c>
      <c r="G7" s="153" t="s">
        <v>840</v>
      </c>
      <c r="H7" s="153" t="s">
        <v>841</v>
      </c>
      <c r="I7" s="153" t="s">
        <v>842</v>
      </c>
      <c r="J7" s="153" t="s">
        <v>843</v>
      </c>
      <c r="K7" s="179" t="s">
        <v>844</v>
      </c>
      <c r="L7" s="154" t="s">
        <v>845</v>
      </c>
      <c r="M7" s="151" t="s">
        <v>785</v>
      </c>
      <c r="N7" s="152" t="s">
        <v>786</v>
      </c>
      <c r="O7" s="152" t="s">
        <v>846</v>
      </c>
      <c r="P7" s="152" t="s">
        <v>203</v>
      </c>
      <c r="Q7" s="152" t="s">
        <v>847</v>
      </c>
      <c r="R7" s="153" t="s">
        <v>192</v>
      </c>
      <c r="S7" s="179" t="s">
        <v>806</v>
      </c>
      <c r="T7" s="179" t="s">
        <v>807</v>
      </c>
      <c r="U7" s="154" t="s">
        <v>848</v>
      </c>
      <c r="V7" s="960"/>
      <c r="W7" s="950"/>
    </row>
    <row r="8" spans="1:46" s="149" customFormat="1" ht="21.75" customHeight="1" x14ac:dyDescent="0.2">
      <c r="B8" s="155">
        <v>1</v>
      </c>
      <c r="C8" s="166"/>
      <c r="D8" s="167"/>
      <c r="E8" s="167"/>
      <c r="F8" s="168"/>
      <c r="G8" s="168"/>
      <c r="H8" s="168"/>
      <c r="I8" s="168"/>
      <c r="J8" s="168"/>
      <c r="K8" s="186"/>
      <c r="L8" s="169"/>
      <c r="M8" s="192" t="str" cm="1">
        <f t="array" ref="M8">IFERROR(_xlfn.XLOOKUP(1,('Look Up Tables'!$B$300:$B$323=$G8)*('Look Up Tables'!$C$300:$C$323=$H8)*('Look Up Tables'!$D$300:$D$323=$I8)*('Look Up Tables'!$E$300:$E$323=$J8),'Look Up Tables'!$F$300:$F$323),"")</f>
        <v/>
      </c>
      <c r="N8" s="193" t="str" cm="1">
        <f t="array" ref="N8">IFERROR(_xlfn.XLOOKUP(1,('Look Up Tables'!$B$300:$B$323=$G8)*('Look Up Tables'!$C$300:$C$323=$H8)*('Look Up Tables'!$D$300:$D$323=$I8)*('Look Up Tables'!$E$300:$E$323=$J8),'Look Up Tables'!$G$300:$G$323),"")</f>
        <v/>
      </c>
      <c r="O8" s="193" t="e">
        <f>(M8*K8)+N8</f>
        <v>#VALUE!</v>
      </c>
      <c r="P8" s="212">
        <v>0.09</v>
      </c>
      <c r="Q8" s="319">
        <v>365</v>
      </c>
      <c r="R8" s="587" t="str">
        <f>IFERROR(ROUND(IF(F8="Retrofit",L8*(O8*P8*Q8),""),2),"")</f>
        <v/>
      </c>
      <c r="S8" s="194" t="str">
        <f>IF($L8="","",0)</f>
        <v/>
      </c>
      <c r="T8" s="194" t="str">
        <f>IF($L8="","",0)</f>
        <v/>
      </c>
      <c r="U8" s="181" t="str">
        <f>IFERROR(ROUND((S8+T8)/2,4),"")</f>
        <v/>
      </c>
      <c r="V8" s="150" t="str">
        <f>IFERROR(R8*Incentives!$C$4+U8*Incentives!$C$5,"")</f>
        <v/>
      </c>
      <c r="W8" s="191" t="str">
        <f>IFERROR(V8*'Project Summary'!$H$37/'Project Summary'!$G$37,"")</f>
        <v/>
      </c>
      <c r="X8" s="150"/>
      <c r="Y8" s="150"/>
      <c r="Z8" s="150"/>
      <c r="AA8" s="150"/>
      <c r="AB8" s="150"/>
      <c r="AC8" s="150"/>
      <c r="AD8" s="150"/>
      <c r="AE8" s="150"/>
      <c r="AF8" s="150"/>
      <c r="AG8" s="150"/>
      <c r="AH8" s="150"/>
      <c r="AI8" s="150"/>
      <c r="AJ8" s="150"/>
      <c r="AK8" s="150"/>
      <c r="AL8" s="150"/>
      <c r="AM8" s="150"/>
      <c r="AN8" s="150"/>
      <c r="AO8" s="150"/>
      <c r="AP8" s="150"/>
      <c r="AQ8" s="150"/>
      <c r="AR8" s="150"/>
      <c r="AS8" s="150"/>
      <c r="AT8" s="150"/>
    </row>
    <row r="9" spans="1:46" s="149" customFormat="1" ht="21.75" customHeight="1" x14ac:dyDescent="0.2">
      <c r="B9" s="158">
        <v>2</v>
      </c>
      <c r="C9" s="170"/>
      <c r="D9" s="708"/>
      <c r="E9" s="708"/>
      <c r="F9" s="171"/>
      <c r="G9" s="173"/>
      <c r="H9" s="173"/>
      <c r="I9" s="173"/>
      <c r="J9" s="173"/>
      <c r="K9" s="203"/>
      <c r="L9" s="197"/>
      <c r="M9" s="159" t="str" cm="1">
        <f t="array" ref="M9">IFERROR(_xlfn.XLOOKUP(1,('Look Up Tables'!$B$300:$B$323=$G9)*('Look Up Tables'!$C$300:$C$323=$H9)*('Look Up Tables'!$D$300:$D$323=$I9)*('Look Up Tables'!$E$300:$E$323=$J9),'Look Up Tables'!$F$300:$F$323),"")</f>
        <v/>
      </c>
      <c r="N9" s="160" t="str" cm="1">
        <f t="array" ref="N9">IFERROR(_xlfn.XLOOKUP(1,('Look Up Tables'!$B$300:$B$323=$G9)*('Look Up Tables'!$C$300:$C$323=$H9)*('Look Up Tables'!$D$300:$D$323=$I9)*('Look Up Tables'!$E$300:$E$323=$J9),'Look Up Tables'!$G$300:$G$323),"")</f>
        <v/>
      </c>
      <c r="O9" s="160" t="e">
        <f t="shared" ref="O9:O17" si="0">(M9*K9)+N9</f>
        <v>#VALUE!</v>
      </c>
      <c r="P9" s="213">
        <v>0.09</v>
      </c>
      <c r="Q9" s="320">
        <v>365</v>
      </c>
      <c r="R9" s="588" t="str">
        <f t="shared" ref="R9:R17" si="1">IFERROR(ROUND(IF(F9="Retrofit",L9*(O9*P9*Q9),""),2),"")</f>
        <v/>
      </c>
      <c r="S9" s="201" t="str">
        <f t="shared" ref="S9:T17" si="2">IF($L9="","",0)</f>
        <v/>
      </c>
      <c r="T9" s="201" t="str">
        <f t="shared" si="2"/>
        <v/>
      </c>
      <c r="U9" s="183" t="str">
        <f t="shared" ref="U9:U17" si="3">IFERROR(ROUND((S9+T9)/2,4),"")</f>
        <v/>
      </c>
      <c r="V9" s="150" t="str">
        <f>IFERROR(R9*Incentives!$C$4+U9*Incentives!$C$5,"")</f>
        <v/>
      </c>
      <c r="W9" s="161" t="str">
        <f>IFERROR(V9*'Project Summary'!$H$37/'Project Summary'!$G$37,"")</f>
        <v/>
      </c>
      <c r="X9" s="150"/>
      <c r="Y9" s="150"/>
      <c r="Z9" s="150"/>
      <c r="AA9" s="150"/>
      <c r="AB9" s="150"/>
      <c r="AC9" s="150"/>
      <c r="AD9" s="150"/>
      <c r="AE9" s="150"/>
      <c r="AF9" s="150"/>
      <c r="AG9" s="150"/>
      <c r="AH9" s="150"/>
      <c r="AI9" s="150"/>
      <c r="AJ9" s="150"/>
      <c r="AK9" s="150"/>
      <c r="AL9" s="150"/>
      <c r="AM9" s="150"/>
      <c r="AN9" s="150"/>
      <c r="AO9" s="150"/>
      <c r="AP9" s="150"/>
      <c r="AQ9" s="150"/>
      <c r="AR9" s="150"/>
      <c r="AS9" s="150"/>
      <c r="AT9" s="150"/>
    </row>
    <row r="10" spans="1:46" s="149" customFormat="1" ht="21.75" customHeight="1" x14ac:dyDescent="0.2">
      <c r="B10" s="158">
        <v>3</v>
      </c>
      <c r="C10" s="170"/>
      <c r="D10" s="708"/>
      <c r="E10" s="708"/>
      <c r="F10" s="171"/>
      <c r="G10" s="173"/>
      <c r="H10" s="173"/>
      <c r="I10" s="173"/>
      <c r="J10" s="173"/>
      <c r="K10" s="203"/>
      <c r="L10" s="197"/>
      <c r="M10" s="159" t="str" cm="1">
        <f t="array" ref="M10">IFERROR(_xlfn.XLOOKUP(1,('Look Up Tables'!$B$300:$B$323=$G10)*('Look Up Tables'!$C$300:$C$323=$H10)*('Look Up Tables'!$D$300:$D$323=$I10)*('Look Up Tables'!$E$300:$E$323=$J10),'Look Up Tables'!$F$300:$F$323),"")</f>
        <v/>
      </c>
      <c r="N10" s="160" t="str" cm="1">
        <f t="array" ref="N10">IFERROR(_xlfn.XLOOKUP(1,('Look Up Tables'!$B$300:$B$323=$G10)*('Look Up Tables'!$C$300:$C$323=$H10)*('Look Up Tables'!$D$300:$D$323=$I10)*('Look Up Tables'!$E$300:$E$323=$J10),'Look Up Tables'!$G$300:$G$323),"")</f>
        <v/>
      </c>
      <c r="O10" s="160" t="e">
        <f t="shared" si="0"/>
        <v>#VALUE!</v>
      </c>
      <c r="P10" s="213">
        <v>0.09</v>
      </c>
      <c r="Q10" s="320">
        <v>365</v>
      </c>
      <c r="R10" s="588" t="str">
        <f t="shared" si="1"/>
        <v/>
      </c>
      <c r="S10" s="201" t="str">
        <f t="shared" si="2"/>
        <v/>
      </c>
      <c r="T10" s="201" t="str">
        <f t="shared" si="2"/>
        <v/>
      </c>
      <c r="U10" s="183" t="str">
        <f t="shared" si="3"/>
        <v/>
      </c>
      <c r="V10" s="150" t="str">
        <f>IFERROR(R10*Incentives!$C$4+U10*Incentives!$C$5,"")</f>
        <v/>
      </c>
      <c r="W10" s="161" t="str">
        <f>IFERROR(V10*'Project Summary'!$H$37/'Project Summary'!$G$37,"")</f>
        <v/>
      </c>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row>
    <row r="11" spans="1:46" s="149" customFormat="1" ht="21.75" customHeight="1" x14ac:dyDescent="0.2">
      <c r="B11" s="158">
        <v>4</v>
      </c>
      <c r="C11" s="170"/>
      <c r="D11" s="708"/>
      <c r="E11" s="708"/>
      <c r="F11" s="171"/>
      <c r="G11" s="173"/>
      <c r="H11" s="173"/>
      <c r="I11" s="173"/>
      <c r="J11" s="173"/>
      <c r="K11" s="203"/>
      <c r="L11" s="197"/>
      <c r="M11" s="159" t="str" cm="1">
        <f t="array" ref="M11">IFERROR(_xlfn.XLOOKUP(1,('Look Up Tables'!$B$300:$B$323=$G11)*('Look Up Tables'!$C$300:$C$323=$H11)*('Look Up Tables'!$D$300:$D$323=$I11)*('Look Up Tables'!$E$300:$E$323=$J11),'Look Up Tables'!$F$300:$F$323),"")</f>
        <v/>
      </c>
      <c r="N11" s="160" t="str" cm="1">
        <f t="array" ref="N11">IFERROR(_xlfn.XLOOKUP(1,('Look Up Tables'!$B$300:$B$323=$G11)*('Look Up Tables'!$C$300:$C$323=$H11)*('Look Up Tables'!$D$300:$D$323=$I11)*('Look Up Tables'!$E$300:$E$323=$J11),'Look Up Tables'!$G$300:$G$323),"")</f>
        <v/>
      </c>
      <c r="O11" s="160" t="e">
        <f t="shared" si="0"/>
        <v>#VALUE!</v>
      </c>
      <c r="P11" s="213">
        <v>0.09</v>
      </c>
      <c r="Q11" s="320">
        <v>365</v>
      </c>
      <c r="R11" s="588" t="str">
        <f t="shared" si="1"/>
        <v/>
      </c>
      <c r="S11" s="201" t="str">
        <f t="shared" si="2"/>
        <v/>
      </c>
      <c r="T11" s="201" t="str">
        <f t="shared" si="2"/>
        <v/>
      </c>
      <c r="U11" s="183" t="str">
        <f t="shared" si="3"/>
        <v/>
      </c>
      <c r="V11" s="150" t="str">
        <f>IFERROR(R11*Incentives!$C$4+U11*Incentives!$C$5,"")</f>
        <v/>
      </c>
      <c r="W11" s="161" t="str">
        <f>IFERROR(V11*'Project Summary'!$H$37/'Project Summary'!$G$37,"")</f>
        <v/>
      </c>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row>
    <row r="12" spans="1:46" s="149" customFormat="1" ht="21.75" customHeight="1" x14ac:dyDescent="0.2">
      <c r="B12" s="158">
        <v>5</v>
      </c>
      <c r="C12" s="170"/>
      <c r="D12" s="708"/>
      <c r="E12" s="708"/>
      <c r="F12" s="171"/>
      <c r="G12" s="173"/>
      <c r="H12" s="173"/>
      <c r="I12" s="173"/>
      <c r="J12" s="173"/>
      <c r="K12" s="203"/>
      <c r="L12" s="197"/>
      <c r="M12" s="159" t="str" cm="1">
        <f t="array" ref="M12">IFERROR(_xlfn.XLOOKUP(1,('Look Up Tables'!$B$300:$B$323=$G12)*('Look Up Tables'!$C$300:$C$323=$H12)*('Look Up Tables'!$D$300:$D$323=$I12)*('Look Up Tables'!$E$300:$E$323=$J12),'Look Up Tables'!$F$300:$F$323),"")</f>
        <v/>
      </c>
      <c r="N12" s="160" t="str" cm="1">
        <f t="array" ref="N12">IFERROR(_xlfn.XLOOKUP(1,('Look Up Tables'!$B$300:$B$323=$G12)*('Look Up Tables'!$C$300:$C$323=$H12)*('Look Up Tables'!$D$300:$D$323=$I12)*('Look Up Tables'!$E$300:$E$323=$J12),'Look Up Tables'!$G$300:$G$323),"")</f>
        <v/>
      </c>
      <c r="O12" s="160" t="e">
        <f t="shared" si="0"/>
        <v>#VALUE!</v>
      </c>
      <c r="P12" s="213">
        <v>0.09</v>
      </c>
      <c r="Q12" s="320">
        <v>365</v>
      </c>
      <c r="R12" s="588" t="str">
        <f t="shared" si="1"/>
        <v/>
      </c>
      <c r="S12" s="201" t="str">
        <f t="shared" si="2"/>
        <v/>
      </c>
      <c r="T12" s="201" t="str">
        <f t="shared" si="2"/>
        <v/>
      </c>
      <c r="U12" s="183" t="str">
        <f t="shared" si="3"/>
        <v/>
      </c>
      <c r="V12" s="150" t="str">
        <f>IFERROR(R12*Incentives!$C$4+U12*Incentives!$C$5,"")</f>
        <v/>
      </c>
      <c r="W12" s="161" t="str">
        <f>IFERROR(V12*'Project Summary'!$H$37/'Project Summary'!$G$37,"")</f>
        <v/>
      </c>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row>
    <row r="13" spans="1:46" s="149" customFormat="1" ht="21.75" customHeight="1" x14ac:dyDescent="0.2">
      <c r="B13" s="158">
        <v>6</v>
      </c>
      <c r="C13" s="170"/>
      <c r="D13" s="708"/>
      <c r="E13" s="708"/>
      <c r="F13" s="171"/>
      <c r="G13" s="173"/>
      <c r="H13" s="173"/>
      <c r="I13" s="173"/>
      <c r="J13" s="173"/>
      <c r="K13" s="203"/>
      <c r="L13" s="197"/>
      <c r="M13" s="159" t="str" cm="1">
        <f t="array" ref="M13">IFERROR(_xlfn.XLOOKUP(1,('Look Up Tables'!$B$300:$B$323=$G13)*('Look Up Tables'!$C$300:$C$323=$H13)*('Look Up Tables'!$D$300:$D$323=$I13)*('Look Up Tables'!$E$300:$E$323=$J13),'Look Up Tables'!$F$300:$F$323),"")</f>
        <v/>
      </c>
      <c r="N13" s="160" t="str" cm="1">
        <f t="array" ref="N13">IFERROR(_xlfn.XLOOKUP(1,('Look Up Tables'!$B$300:$B$323=$G13)*('Look Up Tables'!$C$300:$C$323=$H13)*('Look Up Tables'!$D$300:$D$323=$I13)*('Look Up Tables'!$E$300:$E$323=$J13),'Look Up Tables'!$G$300:$G$323),"")</f>
        <v/>
      </c>
      <c r="O13" s="160" t="e">
        <f t="shared" si="0"/>
        <v>#VALUE!</v>
      </c>
      <c r="P13" s="213">
        <v>0.09</v>
      </c>
      <c r="Q13" s="320">
        <v>365</v>
      </c>
      <c r="R13" s="588" t="str">
        <f t="shared" si="1"/>
        <v/>
      </c>
      <c r="S13" s="201" t="str">
        <f t="shared" si="2"/>
        <v/>
      </c>
      <c r="T13" s="201" t="str">
        <f t="shared" si="2"/>
        <v/>
      </c>
      <c r="U13" s="183" t="str">
        <f t="shared" si="3"/>
        <v/>
      </c>
      <c r="V13" s="150" t="str">
        <f>IFERROR(R13*Incentives!$C$4+U13*Incentives!$C$5,"")</f>
        <v/>
      </c>
      <c r="W13" s="161" t="str">
        <f>IFERROR(V13*'Project Summary'!$H$37/'Project Summary'!$G$37,"")</f>
        <v/>
      </c>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row>
    <row r="14" spans="1:46" s="149" customFormat="1" ht="21.75" customHeight="1" x14ac:dyDescent="0.2">
      <c r="B14" s="158">
        <v>7</v>
      </c>
      <c r="C14" s="170"/>
      <c r="D14" s="708"/>
      <c r="E14" s="708"/>
      <c r="F14" s="171"/>
      <c r="G14" s="173"/>
      <c r="H14" s="173"/>
      <c r="I14" s="173"/>
      <c r="J14" s="173"/>
      <c r="K14" s="203"/>
      <c r="L14" s="197"/>
      <c r="M14" s="159" t="str" cm="1">
        <f t="array" ref="M14">IFERROR(_xlfn.XLOOKUP(1,('Look Up Tables'!$B$300:$B$323=$G14)*('Look Up Tables'!$C$300:$C$323=$H14)*('Look Up Tables'!$D$300:$D$323=$I14)*('Look Up Tables'!$E$300:$E$323=$J14),'Look Up Tables'!$F$300:$F$323),"")</f>
        <v/>
      </c>
      <c r="N14" s="160" t="str" cm="1">
        <f t="array" ref="N14">IFERROR(_xlfn.XLOOKUP(1,('Look Up Tables'!$B$300:$B$323=$G14)*('Look Up Tables'!$C$300:$C$323=$H14)*('Look Up Tables'!$D$300:$D$323=$I14)*('Look Up Tables'!$E$300:$E$323=$J14),'Look Up Tables'!$G$300:$G$323),"")</f>
        <v/>
      </c>
      <c r="O14" s="160" t="e">
        <f t="shared" si="0"/>
        <v>#VALUE!</v>
      </c>
      <c r="P14" s="213">
        <v>0.09</v>
      </c>
      <c r="Q14" s="320">
        <v>365</v>
      </c>
      <c r="R14" s="588" t="str">
        <f t="shared" si="1"/>
        <v/>
      </c>
      <c r="S14" s="201" t="str">
        <f t="shared" si="2"/>
        <v/>
      </c>
      <c r="T14" s="201" t="str">
        <f t="shared" si="2"/>
        <v/>
      </c>
      <c r="U14" s="183" t="str">
        <f t="shared" si="3"/>
        <v/>
      </c>
      <c r="V14" s="150" t="str">
        <f>IFERROR(R14*Incentives!$C$4+U14*Incentives!$C$5,"")</f>
        <v/>
      </c>
      <c r="W14" s="161" t="str">
        <f>IFERROR(V14*'Project Summary'!$H$37/'Project Summary'!$G$37,"")</f>
        <v/>
      </c>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row>
    <row r="15" spans="1:46" s="149" customFormat="1" ht="21.75" customHeight="1" x14ac:dyDescent="0.2">
      <c r="B15" s="158">
        <v>8</v>
      </c>
      <c r="C15" s="170"/>
      <c r="D15" s="708"/>
      <c r="E15" s="708"/>
      <c r="F15" s="171"/>
      <c r="G15" s="173"/>
      <c r="H15" s="173"/>
      <c r="I15" s="173"/>
      <c r="J15" s="173"/>
      <c r="K15" s="203"/>
      <c r="L15" s="197"/>
      <c r="M15" s="159" t="str" cm="1">
        <f t="array" ref="M15">IFERROR(_xlfn.XLOOKUP(1,('Look Up Tables'!$B$300:$B$323=$G15)*('Look Up Tables'!$C$300:$C$323=$H15)*('Look Up Tables'!$D$300:$D$323=$I15)*('Look Up Tables'!$E$300:$E$323=$J15),'Look Up Tables'!$F$300:$F$323),"")</f>
        <v/>
      </c>
      <c r="N15" s="160" t="str" cm="1">
        <f t="array" ref="N15">IFERROR(_xlfn.XLOOKUP(1,('Look Up Tables'!$B$300:$B$323=$G15)*('Look Up Tables'!$C$300:$C$323=$H15)*('Look Up Tables'!$D$300:$D$323=$I15)*('Look Up Tables'!$E$300:$E$323=$J15),'Look Up Tables'!$G$300:$G$323),"")</f>
        <v/>
      </c>
      <c r="O15" s="160" t="e">
        <f t="shared" si="0"/>
        <v>#VALUE!</v>
      </c>
      <c r="P15" s="213">
        <v>0.09</v>
      </c>
      <c r="Q15" s="320">
        <v>365</v>
      </c>
      <c r="R15" s="588" t="str">
        <f t="shared" si="1"/>
        <v/>
      </c>
      <c r="S15" s="201" t="str">
        <f t="shared" si="2"/>
        <v/>
      </c>
      <c r="T15" s="201" t="str">
        <f t="shared" si="2"/>
        <v/>
      </c>
      <c r="U15" s="183" t="str">
        <f t="shared" si="3"/>
        <v/>
      </c>
      <c r="V15" s="150" t="str">
        <f>IFERROR(R15*Incentives!$C$4+U15*Incentives!$C$5,"")</f>
        <v/>
      </c>
      <c r="W15" s="161" t="str">
        <f>IFERROR(V15*'Project Summary'!$H$37/'Project Summary'!$G$37,"")</f>
        <v/>
      </c>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row>
    <row r="16" spans="1:46" s="149" customFormat="1" ht="21.75" customHeight="1" x14ac:dyDescent="0.2">
      <c r="B16" s="158">
        <v>9</v>
      </c>
      <c r="C16" s="170"/>
      <c r="D16" s="708"/>
      <c r="E16" s="708"/>
      <c r="F16" s="171"/>
      <c r="G16" s="173"/>
      <c r="H16" s="173"/>
      <c r="I16" s="173"/>
      <c r="J16" s="173"/>
      <c r="K16" s="203"/>
      <c r="L16" s="197"/>
      <c r="M16" s="159" t="str" cm="1">
        <f t="array" ref="M16">IFERROR(_xlfn.XLOOKUP(1,('Look Up Tables'!$B$300:$B$323=$G16)*('Look Up Tables'!$C$300:$C$323=$H16)*('Look Up Tables'!$D$300:$D$323=$I16)*('Look Up Tables'!$E$300:$E$323=$J16),'Look Up Tables'!$F$300:$F$323),"")</f>
        <v/>
      </c>
      <c r="N16" s="160" t="str" cm="1">
        <f t="array" ref="N16">IFERROR(_xlfn.XLOOKUP(1,('Look Up Tables'!$B$300:$B$323=$G16)*('Look Up Tables'!$C$300:$C$323=$H16)*('Look Up Tables'!$D$300:$D$323=$I16)*('Look Up Tables'!$E$300:$E$323=$J16),'Look Up Tables'!$G$300:$G$323),"")</f>
        <v/>
      </c>
      <c r="O16" s="160" t="e">
        <f t="shared" si="0"/>
        <v>#VALUE!</v>
      </c>
      <c r="P16" s="213">
        <v>0.09</v>
      </c>
      <c r="Q16" s="320">
        <v>365</v>
      </c>
      <c r="R16" s="588" t="str">
        <f t="shared" si="1"/>
        <v/>
      </c>
      <c r="S16" s="201" t="str">
        <f t="shared" si="2"/>
        <v/>
      </c>
      <c r="T16" s="201" t="str">
        <f t="shared" si="2"/>
        <v/>
      </c>
      <c r="U16" s="183" t="str">
        <f t="shared" si="3"/>
        <v/>
      </c>
      <c r="V16" s="150" t="str">
        <f>IFERROR(R16*Incentives!$C$4+U16*Incentives!$C$5,"")</f>
        <v/>
      </c>
      <c r="W16" s="161" t="str">
        <f>IFERROR(V16*'Project Summary'!$H$37/'Project Summary'!$G$37,"")</f>
        <v/>
      </c>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row>
    <row r="17" spans="2:46" s="149" customFormat="1" ht="21.75" customHeight="1" thickBot="1" x14ac:dyDescent="0.25">
      <c r="B17" s="162">
        <v>10</v>
      </c>
      <c r="C17" s="174"/>
      <c r="D17" s="175"/>
      <c r="E17" s="175"/>
      <c r="F17" s="177"/>
      <c r="G17" s="176"/>
      <c r="H17" s="176"/>
      <c r="I17" s="176"/>
      <c r="J17" s="176"/>
      <c r="K17" s="206"/>
      <c r="L17" s="668"/>
      <c r="M17" s="163" t="str" cm="1">
        <f t="array" ref="M17">IFERROR(_xlfn.XLOOKUP(1,('Look Up Tables'!$B$300:$B$323=$G17)*('Look Up Tables'!$C$300:$C$323=$H17)*('Look Up Tables'!$D$300:$D$323=$I17)*('Look Up Tables'!$E$300:$E$323=$J17),'Look Up Tables'!$F$300:$F$323),"")</f>
        <v/>
      </c>
      <c r="N17" s="164" t="str" cm="1">
        <f t="array" ref="N17">IFERROR(_xlfn.XLOOKUP(1,('Look Up Tables'!$B$300:$B$323=$G17)*('Look Up Tables'!$C$300:$C$323=$H17)*('Look Up Tables'!$D$300:$D$323=$I17)*('Look Up Tables'!$E$300:$E$323=$J17),'Look Up Tables'!$G$300:$G$323),"")</f>
        <v/>
      </c>
      <c r="O17" s="164" t="e">
        <f t="shared" si="0"/>
        <v>#VALUE!</v>
      </c>
      <c r="P17" s="214">
        <v>0.09</v>
      </c>
      <c r="Q17" s="321">
        <v>365</v>
      </c>
      <c r="R17" s="605" t="str">
        <f t="shared" si="1"/>
        <v/>
      </c>
      <c r="S17" s="202" t="str">
        <f t="shared" si="2"/>
        <v/>
      </c>
      <c r="T17" s="202" t="str">
        <f t="shared" si="2"/>
        <v/>
      </c>
      <c r="U17" s="185" t="str">
        <f t="shared" si="3"/>
        <v/>
      </c>
      <c r="V17" s="150" t="str">
        <f>IFERROR(R17*Incentives!$C$4+U17*Incentives!$C$5,"")</f>
        <v/>
      </c>
      <c r="W17" s="165" t="str">
        <f>IFERROR(V17*'Project Summary'!$H$37/'Project Summary'!$G$37,"")</f>
        <v/>
      </c>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row>
    <row r="18" spans="2:46"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row>
    <row r="19" spans="2:46"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row>
    <row r="20" spans="2:46"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row>
    <row r="21" spans="2:46"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row>
    <row r="22" spans="2:46"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row>
    <row r="23" spans="2:46"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row>
    <row r="24" spans="2:46"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row>
    <row r="25" spans="2:46"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50"/>
    </row>
    <row r="26" spans="2:46"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50"/>
    </row>
    <row r="27" spans="2:46"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row>
    <row r="28" spans="2:46"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row>
    <row r="29" spans="2:46"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row>
    <row r="30" spans="2:46"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row>
    <row r="31" spans="2:46"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row>
    <row r="32" spans="2:46"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row>
    <row r="33" spans="2:46"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row>
    <row r="34" spans="2:46"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row>
    <row r="35" spans="2:46"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row>
    <row r="36" spans="2:46"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row>
    <row r="37" spans="2:46"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row>
    <row r="38" spans="2:46"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row>
    <row r="39" spans="2:46"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row>
    <row r="40" spans="2:46"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row>
    <row r="41" spans="2:46"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row>
    <row r="42" spans="2:46"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row>
    <row r="43" spans="2:46"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row>
    <row r="44" spans="2:46"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row>
    <row r="45" spans="2:46"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row>
    <row r="46" spans="2:46"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row>
    <row r="47" spans="2:46"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row>
    <row r="48" spans="2:46"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row>
    <row r="49" spans="2:46"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row>
    <row r="50" spans="2:46"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c r="AT50" s="150"/>
    </row>
    <row r="51" spans="2:46"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row>
    <row r="52" spans="2:46"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c r="AT52" s="150"/>
    </row>
    <row r="53" spans="2:46"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0"/>
    </row>
    <row r="54" spans="2:46"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c r="AT54" s="150"/>
    </row>
    <row r="55" spans="2:46"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row>
    <row r="56" spans="2:46"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row>
    <row r="57" spans="2:46"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row>
    <row r="58" spans="2:46"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row>
    <row r="59" spans="2:46"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row>
    <row r="60" spans="2:46"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row>
    <row r="61" spans="2:46"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row>
    <row r="62" spans="2:46"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row>
    <row r="63" spans="2:46"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row>
    <row r="64" spans="2:46"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row>
    <row r="65" spans="2:46"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row>
  </sheetData>
  <sheetProtection formatColumns="0"/>
  <mergeCells count="6">
    <mergeCell ref="B4:Q4"/>
    <mergeCell ref="C6:L6"/>
    <mergeCell ref="M6:U6"/>
    <mergeCell ref="V6:V7"/>
    <mergeCell ref="W6:W7"/>
    <mergeCell ref="B6:B7"/>
  </mergeCells>
  <phoneticPr fontId="90" type="noConversion"/>
  <conditionalFormatting sqref="F8:I17">
    <cfRule type="expression" dxfId="12"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63" yWindow="438" count="5">
        <x14:dataValidation type="list" allowBlank="1" showInputMessage="1" showErrorMessage="1" promptTitle="Retrofit Only" prompt="This measure is for retrofit projects only. If new Construction, please contact CLEAResult for further assistance._x000a_" xr:uid="{C9A3CF08-9E1A-4A29-9CDF-785230472C9C}">
          <x14:formula1>
            <xm:f>'Look Up Tables'!$F$33:$F$34</xm:f>
          </x14:formula1>
          <xm:sqref>F8:F17</xm:sqref>
        </x14:dataValidation>
        <x14:dataValidation type="list" allowBlank="1" showInputMessage="1" showErrorMessage="1" xr:uid="{F9F171AE-8600-48E6-8B71-838F3DCB15F3}">
          <x14:formula1>
            <xm:f>'Look Up Tables'!$C$293:$C$294</xm:f>
          </x14:formula1>
          <xm:sqref>H8:H17</xm:sqref>
        </x14:dataValidation>
        <x14:dataValidation type="list" allowBlank="1" showInputMessage="1" showErrorMessage="1" xr:uid="{17B272E8-841B-4F4F-89BD-C270CFC1A39E}">
          <x14:formula1>
            <xm:f>'Look Up Tables'!$D$293:$D$294</xm:f>
          </x14:formula1>
          <xm:sqref>I8:I17</xm:sqref>
        </x14:dataValidation>
        <x14:dataValidation type="list" allowBlank="1" showInputMessage="1" showErrorMessage="1" xr:uid="{6C9C5D1D-D0DE-48FB-AB2E-B0E399226005}">
          <x14:formula1>
            <xm:f>'Look Up Tables'!$E$293:$E$295</xm:f>
          </x14:formula1>
          <xm:sqref>J8:J17</xm:sqref>
        </x14:dataValidation>
        <x14:dataValidation type="list" allowBlank="1" showInputMessage="1" showErrorMessage="1" xr:uid="{9983F735-464D-4CEC-A5D8-9C2C197077C6}">
          <x14:formula1>
            <xm:f>'Look Up Tables'!$B$293:$B$294</xm:f>
          </x14:formula1>
          <xm:sqref>G8:G17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3877-1996-43DF-9E5F-6A917CE9E066}">
  <sheetPr codeName="Sheet14">
    <tabColor theme="8" tint="0.59999389629810485"/>
  </sheetPr>
  <dimension ref="A1:AN65"/>
  <sheetViews>
    <sheetView zoomScaleNormal="100" workbookViewId="0">
      <selection activeCell="B8" sqref="B8"/>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15.625" style="145" customWidth="1"/>
    <col min="8" max="8" width="9.125" style="145" bestFit="1" customWidth="1"/>
    <col min="9" max="9" width="10.625" style="145" hidden="1" customWidth="1"/>
    <col min="10" max="10" width="6.625" style="145" hidden="1" customWidth="1"/>
    <col min="11" max="11" width="10.125" style="145" hidden="1" customWidth="1"/>
    <col min="12" max="12" width="12.625" style="145" bestFit="1" customWidth="1"/>
    <col min="13" max="14" width="12.625" style="145" customWidth="1"/>
    <col min="15" max="15" width="11.5" style="145" customWidth="1"/>
    <col min="16" max="16" width="23" style="145" hidden="1" customWidth="1"/>
    <col min="17" max="17" width="14.125" style="145" customWidth="1"/>
    <col min="18" max="16384" width="8.625" style="145"/>
  </cols>
  <sheetData>
    <row r="1" spans="1:40" x14ac:dyDescent="0.2">
      <c r="A1" s="144" t="s">
        <v>795</v>
      </c>
      <c r="I1" s="145" t="s">
        <v>207</v>
      </c>
      <c r="J1" s="145" t="s">
        <v>207</v>
      </c>
      <c r="K1" s="145" t="s">
        <v>207</v>
      </c>
      <c r="P1" s="145" t="s">
        <v>207</v>
      </c>
    </row>
    <row r="2" spans="1:40" ht="9.75" customHeight="1" x14ac:dyDescent="0.2"/>
    <row r="3" spans="1:40" ht="34.5" customHeight="1" x14ac:dyDescent="0.5">
      <c r="B3" s="783" t="s">
        <v>225</v>
      </c>
      <c r="C3" s="784"/>
      <c r="D3" s="784"/>
      <c r="E3" s="784"/>
      <c r="F3" s="784"/>
      <c r="G3" s="784"/>
      <c r="H3" s="785"/>
      <c r="I3" s="785"/>
      <c r="J3" s="785"/>
      <c r="K3" s="785"/>
    </row>
    <row r="4" spans="1:40" ht="29.1" customHeight="1" x14ac:dyDescent="0.2">
      <c r="B4" s="923" t="s">
        <v>210</v>
      </c>
      <c r="C4" s="923"/>
      <c r="D4" s="923"/>
      <c r="E4" s="923"/>
      <c r="F4" s="923"/>
      <c r="G4" s="923"/>
      <c r="H4" s="923"/>
      <c r="I4" s="923"/>
      <c r="J4" s="923"/>
      <c r="K4" s="923"/>
    </row>
    <row r="5" spans="1:40" ht="9" customHeight="1" thickBot="1" x14ac:dyDescent="0.3">
      <c r="B5" s="148"/>
      <c r="C5" s="148"/>
      <c r="D5" s="148"/>
      <c r="E5" s="148"/>
      <c r="F5" s="148"/>
    </row>
    <row r="6" spans="1:40" s="149" customFormat="1" ht="22.35" customHeight="1" x14ac:dyDescent="0.2">
      <c r="B6" s="926" t="s">
        <v>275</v>
      </c>
      <c r="C6" s="929" t="s">
        <v>796</v>
      </c>
      <c r="D6" s="930"/>
      <c r="E6" s="930"/>
      <c r="F6" s="930"/>
      <c r="G6" s="930"/>
      <c r="H6" s="936"/>
      <c r="I6" s="776"/>
      <c r="J6" s="777"/>
      <c r="K6" s="777"/>
      <c r="L6" s="920" t="s">
        <v>797</v>
      </c>
      <c r="M6" s="921"/>
      <c r="N6" s="921"/>
      <c r="O6" s="922"/>
      <c r="P6" s="934" t="s">
        <v>219</v>
      </c>
      <c r="Q6" s="926" t="s">
        <v>798</v>
      </c>
      <c r="W6" s="150"/>
      <c r="X6" s="150"/>
      <c r="Y6" s="150"/>
      <c r="Z6" s="150"/>
      <c r="AA6" s="150"/>
      <c r="AB6" s="150"/>
    </row>
    <row r="7" spans="1:40" s="150" customFormat="1" ht="63.75" customHeight="1" thickBot="1" x14ac:dyDescent="0.25">
      <c r="B7" s="928"/>
      <c r="C7" s="768" t="s">
        <v>799</v>
      </c>
      <c r="D7" s="769" t="s">
        <v>141</v>
      </c>
      <c r="E7" s="769" t="s">
        <v>143</v>
      </c>
      <c r="F7" s="770" t="s">
        <v>145</v>
      </c>
      <c r="G7" s="770" t="s">
        <v>800</v>
      </c>
      <c r="H7" s="771" t="s">
        <v>155</v>
      </c>
      <c r="I7" s="778" t="s">
        <v>652</v>
      </c>
      <c r="J7" s="761" t="s">
        <v>194</v>
      </c>
      <c r="K7" s="779" t="s">
        <v>392</v>
      </c>
      <c r="L7" s="761" t="s">
        <v>192</v>
      </c>
      <c r="M7" s="763" t="s">
        <v>806</v>
      </c>
      <c r="N7" s="763" t="s">
        <v>807</v>
      </c>
      <c r="O7" s="764" t="s">
        <v>808</v>
      </c>
      <c r="P7" s="934"/>
      <c r="Q7" s="927"/>
    </row>
    <row r="8" spans="1:40" s="149" customFormat="1" ht="21.75" customHeight="1" x14ac:dyDescent="0.2">
      <c r="B8" s="155">
        <v>1</v>
      </c>
      <c r="C8" s="166"/>
      <c r="D8" s="167"/>
      <c r="E8" s="167"/>
      <c r="F8" s="168"/>
      <c r="G8" s="168"/>
      <c r="H8" s="169"/>
      <c r="I8" s="192" t="str">
        <f>'Project Summary'!$C$10</f>
        <v/>
      </c>
      <c r="J8" s="193" cm="1">
        <f t="array" ref="J8">IFERROR(INDEX(_xlfn.IFS('Auto Closer'!$G8="Refrigeration",'Look Up Tables'!$D$173:$D$181,'Auto Closer'!$G8="Unknown",'Look Up Tables'!$D$173:$D$181,'Auto Closer'!$G8="Freezer",'Look Up Tables'!$F$173:$F$181),MATCH('Auto Closer'!$I8,'Look Up Tables'!$C$173:$C$181,0)),0)</f>
        <v>0</v>
      </c>
      <c r="K8" s="709" cm="1">
        <f t="array" ref="K8">IFERROR(INDEX(_xlfn.IFS('Auto Closer'!$G8="Refrigeration",'Look Up Tables'!$E$173:$E$181,'Auto Closer'!$G8="Unknown",'Look Up Tables'!$E$173:$E$181,'Auto Closer'!$G8="Freezer",'Look Up Tables'!$G$173:$G$181),MATCH('Auto Closer'!$I8,'Look Up Tables'!$C$173:$C$181,0)),0)</f>
        <v>0</v>
      </c>
      <c r="L8" s="587" t="str">
        <f>IFERROR(ROUND(IF(F8="Retrofit",H8*J8,""),2),"")</f>
        <v/>
      </c>
      <c r="M8" s="496" t="str">
        <f>IFERROR(ROUND(IF(F8="Retrofit",H8*K8,""),4),"")</f>
        <v/>
      </c>
      <c r="N8" s="496" t="str">
        <f>IFERROR(ROUND(IF(F8="Retrofit",H8*K8,""),4),"")</f>
        <v/>
      </c>
      <c r="O8" s="503" t="str">
        <f>IFERROR(ROUND((M8+N8)/2,4),"")</f>
        <v/>
      </c>
      <c r="P8" s="150" t="str">
        <f>IFERROR(L8*Incentives!$C$4+O8*Incentives!$C$5,"")</f>
        <v/>
      </c>
      <c r="Q8" s="191" t="str">
        <f>IFERROR(P8*'Project Summary'!$H$37/'Project Summary'!$G$37,"")</f>
        <v/>
      </c>
      <c r="R8" s="150"/>
      <c r="S8" s="150"/>
      <c r="T8" s="150"/>
      <c r="U8" s="150"/>
      <c r="V8" s="150"/>
      <c r="W8" s="150"/>
      <c r="X8" s="150"/>
      <c r="Y8" s="150"/>
      <c r="Z8" s="150"/>
      <c r="AA8" s="150"/>
      <c r="AB8" s="150"/>
      <c r="AC8" s="150"/>
      <c r="AD8" s="150"/>
      <c r="AE8" s="150"/>
      <c r="AF8" s="150"/>
      <c r="AG8" s="150"/>
      <c r="AH8" s="150"/>
      <c r="AI8" s="150"/>
      <c r="AJ8" s="150"/>
      <c r="AK8" s="150"/>
      <c r="AL8" s="150"/>
      <c r="AM8" s="150"/>
      <c r="AN8" s="150"/>
    </row>
    <row r="9" spans="1:40" s="149" customFormat="1" ht="21.75" customHeight="1" x14ac:dyDescent="0.2">
      <c r="B9" s="158">
        <v>2</v>
      </c>
      <c r="C9" s="170"/>
      <c r="D9" s="708"/>
      <c r="E9" s="708"/>
      <c r="F9" s="171"/>
      <c r="G9" s="173"/>
      <c r="H9" s="172"/>
      <c r="I9" s="159" t="str">
        <f>'Project Summary'!$C$10</f>
        <v/>
      </c>
      <c r="J9" s="160" cm="1">
        <f t="array" ref="J9">IFERROR(INDEX(_xlfn.IFS('Auto Closer'!$G9="Refrigeration",'Look Up Tables'!$D$173:$D$181,'Auto Closer'!$G9="Freezer",'Look Up Tables'!$F$173:$F$181),MATCH('Auto Closer'!$I9,'Look Up Tables'!$C$173:$C$181,0)),0)</f>
        <v>0</v>
      </c>
      <c r="K9" s="710" cm="1">
        <f t="array" ref="K9">IFERROR(INDEX(_xlfn.IFS('Auto Closer'!$G9="Refrigeration",'Look Up Tables'!$E$173:$E$181,'Auto Closer'!$G9="Freezer",'Look Up Tables'!$G$173:$G$181),MATCH('Auto Closer'!$I9,'Look Up Tables'!$C$173:$C$181,0)),0)</f>
        <v>0</v>
      </c>
      <c r="L9" s="588" t="str">
        <f t="shared" ref="L9:L17" si="0">IFERROR(ROUND(IF(F9="Retrofit",H9*J9,""),2),"")</f>
        <v/>
      </c>
      <c r="M9" s="498" t="str">
        <f t="shared" ref="M9:M17" si="1">IFERROR(ROUND(IF(F9="Retrofit",H9*K9,""),4),"")</f>
        <v/>
      </c>
      <c r="N9" s="498" t="str">
        <f t="shared" ref="N9:N17" si="2">IFERROR(ROUND(IF(F9="Retrofit",H9*K9,""),4),"")</f>
        <v/>
      </c>
      <c r="O9" s="504" t="str">
        <f t="shared" ref="O9:O17" si="3">IFERROR(ROUND((M9+N9)/2,4),"")</f>
        <v/>
      </c>
      <c r="P9" s="150" t="str">
        <f>IFERROR(L9*Incentives!$C$4+O9*Incentives!$C$5,"")</f>
        <v/>
      </c>
      <c r="Q9" s="161" t="str">
        <f>IFERROR(P9*'Project Summary'!$H$37/'Project Summary'!$G$37,"")</f>
        <v/>
      </c>
      <c r="R9" s="150"/>
      <c r="S9" s="150"/>
      <c r="T9" s="150"/>
      <c r="U9" s="150"/>
      <c r="V9" s="150"/>
      <c r="W9" s="150"/>
      <c r="X9" s="150"/>
      <c r="Y9" s="150"/>
      <c r="Z9" s="150"/>
      <c r="AA9" s="150"/>
      <c r="AB9" s="150"/>
      <c r="AC9" s="150"/>
      <c r="AD9" s="150"/>
      <c r="AE9" s="150"/>
      <c r="AF9" s="150"/>
      <c r="AG9" s="150"/>
      <c r="AH9" s="150"/>
      <c r="AI9" s="150"/>
      <c r="AJ9" s="150"/>
      <c r="AK9" s="150"/>
      <c r="AL9" s="150"/>
      <c r="AM9" s="150"/>
      <c r="AN9" s="150"/>
    </row>
    <row r="10" spans="1:40" s="149" customFormat="1" ht="21.75" customHeight="1" x14ac:dyDescent="0.2">
      <c r="B10" s="158">
        <v>3</v>
      </c>
      <c r="C10" s="170"/>
      <c r="D10" s="708"/>
      <c r="E10" s="708"/>
      <c r="F10" s="171"/>
      <c r="G10" s="173"/>
      <c r="H10" s="172"/>
      <c r="I10" s="159" t="str">
        <f>'Project Summary'!$C$10</f>
        <v/>
      </c>
      <c r="J10" s="160" cm="1">
        <f t="array" ref="J10">IFERROR(INDEX(_xlfn.IFS('Auto Closer'!$G10="Refrigeration",'Look Up Tables'!$D$173:$D$181,'Auto Closer'!$G10="Freezer",'Look Up Tables'!$F$173:$F$181),MATCH('Auto Closer'!$I10,'Look Up Tables'!$C$173:$C$181,0)),0)</f>
        <v>0</v>
      </c>
      <c r="K10" s="710" cm="1">
        <f t="array" ref="K10">IFERROR(INDEX(_xlfn.IFS('Auto Closer'!$G10="Refrigeration",'Look Up Tables'!$E$173:$E$181,'Auto Closer'!$G10="Freezer",'Look Up Tables'!$G$173:$G$181),MATCH('Auto Closer'!$I10,'Look Up Tables'!$C$173:$C$181,0)),0)</f>
        <v>0</v>
      </c>
      <c r="L10" s="588" t="str">
        <f t="shared" si="0"/>
        <v/>
      </c>
      <c r="M10" s="498" t="str">
        <f t="shared" si="1"/>
        <v/>
      </c>
      <c r="N10" s="498" t="str">
        <f t="shared" si="2"/>
        <v/>
      </c>
      <c r="O10" s="504" t="str">
        <f t="shared" si="3"/>
        <v/>
      </c>
      <c r="P10" s="150" t="str">
        <f>IFERROR(L10*Incentives!$C$4+O10*Incentives!$C$5,"")</f>
        <v/>
      </c>
      <c r="Q10" s="161" t="str">
        <f>IFERROR(P10*'Project Summary'!$H$37/'Project Summary'!$G$37,"")</f>
        <v/>
      </c>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row>
    <row r="11" spans="1:40" s="149" customFormat="1" ht="21.75" customHeight="1" x14ac:dyDescent="0.2">
      <c r="B11" s="158">
        <v>4</v>
      </c>
      <c r="C11" s="170"/>
      <c r="D11" s="708"/>
      <c r="E11" s="708"/>
      <c r="F11" s="171"/>
      <c r="G11" s="173"/>
      <c r="H11" s="172"/>
      <c r="I11" s="159" t="str">
        <f>'Project Summary'!$C$10</f>
        <v/>
      </c>
      <c r="J11" s="160" cm="1">
        <f t="array" ref="J11">IFERROR(INDEX(_xlfn.IFS('Auto Closer'!$G11="Refrigeration",'Look Up Tables'!$D$173:$D$181,'Auto Closer'!$G11="Freezer",'Look Up Tables'!$F$173:$F$181),MATCH('Auto Closer'!$I11,'Look Up Tables'!$C$173:$C$181,0)),0)</f>
        <v>0</v>
      </c>
      <c r="K11" s="710" cm="1">
        <f t="array" ref="K11">IFERROR(INDEX(_xlfn.IFS('Auto Closer'!$G11="Refrigeration",'Look Up Tables'!$E$173:$E$181,'Auto Closer'!$G11="Freezer",'Look Up Tables'!$G$173:$G$181),MATCH('Auto Closer'!$I11,'Look Up Tables'!$C$173:$C$181,0)),0)</f>
        <v>0</v>
      </c>
      <c r="L11" s="588" t="str">
        <f t="shared" si="0"/>
        <v/>
      </c>
      <c r="M11" s="498" t="str">
        <f t="shared" si="1"/>
        <v/>
      </c>
      <c r="N11" s="498" t="str">
        <f t="shared" si="2"/>
        <v/>
      </c>
      <c r="O11" s="504" t="str">
        <f t="shared" si="3"/>
        <v/>
      </c>
      <c r="P11" s="150" t="str">
        <f>IFERROR(L11*Incentives!$C$4+O11*Incentives!$C$5,"")</f>
        <v/>
      </c>
      <c r="Q11" s="161" t="str">
        <f>IFERROR(P11*'Project Summary'!$H$37/'Project Summary'!$G$37,"")</f>
        <v/>
      </c>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row>
    <row r="12" spans="1:40" s="149" customFormat="1" ht="21.75" customHeight="1" x14ac:dyDescent="0.2">
      <c r="B12" s="158">
        <v>5</v>
      </c>
      <c r="C12" s="170"/>
      <c r="D12" s="708"/>
      <c r="E12" s="708"/>
      <c r="F12" s="171"/>
      <c r="G12" s="173"/>
      <c r="H12" s="172"/>
      <c r="I12" s="159" t="str">
        <f>'Project Summary'!$C$10</f>
        <v/>
      </c>
      <c r="J12" s="160" cm="1">
        <f t="array" ref="J12">IFERROR(INDEX(_xlfn.IFS('Auto Closer'!$G12="Refrigeration",'Look Up Tables'!$D$173:$D$181,'Auto Closer'!$G12="Freezer",'Look Up Tables'!$F$173:$F$181),MATCH('Auto Closer'!$I12,'Look Up Tables'!$C$173:$C$181,0)),0)</f>
        <v>0</v>
      </c>
      <c r="K12" s="710" cm="1">
        <f t="array" ref="K12">IFERROR(INDEX(_xlfn.IFS('Auto Closer'!$G12="Refrigeration",'Look Up Tables'!$E$173:$E$181,'Auto Closer'!$G12="Freezer",'Look Up Tables'!$G$173:$G$181),MATCH('Auto Closer'!$I12,'Look Up Tables'!$C$173:$C$181,0)),0)</f>
        <v>0</v>
      </c>
      <c r="L12" s="588" t="str">
        <f t="shared" si="0"/>
        <v/>
      </c>
      <c r="M12" s="498" t="str">
        <f t="shared" si="1"/>
        <v/>
      </c>
      <c r="N12" s="498" t="str">
        <f t="shared" si="2"/>
        <v/>
      </c>
      <c r="O12" s="504" t="str">
        <f t="shared" si="3"/>
        <v/>
      </c>
      <c r="P12" s="150" t="str">
        <f>IFERROR(L12*Incentives!$C$4+O12*Incentives!$C$5,"")</f>
        <v/>
      </c>
      <c r="Q12" s="161" t="str">
        <f>IFERROR(P12*'Project Summary'!$H$37/'Project Summary'!$G$37,"")</f>
        <v/>
      </c>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row>
    <row r="13" spans="1:40" s="149" customFormat="1" ht="21.75" customHeight="1" x14ac:dyDescent="0.2">
      <c r="B13" s="158">
        <v>6</v>
      </c>
      <c r="C13" s="170"/>
      <c r="D13" s="708"/>
      <c r="E13" s="708"/>
      <c r="F13" s="171"/>
      <c r="G13" s="171"/>
      <c r="H13" s="172"/>
      <c r="I13" s="159" t="str">
        <f>'Project Summary'!$C$10</f>
        <v/>
      </c>
      <c r="J13" s="160" cm="1">
        <f t="array" ref="J13">IFERROR(INDEX(_xlfn.IFS('Auto Closer'!$G13="Refrigeration",'Look Up Tables'!$D$173:$D$181,'Auto Closer'!$G13="Freezer",'Look Up Tables'!$F$173:$F$181),MATCH('Auto Closer'!$I13,'Look Up Tables'!$C$173:$C$181,0)),0)</f>
        <v>0</v>
      </c>
      <c r="K13" s="710" cm="1">
        <f t="array" ref="K13">IFERROR(INDEX(_xlfn.IFS('Auto Closer'!$G13="Refrigeration",'Look Up Tables'!$E$173:$E$181,'Auto Closer'!$G13="Freezer",'Look Up Tables'!$G$173:$G$181),MATCH('Auto Closer'!$I13,'Look Up Tables'!$C$173:$C$181,0)),0)</f>
        <v>0</v>
      </c>
      <c r="L13" s="588" t="str">
        <f t="shared" si="0"/>
        <v/>
      </c>
      <c r="M13" s="498" t="str">
        <f t="shared" si="1"/>
        <v/>
      </c>
      <c r="N13" s="498" t="str">
        <f t="shared" si="2"/>
        <v/>
      </c>
      <c r="O13" s="504" t="str">
        <f t="shared" si="3"/>
        <v/>
      </c>
      <c r="P13" s="150" t="str">
        <f>IFERROR(L13*Incentives!$C$4+O13*Incentives!$C$5,"")</f>
        <v/>
      </c>
      <c r="Q13" s="161" t="str">
        <f>IFERROR(P13*'Project Summary'!$H$37/'Project Summary'!$G$37,"")</f>
        <v/>
      </c>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row>
    <row r="14" spans="1:40" s="149" customFormat="1" ht="21.75" customHeight="1" x14ac:dyDescent="0.2">
      <c r="B14" s="158">
        <v>7</v>
      </c>
      <c r="C14" s="170"/>
      <c r="D14" s="708"/>
      <c r="E14" s="708"/>
      <c r="F14" s="171"/>
      <c r="G14" s="171"/>
      <c r="H14" s="172"/>
      <c r="I14" s="159" t="str">
        <f>'Project Summary'!$C$10</f>
        <v/>
      </c>
      <c r="J14" s="160" cm="1">
        <f t="array" ref="J14">IFERROR(INDEX(_xlfn.IFS('Auto Closer'!$G14="Refrigeration",'Look Up Tables'!$D$173:$D$181,'Auto Closer'!$G14="Freezer",'Look Up Tables'!$F$173:$F$181),MATCH('Auto Closer'!$I14,'Look Up Tables'!$C$173:$C$181,0)),0)</f>
        <v>0</v>
      </c>
      <c r="K14" s="710" cm="1">
        <f t="array" ref="K14">IFERROR(INDEX(_xlfn.IFS('Auto Closer'!$G14="Refrigeration",'Look Up Tables'!$E$173:$E$181,'Auto Closer'!$G14="Freezer",'Look Up Tables'!$G$173:$G$181),MATCH('Auto Closer'!$I14,'Look Up Tables'!$C$173:$C$181,0)),0)</f>
        <v>0</v>
      </c>
      <c r="L14" s="588" t="str">
        <f t="shared" si="0"/>
        <v/>
      </c>
      <c r="M14" s="498" t="str">
        <f t="shared" si="1"/>
        <v/>
      </c>
      <c r="N14" s="498" t="str">
        <f t="shared" si="2"/>
        <v/>
      </c>
      <c r="O14" s="504" t="str">
        <f t="shared" si="3"/>
        <v/>
      </c>
      <c r="P14" s="150" t="str">
        <f>IFERROR(L14*Incentives!$C$4+O14*Incentives!$C$5,"")</f>
        <v/>
      </c>
      <c r="Q14" s="161" t="str">
        <f>IFERROR(P14*'Project Summary'!$H$37/'Project Summary'!$G$37,"")</f>
        <v/>
      </c>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row>
    <row r="15" spans="1:40" s="149" customFormat="1" ht="21.75" customHeight="1" x14ac:dyDescent="0.2">
      <c r="B15" s="158">
        <v>8</v>
      </c>
      <c r="C15" s="170"/>
      <c r="D15" s="708"/>
      <c r="E15" s="708"/>
      <c r="F15" s="171"/>
      <c r="G15" s="171"/>
      <c r="H15" s="172"/>
      <c r="I15" s="159" t="str">
        <f>'Project Summary'!$C$10</f>
        <v/>
      </c>
      <c r="J15" s="160" cm="1">
        <f t="array" ref="J15">IFERROR(INDEX(_xlfn.IFS('Auto Closer'!$G15="Refrigeration",'Look Up Tables'!$D$173:$D$181,'Auto Closer'!$G15="Freezer",'Look Up Tables'!$F$173:$F$181),MATCH('Auto Closer'!$I15,'Look Up Tables'!$C$173:$C$181,0)),0)</f>
        <v>0</v>
      </c>
      <c r="K15" s="710" cm="1">
        <f t="array" ref="K15">IFERROR(INDEX(_xlfn.IFS('Auto Closer'!$G15="Refrigeration",'Look Up Tables'!$E$173:$E$181,'Auto Closer'!$G15="Freezer",'Look Up Tables'!$G$173:$G$181),MATCH('Auto Closer'!$I15,'Look Up Tables'!$C$173:$C$181,0)),0)</f>
        <v>0</v>
      </c>
      <c r="L15" s="588" t="str">
        <f t="shared" si="0"/>
        <v/>
      </c>
      <c r="M15" s="498" t="str">
        <f t="shared" si="1"/>
        <v/>
      </c>
      <c r="N15" s="498" t="str">
        <f t="shared" si="2"/>
        <v/>
      </c>
      <c r="O15" s="504" t="str">
        <f t="shared" si="3"/>
        <v/>
      </c>
      <c r="P15" s="150" t="str">
        <f>IFERROR(L15*Incentives!$C$4+O15*Incentives!$C$5,"")</f>
        <v/>
      </c>
      <c r="Q15" s="161" t="str">
        <f>IFERROR(P15*'Project Summary'!$H$37/'Project Summary'!$G$37,"")</f>
        <v/>
      </c>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row>
    <row r="16" spans="1:40" s="149" customFormat="1" ht="21.75" customHeight="1" x14ac:dyDescent="0.2">
      <c r="B16" s="158">
        <v>9</v>
      </c>
      <c r="C16" s="170"/>
      <c r="D16" s="708"/>
      <c r="E16" s="708"/>
      <c r="F16" s="171"/>
      <c r="G16" s="171"/>
      <c r="H16" s="172"/>
      <c r="I16" s="159" t="str">
        <f>'Project Summary'!$C$10</f>
        <v/>
      </c>
      <c r="J16" s="160" cm="1">
        <f t="array" ref="J16">IFERROR(INDEX(_xlfn.IFS('Auto Closer'!$G16="Refrigeration",'Look Up Tables'!$D$173:$D$181,'Auto Closer'!$G16="Freezer",'Look Up Tables'!$F$173:$F$181),MATCH('Auto Closer'!$I16,'Look Up Tables'!$C$173:$C$181,0)),0)</f>
        <v>0</v>
      </c>
      <c r="K16" s="710" cm="1">
        <f t="array" ref="K16">IFERROR(INDEX(_xlfn.IFS('Auto Closer'!$G16="Refrigeration",'Look Up Tables'!$E$173:$E$181,'Auto Closer'!$G16="Freezer",'Look Up Tables'!$G$173:$G$181),MATCH('Auto Closer'!$I16,'Look Up Tables'!$C$173:$C$181,0)),0)</f>
        <v>0</v>
      </c>
      <c r="L16" s="588" t="str">
        <f t="shared" si="0"/>
        <v/>
      </c>
      <c r="M16" s="498" t="str">
        <f t="shared" si="1"/>
        <v/>
      </c>
      <c r="N16" s="498" t="str">
        <f t="shared" si="2"/>
        <v/>
      </c>
      <c r="O16" s="504" t="str">
        <f t="shared" si="3"/>
        <v/>
      </c>
      <c r="P16" s="150" t="str">
        <f>IFERROR(L16*Incentives!$C$4+O16*Incentives!$C$5,"")</f>
        <v/>
      </c>
      <c r="Q16" s="161" t="str">
        <f>IFERROR(P16*'Project Summary'!$H$37/'Project Summary'!$G$37,"")</f>
        <v/>
      </c>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row>
    <row r="17" spans="2:40" s="149" customFormat="1" ht="21.75" customHeight="1" thickBot="1" x14ac:dyDescent="0.25">
      <c r="B17" s="162">
        <v>10</v>
      </c>
      <c r="C17" s="174"/>
      <c r="D17" s="175"/>
      <c r="E17" s="175"/>
      <c r="F17" s="176"/>
      <c r="G17" s="176"/>
      <c r="H17" s="668"/>
      <c r="I17" s="163" t="str">
        <f>'Project Summary'!$C$10</f>
        <v/>
      </c>
      <c r="J17" s="164" cm="1">
        <f t="array" ref="J17">IFERROR(INDEX(_xlfn.IFS('Auto Closer'!$G17="Refrigeration",'Look Up Tables'!$D$173:$D$181,'Auto Closer'!$G17="Freezer",'Look Up Tables'!$F$173:$F$181),MATCH('Auto Closer'!$I17,'Look Up Tables'!$C$173:$C$181,0)),0)</f>
        <v>0</v>
      </c>
      <c r="K17" s="711" cm="1">
        <f t="array" ref="K17">IFERROR(INDEX(_xlfn.IFS('Auto Closer'!$G17="Refrigeration",'Look Up Tables'!$E$173:$E$181,'Auto Closer'!$G17="Freezer",'Look Up Tables'!$G$173:$G$181),MATCH('Auto Closer'!$I17,'Look Up Tables'!$C$173:$C$181,0)),0)</f>
        <v>0</v>
      </c>
      <c r="L17" s="605" t="str">
        <f t="shared" si="0"/>
        <v/>
      </c>
      <c r="M17" s="499" t="str">
        <f t="shared" si="1"/>
        <v/>
      </c>
      <c r="N17" s="499" t="str">
        <f t="shared" si="2"/>
        <v/>
      </c>
      <c r="O17" s="505" t="str">
        <f t="shared" si="3"/>
        <v/>
      </c>
      <c r="P17" s="150" t="str">
        <f>IFERROR(L17*Incentives!$C$4+O17*Incentives!$C$5,"")</f>
        <v/>
      </c>
      <c r="Q17" s="165" t="str">
        <f>IFERROR(P17*'Project Summary'!$H$37/'Project Summary'!$G$37,"")</f>
        <v/>
      </c>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row>
    <row r="18" spans="2:40"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row>
    <row r="19" spans="2:40"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row>
    <row r="20" spans="2:40"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row>
    <row r="21" spans="2:40"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row>
    <row r="22" spans="2:40"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row>
    <row r="23" spans="2:40"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row>
    <row r="24" spans="2:40"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row>
    <row r="25" spans="2:40"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row>
    <row r="26" spans="2:40"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row>
    <row r="27" spans="2:40"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row>
    <row r="28" spans="2:40"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row>
    <row r="29" spans="2:40"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row>
    <row r="30" spans="2:40"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row>
    <row r="31" spans="2:40"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row>
    <row r="32" spans="2:40"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row>
    <row r="33" spans="2:40"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row>
    <row r="34" spans="2:40"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row>
    <row r="35" spans="2:40"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row>
    <row r="36" spans="2:40"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row>
    <row r="37" spans="2:40"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row>
    <row r="38" spans="2:40"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row>
    <row r="39" spans="2:40"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row>
    <row r="40" spans="2:40"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row>
    <row r="41" spans="2:40"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row>
    <row r="42" spans="2:40"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row>
    <row r="43" spans="2:40"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row>
    <row r="44" spans="2:40"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row>
    <row r="45" spans="2:40"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row>
    <row r="46" spans="2:40"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row>
    <row r="47" spans="2:40"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row>
    <row r="48" spans="2:40"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row>
    <row r="49" spans="2:40"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row>
    <row r="50" spans="2:40"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row>
    <row r="51" spans="2:40"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row>
    <row r="52" spans="2:40"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row>
    <row r="53" spans="2:40"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row>
    <row r="54" spans="2:40"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row>
    <row r="55" spans="2:40"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row>
    <row r="56" spans="2:40"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row>
    <row r="57" spans="2:40"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row>
    <row r="58" spans="2:40"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row>
    <row r="59" spans="2:40"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row>
    <row r="60" spans="2:40"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row>
    <row r="61" spans="2:40"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row>
    <row r="62" spans="2:40"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row>
    <row r="63" spans="2:40"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row>
    <row r="64" spans="2:40"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row>
    <row r="65" spans="2:40"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row>
  </sheetData>
  <sheetProtection algorithmName="SHA-512" hashValue="Av3UBvmw0mJqJ91r+YuggaTrjQ/iLltIhCvCO+vhMBDVd15YcaOYnKdOB+eRtxPVF3uRWuKKd0GsJPHovbDENw==" saltValue="ireLBALNMU1a4bRsYH8jJQ==" spinCount="100000" sheet="1" formatColumns="0"/>
  <mergeCells count="6">
    <mergeCell ref="B4:K4"/>
    <mergeCell ref="C6:H6"/>
    <mergeCell ref="P6:P7"/>
    <mergeCell ref="Q6:Q7"/>
    <mergeCell ref="B6:B7"/>
    <mergeCell ref="L6:O6"/>
  </mergeCells>
  <conditionalFormatting sqref="F8:F17">
    <cfRule type="expression" dxfId="11"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Retrofit Only" prompt="This measure is for retrofit projects only. If new Construction, please contact CLEAResult for further assistance._x000a_" xr:uid="{A19E6FD5-5246-4659-AA57-24C6965E47C4}">
          <x14:formula1>
            <xm:f>'Look Up Tables'!$F$33:$F$34</xm:f>
          </x14:formula1>
          <xm:sqref>F8:F17</xm:sqref>
        </x14:dataValidation>
        <x14:dataValidation type="list" allowBlank="1" showInputMessage="1" showErrorMessage="1" xr:uid="{51F08FEC-D9D3-4225-AEE8-9C861468CD4C}">
          <x14:formula1>
            <xm:f>'Look Up Tables'!$D$3:$D$5</xm:f>
          </x14:formula1>
          <xm:sqref>G8:G17</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21E41-6D03-4F26-8152-9A487D8548C3}">
  <sheetPr codeName="Sheet18">
    <tabColor theme="8" tint="0.59999389629810485"/>
  </sheetPr>
  <dimension ref="A1:AK65"/>
  <sheetViews>
    <sheetView zoomScale="80" zoomScaleNormal="80" workbookViewId="0">
      <selection activeCell="L4" sqref="L4"/>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13.625" style="145" customWidth="1"/>
    <col min="8" max="8" width="11.125" style="145" customWidth="1"/>
    <col min="9" max="9" width="5.625" style="145" customWidth="1"/>
    <col min="10" max="10" width="12.5" style="145" customWidth="1"/>
    <col min="11" max="11" width="12.625" style="145" bestFit="1" customWidth="1"/>
    <col min="12" max="12" width="11.5" style="145" bestFit="1" customWidth="1"/>
    <col min="13" max="13" width="8.625" style="145" customWidth="1"/>
    <col min="14" max="14" width="14.125" style="145" customWidth="1"/>
    <col min="15" max="16384" width="8.625" style="145"/>
  </cols>
  <sheetData>
    <row r="1" spans="1:37" x14ac:dyDescent="0.2">
      <c r="A1" s="144" t="s">
        <v>795</v>
      </c>
      <c r="I1" s="145" t="s">
        <v>207</v>
      </c>
      <c r="J1" s="145" t="s">
        <v>207</v>
      </c>
      <c r="M1" s="145" t="s">
        <v>207</v>
      </c>
    </row>
    <row r="2" spans="1:37" ht="9.75" customHeight="1" x14ac:dyDescent="0.2"/>
    <row r="3" spans="1:37" ht="34.5" customHeight="1" x14ac:dyDescent="0.5">
      <c r="B3" s="188" t="s">
        <v>229</v>
      </c>
      <c r="C3" s="147"/>
      <c r="D3" s="147"/>
      <c r="E3" s="147"/>
      <c r="F3" s="147"/>
      <c r="G3" s="147"/>
    </row>
    <row r="4" spans="1:37" ht="29.1" customHeight="1" x14ac:dyDescent="0.2">
      <c r="B4" s="190" t="s">
        <v>210</v>
      </c>
      <c r="C4" s="190"/>
      <c r="D4" s="190"/>
      <c r="E4" s="190"/>
      <c r="F4" s="190"/>
      <c r="G4" s="190"/>
      <c r="H4" s="190"/>
      <c r="I4" s="190"/>
      <c r="J4" s="190"/>
    </row>
    <row r="5" spans="1:37" ht="9" customHeight="1" thickBot="1" x14ac:dyDescent="0.3">
      <c r="B5" s="148"/>
      <c r="C5" s="148"/>
      <c r="D5" s="148"/>
      <c r="E5" s="148"/>
      <c r="F5" s="148"/>
      <c r="G5" s="148"/>
    </row>
    <row r="6" spans="1:37" s="149" customFormat="1" ht="22.35" customHeight="1" x14ac:dyDescent="0.2">
      <c r="B6" s="941" t="s">
        <v>275</v>
      </c>
      <c r="C6" s="943" t="s">
        <v>796</v>
      </c>
      <c r="D6" s="944"/>
      <c r="E6" s="944"/>
      <c r="F6" s="944"/>
      <c r="G6" s="944"/>
      <c r="H6" s="945"/>
      <c r="I6" s="953" t="s">
        <v>797</v>
      </c>
      <c r="J6" s="954"/>
      <c r="K6" s="954"/>
      <c r="L6" s="955"/>
      <c r="M6" s="960" t="s">
        <v>219</v>
      </c>
      <c r="N6" s="941" t="s">
        <v>798</v>
      </c>
      <c r="S6" s="150"/>
      <c r="T6" s="150"/>
      <c r="U6" s="150"/>
      <c r="V6" s="150"/>
      <c r="W6" s="150"/>
      <c r="X6" s="150"/>
    </row>
    <row r="7" spans="1:37" s="150" customFormat="1" ht="33.75" customHeight="1" thickBot="1" x14ac:dyDescent="0.25">
      <c r="B7" s="942"/>
      <c r="C7" s="151" t="s">
        <v>799</v>
      </c>
      <c r="D7" s="152" t="s">
        <v>141</v>
      </c>
      <c r="E7" s="152" t="s">
        <v>143</v>
      </c>
      <c r="F7" s="153" t="s">
        <v>145</v>
      </c>
      <c r="G7" s="179" t="s">
        <v>849</v>
      </c>
      <c r="H7" s="154" t="s">
        <v>155</v>
      </c>
      <c r="I7" s="198" t="s">
        <v>203</v>
      </c>
      <c r="J7" s="205" t="s">
        <v>205</v>
      </c>
      <c r="K7" s="199" t="s">
        <v>192</v>
      </c>
      <c r="L7" s="200" t="s">
        <v>848</v>
      </c>
      <c r="M7" s="960"/>
      <c r="N7" s="950"/>
    </row>
    <row r="8" spans="1:37" s="149" customFormat="1" ht="21.75" customHeight="1" x14ac:dyDescent="0.2">
      <c r="B8" s="155">
        <v>1</v>
      </c>
      <c r="C8" s="195"/>
      <c r="D8" s="196"/>
      <c r="E8" s="196"/>
      <c r="F8" s="173"/>
      <c r="G8" s="203"/>
      <c r="H8" s="203"/>
      <c r="I8" s="192">
        <v>404.4</v>
      </c>
      <c r="J8" s="319">
        <f t="shared" ref="J8:J17" si="0">I8/8760</f>
        <v>4.6164383561643832E-2</v>
      </c>
      <c r="K8" s="180">
        <f>IFERROR(ROUND(IF($F8="Retrofit",$H8*($G8*I8),0),2),"")</f>
        <v>0</v>
      </c>
      <c r="L8" s="181">
        <f>IFERROR(ROUND(IF($F8="Retrofit",$H8*($G8*J8),0),4),"")</f>
        <v>0</v>
      </c>
      <c r="M8" s="150">
        <f>IFERROR(K8*Incentives!$C$4+L8*Incentives!$C$5,"")</f>
        <v>0</v>
      </c>
      <c r="N8" s="191" t="str">
        <f>IFERROR(M8*'Project Summary'!$H$37/'Project Summary'!$G$37,"")</f>
        <v/>
      </c>
      <c r="O8" s="150"/>
      <c r="P8" s="150"/>
      <c r="Q8" s="949"/>
      <c r="R8" s="949"/>
      <c r="S8" s="949"/>
      <c r="T8" s="949"/>
      <c r="U8" s="949"/>
      <c r="V8" s="949"/>
      <c r="W8" s="150"/>
      <c r="X8" s="150"/>
      <c r="Y8" s="150"/>
      <c r="Z8" s="150"/>
      <c r="AA8" s="150"/>
      <c r="AB8" s="150"/>
      <c r="AC8" s="150"/>
      <c r="AD8" s="150"/>
      <c r="AE8" s="150"/>
      <c r="AF8" s="150"/>
      <c r="AG8" s="150"/>
      <c r="AH8" s="150"/>
      <c r="AI8" s="150"/>
      <c r="AJ8" s="150"/>
      <c r="AK8" s="150"/>
    </row>
    <row r="9" spans="1:37" s="149" customFormat="1" ht="21.75" customHeight="1" x14ac:dyDescent="0.2">
      <c r="B9" s="158">
        <v>2</v>
      </c>
      <c r="C9" s="170"/>
      <c r="D9" s="708"/>
      <c r="E9" s="708"/>
      <c r="F9" s="173"/>
      <c r="G9" s="187"/>
      <c r="H9" s="187"/>
      <c r="I9" s="159">
        <v>404.4</v>
      </c>
      <c r="J9" s="320">
        <f t="shared" si="0"/>
        <v>4.6164383561643832E-2</v>
      </c>
      <c r="K9" s="182">
        <f t="shared" ref="K9:K17" si="1">IFERROR(ROUND(IF($F9="Retrofit",$H9*($G9*I9),0),2),"")</f>
        <v>0</v>
      </c>
      <c r="L9" s="183">
        <f t="shared" ref="L9:L17" si="2">IFERROR(ROUND(IF($F9="Retrofit",$H9*($G9*J9),0),4),"")</f>
        <v>0</v>
      </c>
      <c r="M9" s="150">
        <f>IFERROR(K9*Incentives!$C$4+L9*Incentives!$C$5,"")</f>
        <v>0</v>
      </c>
      <c r="N9" s="161" t="str">
        <f>IFERROR(M9*'Project Summary'!$H$37/'Project Summary'!$G$37,"")</f>
        <v/>
      </c>
      <c r="O9" s="150"/>
      <c r="P9" s="150"/>
      <c r="Q9" s="949"/>
      <c r="R9" s="949"/>
      <c r="S9" s="949"/>
      <c r="T9" s="949"/>
      <c r="U9" s="949"/>
      <c r="V9" s="949"/>
      <c r="W9" s="150"/>
      <c r="X9" s="150"/>
      <c r="Y9" s="150"/>
      <c r="Z9" s="150"/>
      <c r="AA9" s="150"/>
      <c r="AB9" s="150"/>
      <c r="AC9" s="150"/>
      <c r="AD9" s="150"/>
      <c r="AE9" s="150"/>
      <c r="AF9" s="150"/>
      <c r="AG9" s="150"/>
      <c r="AH9" s="150"/>
      <c r="AI9" s="150"/>
      <c r="AJ9" s="150"/>
      <c r="AK9" s="150"/>
    </row>
    <row r="10" spans="1:37" s="149" customFormat="1" ht="21.75" customHeight="1" x14ac:dyDescent="0.2">
      <c r="B10" s="158">
        <v>3</v>
      </c>
      <c r="C10" s="170"/>
      <c r="D10" s="708"/>
      <c r="E10" s="708"/>
      <c r="F10" s="173"/>
      <c r="G10" s="187"/>
      <c r="H10" s="187"/>
      <c r="I10" s="159">
        <v>404.4</v>
      </c>
      <c r="J10" s="320">
        <f t="shared" si="0"/>
        <v>4.6164383561643832E-2</v>
      </c>
      <c r="K10" s="182">
        <f t="shared" si="1"/>
        <v>0</v>
      </c>
      <c r="L10" s="183">
        <f t="shared" si="2"/>
        <v>0</v>
      </c>
      <c r="M10" s="150">
        <f>IFERROR(K10*Incentives!$C$4+L10*Incentives!$C$5,"")</f>
        <v>0</v>
      </c>
      <c r="N10" s="161" t="str">
        <f>IFERROR(M10*'Project Summary'!$H$37/'Project Summary'!$G$37,"")</f>
        <v/>
      </c>
      <c r="O10" s="150"/>
      <c r="P10" s="150"/>
      <c r="Q10" s="949"/>
      <c r="R10" s="949"/>
      <c r="S10" s="949"/>
      <c r="T10" s="949"/>
      <c r="U10" s="949"/>
      <c r="V10" s="949"/>
      <c r="W10" s="150"/>
      <c r="X10" s="150"/>
      <c r="Y10" s="150"/>
      <c r="Z10" s="150"/>
      <c r="AA10" s="150"/>
      <c r="AB10" s="150"/>
      <c r="AC10" s="150"/>
      <c r="AD10" s="150"/>
      <c r="AE10" s="150"/>
      <c r="AF10" s="150"/>
      <c r="AG10" s="150"/>
      <c r="AH10" s="150"/>
      <c r="AI10" s="150"/>
      <c r="AJ10" s="150"/>
      <c r="AK10" s="150"/>
    </row>
    <row r="11" spans="1:37" s="149" customFormat="1" ht="21.75" customHeight="1" x14ac:dyDescent="0.2">
      <c r="B11" s="158">
        <v>4</v>
      </c>
      <c r="C11" s="170"/>
      <c r="D11" s="708"/>
      <c r="E11" s="708"/>
      <c r="F11" s="173"/>
      <c r="G11" s="187"/>
      <c r="H11" s="187"/>
      <c r="I11" s="159">
        <v>404.4</v>
      </c>
      <c r="J11" s="320">
        <f t="shared" si="0"/>
        <v>4.6164383561643832E-2</v>
      </c>
      <c r="K11" s="182">
        <f t="shared" si="1"/>
        <v>0</v>
      </c>
      <c r="L11" s="183">
        <f t="shared" si="2"/>
        <v>0</v>
      </c>
      <c r="M11" s="150">
        <f>IFERROR(K11*Incentives!$C$4+L11*Incentives!$C$5,"")</f>
        <v>0</v>
      </c>
      <c r="N11" s="161" t="str">
        <f>IFERROR(M11*'Project Summary'!$H$37/'Project Summary'!$G$37,"")</f>
        <v/>
      </c>
      <c r="O11" s="150"/>
      <c r="P11" s="150"/>
      <c r="Q11" s="949"/>
      <c r="R11" s="949"/>
      <c r="S11" s="949"/>
      <c r="T11" s="949"/>
      <c r="U11" s="949"/>
      <c r="V11" s="949"/>
      <c r="W11" s="150"/>
      <c r="X11" s="150"/>
      <c r="Y11" s="150"/>
      <c r="Z11" s="150"/>
      <c r="AA11" s="150"/>
      <c r="AB11" s="150"/>
      <c r="AC11" s="150"/>
      <c r="AD11" s="150"/>
      <c r="AE11" s="150"/>
      <c r="AF11" s="150"/>
      <c r="AG11" s="150"/>
      <c r="AH11" s="150"/>
      <c r="AI11" s="150"/>
      <c r="AJ11" s="150"/>
      <c r="AK11" s="150"/>
    </row>
    <row r="12" spans="1:37" s="149" customFormat="1" ht="21.75" customHeight="1" x14ac:dyDescent="0.2">
      <c r="B12" s="158">
        <v>5</v>
      </c>
      <c r="C12" s="170"/>
      <c r="D12" s="708"/>
      <c r="E12" s="708"/>
      <c r="F12" s="173"/>
      <c r="G12" s="187"/>
      <c r="H12" s="187"/>
      <c r="I12" s="159">
        <v>404.4</v>
      </c>
      <c r="J12" s="320">
        <f t="shared" si="0"/>
        <v>4.6164383561643832E-2</v>
      </c>
      <c r="K12" s="182">
        <f t="shared" si="1"/>
        <v>0</v>
      </c>
      <c r="L12" s="183">
        <f t="shared" si="2"/>
        <v>0</v>
      </c>
      <c r="M12" s="150">
        <f>IFERROR(K12*Incentives!$C$4+L12*Incentives!$C$5,"")</f>
        <v>0</v>
      </c>
      <c r="N12" s="161" t="str">
        <f>IFERROR(M12*'Project Summary'!$H$37/'Project Summary'!$G$37,"")</f>
        <v/>
      </c>
      <c r="O12" s="150"/>
      <c r="P12" s="150"/>
      <c r="Q12" s="949"/>
      <c r="R12" s="949"/>
      <c r="S12" s="949"/>
      <c r="T12" s="949"/>
      <c r="U12" s="949"/>
      <c r="V12" s="949"/>
      <c r="W12" s="150"/>
      <c r="X12" s="150"/>
      <c r="Y12" s="150"/>
      <c r="Z12" s="150"/>
      <c r="AA12" s="150"/>
      <c r="AB12" s="150"/>
      <c r="AC12" s="150"/>
      <c r="AD12" s="150"/>
      <c r="AE12" s="150"/>
      <c r="AF12" s="150"/>
      <c r="AG12" s="150"/>
      <c r="AH12" s="150"/>
      <c r="AI12" s="150"/>
      <c r="AJ12" s="150"/>
      <c r="AK12" s="150"/>
    </row>
    <row r="13" spans="1:37" s="149" customFormat="1" ht="21.75" customHeight="1" x14ac:dyDescent="0.2">
      <c r="B13" s="158">
        <v>6</v>
      </c>
      <c r="C13" s="170"/>
      <c r="D13" s="708"/>
      <c r="E13" s="708"/>
      <c r="F13" s="173"/>
      <c r="G13" s="187"/>
      <c r="H13" s="187"/>
      <c r="I13" s="159">
        <v>404.4</v>
      </c>
      <c r="J13" s="320">
        <f t="shared" si="0"/>
        <v>4.6164383561643832E-2</v>
      </c>
      <c r="K13" s="182">
        <f t="shared" si="1"/>
        <v>0</v>
      </c>
      <c r="L13" s="183">
        <f t="shared" si="2"/>
        <v>0</v>
      </c>
      <c r="M13" s="150">
        <f>IFERROR(K13*Incentives!$C$4+L13*Incentives!$C$5,"")</f>
        <v>0</v>
      </c>
      <c r="N13" s="161" t="str">
        <f>IFERROR(M13*'Project Summary'!$H$37/'Project Summary'!$G$37,"")</f>
        <v/>
      </c>
      <c r="O13" s="150"/>
      <c r="P13" s="150"/>
      <c r="Q13" s="949"/>
      <c r="R13" s="949"/>
      <c r="S13" s="949"/>
      <c r="T13" s="949"/>
      <c r="U13" s="949"/>
      <c r="V13" s="949"/>
      <c r="W13" s="150"/>
      <c r="X13" s="150"/>
      <c r="Y13" s="150"/>
      <c r="Z13" s="150"/>
      <c r="AA13" s="150"/>
      <c r="AB13" s="150"/>
      <c r="AC13" s="150"/>
      <c r="AD13" s="150"/>
      <c r="AE13" s="150"/>
      <c r="AF13" s="150"/>
      <c r="AG13" s="150"/>
      <c r="AH13" s="150"/>
      <c r="AI13" s="150"/>
      <c r="AJ13" s="150"/>
      <c r="AK13" s="150"/>
    </row>
    <row r="14" spans="1:37" s="149" customFormat="1" ht="21.75" customHeight="1" x14ac:dyDescent="0.2">
      <c r="B14" s="158">
        <v>7</v>
      </c>
      <c r="C14" s="170"/>
      <c r="D14" s="708"/>
      <c r="E14" s="708"/>
      <c r="F14" s="173"/>
      <c r="G14" s="187"/>
      <c r="H14" s="187"/>
      <c r="I14" s="159">
        <v>404.4</v>
      </c>
      <c r="J14" s="320">
        <f t="shared" si="0"/>
        <v>4.6164383561643832E-2</v>
      </c>
      <c r="K14" s="182">
        <f t="shared" si="1"/>
        <v>0</v>
      </c>
      <c r="L14" s="183">
        <f t="shared" si="2"/>
        <v>0</v>
      </c>
      <c r="M14" s="150">
        <f>IFERROR(K14*Incentives!$C$4+L14*Incentives!$C$5,"")</f>
        <v>0</v>
      </c>
      <c r="N14" s="161" t="str">
        <f>IFERROR(M14*'Project Summary'!$H$37/'Project Summary'!$G$37,"")</f>
        <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row>
    <row r="15" spans="1:37" s="149" customFormat="1" ht="21.75" customHeight="1" x14ac:dyDescent="0.2">
      <c r="B15" s="158">
        <v>8</v>
      </c>
      <c r="C15" s="170"/>
      <c r="D15" s="708"/>
      <c r="E15" s="708"/>
      <c r="F15" s="173"/>
      <c r="G15" s="187"/>
      <c r="H15" s="187"/>
      <c r="I15" s="159">
        <v>404.4</v>
      </c>
      <c r="J15" s="320">
        <f t="shared" si="0"/>
        <v>4.6164383561643832E-2</v>
      </c>
      <c r="K15" s="182">
        <f t="shared" si="1"/>
        <v>0</v>
      </c>
      <c r="L15" s="183">
        <f t="shared" si="2"/>
        <v>0</v>
      </c>
      <c r="M15" s="150">
        <f>IFERROR(K15*Incentives!$C$4+L15*Incentives!$C$5,"")</f>
        <v>0</v>
      </c>
      <c r="N15" s="161" t="str">
        <f>IFERROR(M15*'Project Summary'!$H$37/'Project Summary'!$G$37,"")</f>
        <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row>
    <row r="16" spans="1:37" s="149" customFormat="1" ht="21.75" customHeight="1" x14ac:dyDescent="0.2">
      <c r="B16" s="158">
        <v>9</v>
      </c>
      <c r="C16" s="170"/>
      <c r="D16" s="708"/>
      <c r="E16" s="708"/>
      <c r="F16" s="171"/>
      <c r="G16" s="187"/>
      <c r="H16" s="187"/>
      <c r="I16" s="159">
        <v>404.4</v>
      </c>
      <c r="J16" s="320">
        <f t="shared" si="0"/>
        <v>4.6164383561643832E-2</v>
      </c>
      <c r="K16" s="182">
        <f t="shared" si="1"/>
        <v>0</v>
      </c>
      <c r="L16" s="183">
        <f t="shared" si="2"/>
        <v>0</v>
      </c>
      <c r="M16" s="150">
        <f>IFERROR(K16*Incentives!$C$4+L16*Incentives!$C$5,"")</f>
        <v>0</v>
      </c>
      <c r="N16" s="161" t="str">
        <f>IFERROR(M16*'Project Summary'!$H$37/'Project Summary'!$G$37,"")</f>
        <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row>
    <row r="17" spans="2:37" s="149" customFormat="1" ht="21.75" customHeight="1" thickBot="1" x14ac:dyDescent="0.25">
      <c r="B17" s="162">
        <v>10</v>
      </c>
      <c r="C17" s="174"/>
      <c r="D17" s="175"/>
      <c r="E17" s="175"/>
      <c r="F17" s="177"/>
      <c r="G17" s="204"/>
      <c r="H17" s="204"/>
      <c r="I17" s="163">
        <v>404.4</v>
      </c>
      <c r="J17" s="321">
        <f t="shared" si="0"/>
        <v>4.6164383561643832E-2</v>
      </c>
      <c r="K17" s="184">
        <f t="shared" si="1"/>
        <v>0</v>
      </c>
      <c r="L17" s="185">
        <f t="shared" si="2"/>
        <v>0</v>
      </c>
      <c r="M17" s="150">
        <f>IFERROR(K17*Incentives!$C$4+L17*Incentives!$C$5,"")</f>
        <v>0</v>
      </c>
      <c r="N17" s="165" t="str">
        <f>IFERROR(M17*'Project Summary'!$H$37/'Project Summary'!$G$37,"")</f>
        <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row>
    <row r="18" spans="2:37"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row>
    <row r="19" spans="2:37"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row>
    <row r="20" spans="2:37"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row>
    <row r="21" spans="2:37"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row>
    <row r="22" spans="2:37"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row>
    <row r="23" spans="2:37"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row>
    <row r="24" spans="2:37"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row>
    <row r="25" spans="2:37"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row>
    <row r="26" spans="2:37"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row>
    <row r="27" spans="2:37"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row>
    <row r="28" spans="2:37"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row>
    <row r="29" spans="2:37"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row>
    <row r="30" spans="2:37"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row>
    <row r="31" spans="2:37"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row>
    <row r="32" spans="2:37"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row>
    <row r="33" spans="2:37"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row>
    <row r="34" spans="2:37"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row>
    <row r="35" spans="2:37"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row>
    <row r="36" spans="2:37"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row>
    <row r="37" spans="2:37"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row>
    <row r="38" spans="2:37"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row>
    <row r="39" spans="2:37"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row>
    <row r="40" spans="2:37"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row>
    <row r="41" spans="2:37"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row>
    <row r="42" spans="2:37"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row>
    <row r="43" spans="2:37"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row>
    <row r="44" spans="2:37"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row>
    <row r="45" spans="2:37"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row>
    <row r="46" spans="2:37"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row>
    <row r="47" spans="2:37"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row>
    <row r="48" spans="2:37"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row>
    <row r="49" spans="2:37"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row>
    <row r="50" spans="2:37"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row>
    <row r="51" spans="2:37"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row>
    <row r="52" spans="2:37"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row>
    <row r="53" spans="2:37"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row>
    <row r="54" spans="2:37"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row>
    <row r="55" spans="2:37"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row>
    <row r="56" spans="2:37"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row>
    <row r="57" spans="2:37"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row>
    <row r="58" spans="2:37"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row>
    <row r="59" spans="2:37"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row>
    <row r="60" spans="2:37"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row>
    <row r="61" spans="2:37"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row>
    <row r="62" spans="2:37"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row>
    <row r="63" spans="2:37"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row>
    <row r="64" spans="2:37"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row>
    <row r="65" spans="2:37"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row>
  </sheetData>
  <sheetProtection formatColumns="0"/>
  <mergeCells count="6">
    <mergeCell ref="B6:B7"/>
    <mergeCell ref="Q8:V13"/>
    <mergeCell ref="C6:H6"/>
    <mergeCell ref="I6:L6"/>
    <mergeCell ref="M6:M7"/>
    <mergeCell ref="N6:N7"/>
  </mergeCells>
  <conditionalFormatting sqref="F8:F17">
    <cfRule type="expression" dxfId="10" priority="1">
      <formula>$F8="New Construction"</formula>
    </cfRule>
  </conditionalFormatting>
  <dataValidations count="1">
    <dataValidation allowBlank="1" showErrorMessage="1" promptTitle="Retrofit Only" prompt="This measure is for retrofit projects only. If new Construction, please contact CLEAResult for further assistance._x000a_" sqref="G8:G17" xr:uid="{10A2D404-F8D3-4D07-BDD8-9C6F036F7BE7}"/>
  </dataValidations>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Retrofit Only" prompt="This measure is for retrofit projects only. If new Construction, please contact CLEAResult for further assistance._x000a_" xr:uid="{F80E7826-EAB9-478A-97DA-8E8C4BD722BE}">
          <x14:formula1>
            <xm:f>'Look Up Tables'!$F$33:$F$34</xm:f>
          </x14:formula1>
          <xm:sqref>F8:F17</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E44D7-CAA3-4BCB-8351-6904DB8C2E19}">
  <sheetPr>
    <tabColor theme="8" tint="0.59999389629810485"/>
  </sheetPr>
  <dimension ref="A1:AV65"/>
  <sheetViews>
    <sheetView zoomScaleNormal="100" workbookViewId="0">
      <selection activeCell="B8" sqref="B8"/>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9.625" style="145" customWidth="1"/>
    <col min="8" max="8" width="9" style="145" bestFit="1" customWidth="1"/>
    <col min="9" max="9" width="13.625" style="145" customWidth="1"/>
    <col min="10" max="10" width="24.125" style="145" customWidth="1"/>
    <col min="11" max="11" width="17.25" style="145" customWidth="1"/>
    <col min="12" max="12" width="13.625" style="145" customWidth="1"/>
    <col min="13" max="13" width="21.375" style="145" hidden="1" customWidth="1"/>
    <col min="14" max="14" width="10.125" style="145" hidden="1" customWidth="1"/>
    <col min="15" max="19" width="10.625" style="145" hidden="1" customWidth="1"/>
    <col min="20" max="22" width="12.625" style="145" customWidth="1"/>
    <col min="23" max="23" width="11.5" style="145" bestFit="1" customWidth="1"/>
    <col min="24" max="24" width="8.625" style="145" hidden="1" customWidth="1"/>
    <col min="25" max="25" width="14.125" style="145" customWidth="1"/>
    <col min="26" max="16384" width="8.625" style="145"/>
  </cols>
  <sheetData>
    <row r="1" spans="1:48" x14ac:dyDescent="0.2">
      <c r="A1" s="144" t="s">
        <v>795</v>
      </c>
      <c r="M1" s="145" t="s">
        <v>207</v>
      </c>
      <c r="N1" s="145" t="s">
        <v>207</v>
      </c>
      <c r="O1" s="145" t="s">
        <v>207</v>
      </c>
      <c r="P1" s="145" t="s">
        <v>207</v>
      </c>
      <c r="Q1" s="145" t="s">
        <v>207</v>
      </c>
      <c r="R1" s="145" t="s">
        <v>207</v>
      </c>
      <c r="S1" s="145" t="s">
        <v>207</v>
      </c>
      <c r="X1" s="145" t="s">
        <v>207</v>
      </c>
    </row>
    <row r="2" spans="1:48" ht="9.75" customHeight="1" x14ac:dyDescent="0.2"/>
    <row r="3" spans="1:48" ht="34.5" customHeight="1" x14ac:dyDescent="0.35">
      <c r="B3" s="963" t="s">
        <v>229</v>
      </c>
      <c r="C3" s="963"/>
      <c r="D3" s="963"/>
      <c r="E3" s="963"/>
      <c r="F3" s="963"/>
      <c r="G3" s="963"/>
      <c r="H3" s="963"/>
      <c r="I3" s="963"/>
    </row>
    <row r="4" spans="1:48" ht="29.1" customHeight="1" x14ac:dyDescent="0.2">
      <c r="B4" s="923" t="s">
        <v>210</v>
      </c>
      <c r="C4" s="923"/>
      <c r="D4" s="923"/>
      <c r="E4" s="923"/>
      <c r="F4" s="923"/>
      <c r="G4" s="923"/>
      <c r="H4" s="923"/>
      <c r="I4" s="923"/>
      <c r="J4" s="190"/>
      <c r="K4" s="190"/>
      <c r="L4" s="190"/>
      <c r="M4" s="190"/>
      <c r="N4" s="190"/>
      <c r="O4" s="207"/>
      <c r="P4" s="207"/>
      <c r="Q4" s="207"/>
      <c r="R4" s="207"/>
      <c r="S4" s="207"/>
    </row>
    <row r="5" spans="1:48" ht="9" customHeight="1" thickBot="1" x14ac:dyDescent="0.3">
      <c r="B5" s="148"/>
      <c r="C5" s="148"/>
      <c r="D5" s="148"/>
      <c r="E5" s="148"/>
      <c r="F5" s="148"/>
      <c r="G5" s="148"/>
    </row>
    <row r="6" spans="1:48" s="149" customFormat="1" ht="22.35" customHeight="1" x14ac:dyDescent="0.2">
      <c r="B6" s="924" t="s">
        <v>275</v>
      </c>
      <c r="C6" s="929" t="s">
        <v>796</v>
      </c>
      <c r="D6" s="930"/>
      <c r="E6" s="930"/>
      <c r="F6" s="930"/>
      <c r="G6" s="930"/>
      <c r="H6" s="930"/>
      <c r="I6" s="765"/>
      <c r="J6" s="765"/>
      <c r="K6" s="765"/>
      <c r="L6" s="767"/>
      <c r="M6" s="921" t="s">
        <v>797</v>
      </c>
      <c r="N6" s="921"/>
      <c r="O6" s="921"/>
      <c r="P6" s="921"/>
      <c r="Q6" s="921"/>
      <c r="R6" s="921"/>
      <c r="S6" s="921"/>
      <c r="T6" s="921"/>
      <c r="U6" s="921"/>
      <c r="V6" s="921"/>
      <c r="W6" s="922"/>
      <c r="X6" s="956" t="s">
        <v>219</v>
      </c>
      <c r="Y6" s="926" t="s">
        <v>798</v>
      </c>
      <c r="AC6" s="150"/>
      <c r="AD6" s="150"/>
      <c r="AE6" s="150"/>
      <c r="AF6" s="150"/>
      <c r="AG6" s="150"/>
      <c r="AH6" s="150"/>
    </row>
    <row r="7" spans="1:48" s="150" customFormat="1" ht="66" customHeight="1" thickBot="1" x14ac:dyDescent="0.25">
      <c r="B7" s="964"/>
      <c r="C7" s="780" t="s">
        <v>799</v>
      </c>
      <c r="D7" s="781" t="s">
        <v>141</v>
      </c>
      <c r="E7" s="781" t="s">
        <v>143</v>
      </c>
      <c r="F7" s="781" t="s">
        <v>145</v>
      </c>
      <c r="G7" s="781" t="s">
        <v>849</v>
      </c>
      <c r="H7" s="781" t="s">
        <v>155</v>
      </c>
      <c r="I7" s="781" t="s">
        <v>850</v>
      </c>
      <c r="J7" s="781" t="s">
        <v>851</v>
      </c>
      <c r="K7" s="781" t="s">
        <v>852</v>
      </c>
      <c r="L7" s="782" t="s">
        <v>853</v>
      </c>
      <c r="M7" s="769" t="s">
        <v>854</v>
      </c>
      <c r="N7" s="769" t="s">
        <v>855</v>
      </c>
      <c r="O7" s="769" t="s">
        <v>856</v>
      </c>
      <c r="P7" s="769" t="s">
        <v>857</v>
      </c>
      <c r="Q7" s="769" t="s">
        <v>858</v>
      </c>
      <c r="R7" s="769" t="s">
        <v>859</v>
      </c>
      <c r="S7" s="769" t="s">
        <v>296</v>
      </c>
      <c r="T7" s="762" t="s">
        <v>192</v>
      </c>
      <c r="U7" s="763" t="s">
        <v>806</v>
      </c>
      <c r="V7" s="763" t="s">
        <v>807</v>
      </c>
      <c r="W7" s="764" t="s">
        <v>808</v>
      </c>
      <c r="X7" s="956"/>
      <c r="Y7" s="927"/>
    </row>
    <row r="8" spans="1:48" s="149" customFormat="1" ht="21.6" customHeight="1" thickBot="1" x14ac:dyDescent="0.25">
      <c r="B8" s="376">
        <v>1</v>
      </c>
      <c r="C8" s="166"/>
      <c r="D8" s="168"/>
      <c r="E8" s="168"/>
      <c r="F8" s="168"/>
      <c r="G8" s="168"/>
      <c r="H8" s="168"/>
      <c r="I8" s="168"/>
      <c r="J8" s="168"/>
      <c r="K8" s="168"/>
      <c r="L8" s="669"/>
      <c r="M8" s="426" t="str" cm="1">
        <f t="array" ref="M8">_xlfn.IFS(AND(L8&gt;MIN(0), L8&lt;MAX(64999)),"&lt; 65,000",
     AND(L8&gt;MIN(65000),L8&lt;MAX(134999)),"≥ 65,000 and &lt; 135,000",
     AND(L8&gt;MIN(135000), L8&lt;MAX(239999)),"≥ 135,000 and &lt; 240,000",
     AND(L8&gt;MIN(240000), L8&lt;MAX(759999)),"≥ 240,000 and &lt; 760,000",
     AND(L8&gt;MIN(760000), L8&lt;MAX(100000000000)), "≥ 760,000",
     TRUE,"")</f>
        <v/>
      </c>
      <c r="N8" s="426">
        <v>404.4</v>
      </c>
      <c r="O8" s="193">
        <v>722</v>
      </c>
      <c r="P8" s="193" t="str" cm="1">
        <f t="array" ref="P8">IFERROR(_xlfn.XLOOKUP('Project Summary'!$C$13,'Look Up Tables'!$B$197:$B$210,_xlfn.XLOOKUP('Project Summary'!$C$10,'Look Up Tables'!$C$196:$K$196,'Look Up Tables'!$C$197:$K$210),FALSE),"")</f>
        <v/>
      </c>
      <c r="Q8" s="193" t="str" cm="1">
        <f t="array" ref="Q8">IFERROR(_xlfn.XLOOKUP('Project Summary'!$C$13,'Look Up Tables'!$B$214:$B$227,_xlfn.XLOOKUP('Project Summary'!$C$10,'Look Up Tables'!$C$213:$K$213,'Look Up Tables'!$C$214:$K$227),FALSE),"")</f>
        <v/>
      </c>
      <c r="R8" s="193" cm="1">
        <f t="array" ref="R8">IFERROR(IF($I8="No",13.71,_xlfn.XLOOKUP(1,('Look Up Tables'!$B$241:$B$284='Door Replace Open'!J8)*('Look Up Tables'!$D$241:$D$284='Door Replace Open'!K8)*('Look Up Tables'!$C$241:$C$284='Door Replace Open'!M8),'Look Up Tables'!$E$241:$E$284)),"")</f>
        <v>0</v>
      </c>
      <c r="S8" s="538" cm="1">
        <f t="array" ref="S8">IFERROR(IF($I8="No",3.345,_xlfn.XLOOKUP(1,('Look Up Tables'!$B$241:$B$284='Door Replace Open'!J8)*('Look Up Tables'!$D$241:$D$284='Door Replace Open'!K8)*('Look Up Tables'!$C$241:$C$284='Door Replace Open'!M8),'Look Up Tables'!$F$241:$F$284)),"")</f>
        <v>0</v>
      </c>
      <c r="T8" s="587" t="str">
        <f>_xlfn.LET(
  _xlpm.kWh_case,N8,
  _xlpm.width,G8,
  _xlpm.quantity,H8,
  _xlpm.IEER,R8,
  _xlpm.CLR,O8,
  _xlpm.EFLHc,P8,
  _xlpm.EFLHh,Q8,
  _xlpm.COP,S8,
  _xlpm.kWh,(_xlpm.kWh_case-(IFERROR((_xlpm.CLR*_xlpm.EFLHc)/(_xlpm.IEER*1000),0))+(IFERROR((_xlpm.CLR*_xlpm.EFLHh)/(_xlpm.COP*3.412*1000),0)))*_xlpm.width*_xlpm.quantity,
  IFERROR(ROUND(IF($F8="Retrofit",_xlpm.kWh,""),2),"")
)</f>
        <v/>
      </c>
      <c r="U8" s="496" t="str">
        <f>_xlfn.LET(
  _xlpm.kWh_case,N8,
  _xlpm.width,G8,
  _xlpm.quantity,H8,
  _xlpm.IEER,R8,
  _xlpm.CLR,O8,
  _xlpm.kW,((_xlpm.kWh_case/8760)-(IFERROR(_xlpm.CLR/(_xlpm.IEER*1000),0)))*_xlpm.width*_xlpm.quantity,
  IFERROR(ROUND(IF($F8="Retrofit",_xlpm.kW,""),4),"")
)</f>
        <v/>
      </c>
      <c r="V8" s="496" t="str">
        <f>_xlfn.LET(
  _xlpm.kWh_case,N8,
  _xlpm.width,G8,
  _xlpm.quantity,H8,
  _xlpm.CLR,O8,
  _xlpm.COP,S8,
  _xlpm.kW,((_xlpm.kWh_case/8760)+(IFERROR(_xlpm.CLR/(_xlpm.COP*3.412*1000),0)))*_xlpm.width*_xlpm.quantity,
  IFERROR(ROUND(IF($F8="Retrofit",_xlpm.kW,""),4),"")
)</f>
        <v/>
      </c>
      <c r="W8" s="503" t="str">
        <f t="shared" ref="W8" si="0">IFERROR(ROUND((U8+V8)/2,4),"")</f>
        <v/>
      </c>
      <c r="X8" s="712" t="str">
        <f>IFERROR(T8*Incentives!$C$4+W8*Incentives!$C$5,"")</f>
        <v/>
      </c>
      <c r="Y8" s="191" t="str">
        <f>IFERROR(ROUND(X8*'Project Summary'!$H$37/'Project Summary'!$G$37,2),"")</f>
        <v/>
      </c>
      <c r="Z8" s="150"/>
      <c r="AA8" s="150"/>
      <c r="AB8" s="150"/>
      <c r="AC8" s="150"/>
      <c r="AD8" s="150"/>
      <c r="AE8" s="150"/>
      <c r="AF8" s="150"/>
      <c r="AG8" s="150"/>
      <c r="AH8" s="150"/>
      <c r="AI8" s="150"/>
      <c r="AJ8" s="150"/>
      <c r="AK8" s="150"/>
      <c r="AL8" s="150"/>
      <c r="AM8" s="150"/>
      <c r="AN8" s="150"/>
      <c r="AO8" s="150"/>
      <c r="AP8" s="150"/>
      <c r="AQ8" s="150"/>
      <c r="AR8" s="150"/>
      <c r="AS8" s="150"/>
      <c r="AT8" s="150"/>
      <c r="AU8" s="150"/>
      <c r="AV8" s="150"/>
    </row>
    <row r="9" spans="1:48" s="149" customFormat="1" ht="21.75" customHeight="1" thickBot="1" x14ac:dyDescent="0.25">
      <c r="B9" s="327">
        <v>2</v>
      </c>
      <c r="C9" s="170"/>
      <c r="D9" s="171"/>
      <c r="E9" s="171"/>
      <c r="F9" s="171"/>
      <c r="G9" s="171"/>
      <c r="H9" s="171"/>
      <c r="I9" s="171"/>
      <c r="J9" s="171"/>
      <c r="K9" s="171"/>
      <c r="L9" s="670"/>
      <c r="M9" s="426" t="str" cm="1">
        <f t="array" ref="M9">_xlfn.IFS(AND(L9&gt;MIN(0), L9&lt;MAX(64999)),"&lt; 65,000",
     AND(L9&gt;MIN(65000),L9&lt;MAX(134999)),"≥ 65,000 and &lt; 135,000",
     AND(L9&gt;MIN(135000), L9&lt;MAX(239999)),"≥ 135,000 and &lt; 240,000",
     AND(L9&gt;MIN(240000), L9&lt;MAX(759999)),"≥ 240,000 and &lt; 760,000",
     AND(L9&gt;MIN(760000), L9&lt;MAX(100000000000)), "≥ 760,000",
     TRUE,"")</f>
        <v/>
      </c>
      <c r="N9" s="426">
        <v>404.4</v>
      </c>
      <c r="O9" s="193">
        <v>722</v>
      </c>
      <c r="P9" s="193" t="str" cm="1">
        <f t="array" ref="P9">IFERROR(_xlfn.XLOOKUP('Project Summary'!$C$13,'Look Up Tables'!$B$197:$B$210,_xlfn.XLOOKUP('Project Summary'!$C$10,'Look Up Tables'!$C$196:$K$196,'Look Up Tables'!$C$197:$K$210),FALSE),"")</f>
        <v/>
      </c>
      <c r="Q9" s="193" t="str" cm="1">
        <f t="array" ref="Q9">IFERROR(_xlfn.XLOOKUP('Project Summary'!$C$13,'Look Up Tables'!$B$214:$B$227,_xlfn.XLOOKUP('Project Summary'!$C$10,'Look Up Tables'!$C$213:$K$213,'Look Up Tables'!$C$214:$K$227),FALSE),"")</f>
        <v/>
      </c>
      <c r="R9" s="193" cm="1">
        <f t="array" ref="R9">IFERROR(IF($I9="No",13.71,_xlfn.XLOOKUP(1,('Look Up Tables'!$B$241:$B$284='Door Replace Open'!J9)*('Look Up Tables'!$D$241:$D$284='Door Replace Open'!K9)*('Look Up Tables'!$C$241:$C$284='Door Replace Open'!M9),'Look Up Tables'!$E$241:$E$284)),"")</f>
        <v>0</v>
      </c>
      <c r="S9" s="538" cm="1">
        <f t="array" ref="S9">IFERROR(IF($I9="No",3.345,_xlfn.XLOOKUP(1,('Look Up Tables'!$B$241:$B$284='Door Replace Open'!J9)*('Look Up Tables'!$D$241:$D$284='Door Replace Open'!K9)*('Look Up Tables'!$C$241:$C$284='Door Replace Open'!M9),'Look Up Tables'!$F$241:$F$284)),"")</f>
        <v>0</v>
      </c>
      <c r="T9" s="588" t="str">
        <f t="shared" ref="T9:T17" si="1">_xlfn.LET(
  _xlpm.kWh_case,N9,
  _xlpm.width,G9,
  _xlpm.quantity,H9,
  _xlpm.IEER,R9,
  _xlpm.CLR,O9,
  _xlpm.EFLHc,P9,
  _xlpm.EFLHh,Q9,
  _xlpm.COP,S9,
  _xlpm.kWh,(_xlpm.kWh_case-(IFERROR((_xlpm.CLR*_xlpm.EFLHc)/(_xlpm.IEER*1000),0))+(IFERROR((_xlpm.CLR*_xlpm.EFLHh)/(_xlpm.COP*3.412*1000),0)))*_xlpm.width*_xlpm.quantity,
  IFERROR(ROUND(IF($F9="Retrofit",_xlpm.kWh,""),2),"")
)</f>
        <v/>
      </c>
      <c r="U9" s="498" t="str">
        <f t="shared" ref="U9:U17" si="2">_xlfn.LET(
  _xlpm.kWh_case,N9,
  _xlpm.width,G9,
  _xlpm.quantity,H9,
  _xlpm.IEER,R9,
  _xlpm.CLR,O9,
  _xlpm.kW,((_xlpm.kWh_case/8760)-(IFERROR(_xlpm.CLR/(_xlpm.IEER*1000),0)))*_xlpm.width*_xlpm.quantity,
  IFERROR(ROUND(IF($F9="Retrofit",_xlpm.kW,""),4),"")
)</f>
        <v/>
      </c>
      <c r="V9" s="498" t="str">
        <f t="shared" ref="V9:V17" si="3">_xlfn.LET(
  _xlpm.kWh_case,N9,
  _xlpm.width,G9,
  _xlpm.quantity,H9,
  _xlpm.CLR,O9,
  _xlpm.COP,S9,
  _xlpm.kW,((_xlpm.kWh_case/8760)+(IFERROR(_xlpm.CLR/(_xlpm.COP*3.412*1000),0)))*_xlpm.width*_xlpm.quantity,
  IFERROR(ROUND(IF($F9="Retrofit",_xlpm.kW,""),4),"")
)</f>
        <v/>
      </c>
      <c r="W9" s="504" t="str">
        <f t="shared" ref="W9:W17" si="4">IFERROR(ROUND((U9+V9)/2,4),"")</f>
        <v/>
      </c>
      <c r="X9" s="713" t="str">
        <f>IFERROR(T9*Incentives!$C$4+W9*Incentives!$C$5,"")</f>
        <v/>
      </c>
      <c r="Y9" s="161" t="str">
        <f>IFERROR(ROUND(X9*'Project Summary'!$H$37/'Project Summary'!$G$37,2),"")</f>
        <v/>
      </c>
      <c r="Z9" s="150"/>
      <c r="AA9" s="150"/>
      <c r="AB9" s="150"/>
      <c r="AC9" s="150"/>
      <c r="AD9" s="150"/>
      <c r="AE9" s="150"/>
      <c r="AF9" s="150"/>
      <c r="AG9" s="150"/>
      <c r="AH9" s="150"/>
      <c r="AI9" s="150"/>
      <c r="AJ9" s="150"/>
      <c r="AK9" s="150"/>
      <c r="AL9" s="150"/>
      <c r="AM9" s="150"/>
      <c r="AN9" s="150"/>
      <c r="AO9" s="150"/>
      <c r="AP9" s="150"/>
      <c r="AQ9" s="150"/>
      <c r="AR9" s="150"/>
      <c r="AS9" s="150"/>
      <c r="AT9" s="150"/>
      <c r="AU9" s="150"/>
      <c r="AV9" s="150"/>
    </row>
    <row r="10" spans="1:48" s="149" customFormat="1" ht="21.75" customHeight="1" thickBot="1" x14ac:dyDescent="0.25">
      <c r="B10" s="327">
        <v>3</v>
      </c>
      <c r="C10" s="170"/>
      <c r="D10" s="171"/>
      <c r="E10" s="171"/>
      <c r="F10" s="171"/>
      <c r="G10" s="171"/>
      <c r="H10" s="171"/>
      <c r="I10" s="171"/>
      <c r="J10" s="171"/>
      <c r="K10" s="171"/>
      <c r="L10" s="670"/>
      <c r="M10" s="426" t="str" cm="1">
        <f t="array" ref="M10">_xlfn.IFS(AND(L10&gt;MIN(0), L10&lt;MAX(64999)),"&lt; 65,000",
     AND(L10&gt;MIN(65000),L10&lt;MAX(134999)),"≥ 65,000 and &lt; 135,000",
     AND(L10&gt;MIN(135000), L10&lt;MAX(239999)),"≥ 135,000 and &lt; 240,000",
     AND(L10&gt;MIN(240000), L10&lt;MAX(759999)),"≥ 240,000 and &lt; 760,000",
     AND(L10&gt;MIN(760000), L10&lt;MAX(100000000000)), "≥ 760,000",
     TRUE,"")</f>
        <v/>
      </c>
      <c r="N10" s="426">
        <v>404.4</v>
      </c>
      <c r="O10" s="193">
        <v>722</v>
      </c>
      <c r="P10" s="193" t="str" cm="1">
        <f t="array" ref="P10">IFERROR(_xlfn.XLOOKUP('Project Summary'!$C$13,'Look Up Tables'!$B$197:$B$210,_xlfn.XLOOKUP('Project Summary'!$C$10,'Look Up Tables'!$C$196:$K$196,'Look Up Tables'!$C$197:$K$210),FALSE),"")</f>
        <v/>
      </c>
      <c r="Q10" s="193" t="str" cm="1">
        <f t="array" ref="Q10">IFERROR(_xlfn.XLOOKUP('Project Summary'!$C$13,'Look Up Tables'!$B$214:$B$227,_xlfn.XLOOKUP('Project Summary'!$C$10,'Look Up Tables'!$C$213:$K$213,'Look Up Tables'!$C$214:$K$227),FALSE),"")</f>
        <v/>
      </c>
      <c r="R10" s="193" cm="1">
        <f t="array" ref="R10">IFERROR(IF($I10="No",13.71,_xlfn.XLOOKUP(1,('Look Up Tables'!$B$241:$B$284='Door Replace Open'!J10)*('Look Up Tables'!$D$241:$D$284='Door Replace Open'!K10)*('Look Up Tables'!$C$241:$C$284='Door Replace Open'!M10),'Look Up Tables'!$E$241:$E$284)),"")</f>
        <v>0</v>
      </c>
      <c r="S10" s="538" cm="1">
        <f t="array" ref="S10">IFERROR(IF($I10="No",3.345,_xlfn.XLOOKUP(1,('Look Up Tables'!$B$241:$B$284='Door Replace Open'!J10)*('Look Up Tables'!$D$241:$D$284='Door Replace Open'!K10)*('Look Up Tables'!$C$241:$C$284='Door Replace Open'!M10),'Look Up Tables'!$F$241:$F$284)),"")</f>
        <v>0</v>
      </c>
      <c r="T10" s="588" t="str">
        <f t="shared" si="1"/>
        <v/>
      </c>
      <c r="U10" s="498" t="str">
        <f t="shared" si="2"/>
        <v/>
      </c>
      <c r="V10" s="498" t="str">
        <f t="shared" si="3"/>
        <v/>
      </c>
      <c r="W10" s="504" t="str">
        <f t="shared" si="4"/>
        <v/>
      </c>
      <c r="X10" s="713" t="str">
        <f>IFERROR(T10*Incentives!$C$4+W10*Incentives!$C$5,"")</f>
        <v/>
      </c>
      <c r="Y10" s="161" t="str">
        <f>IFERROR(ROUND(X10*'Project Summary'!$H$37/'Project Summary'!$G$37,2),"")</f>
        <v/>
      </c>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row>
    <row r="11" spans="1:48" s="149" customFormat="1" ht="21.75" customHeight="1" thickBot="1" x14ac:dyDescent="0.25">
      <c r="B11" s="327">
        <v>4</v>
      </c>
      <c r="C11" s="170"/>
      <c r="D11" s="171"/>
      <c r="E11" s="171"/>
      <c r="F11" s="171"/>
      <c r="G11" s="171"/>
      <c r="H11" s="171"/>
      <c r="I11" s="171"/>
      <c r="J11" s="171"/>
      <c r="K11" s="171"/>
      <c r="L11" s="670"/>
      <c r="M11" s="426" t="str" cm="1">
        <f t="array" ref="M11">_xlfn.IFS(AND(L11&gt;MIN(0), L11&lt;MAX(64999)),"&lt; 65,000",
     AND(L11&gt;MIN(65000),L11&lt;MAX(134999)),"≥ 65,000 and &lt; 135,000",
     AND(L11&gt;MIN(135000), L11&lt;MAX(239999)),"≥ 135,000 and &lt; 240,000",
     AND(L11&gt;MIN(240000), L11&lt;MAX(759999)),"≥ 240,000 and &lt; 760,000",
     AND(L11&gt;MIN(760000), L11&lt;MAX(100000000000)), "≥ 760,000",
     TRUE,"")</f>
        <v/>
      </c>
      <c r="N11" s="426">
        <v>404.4</v>
      </c>
      <c r="O11" s="193">
        <v>722</v>
      </c>
      <c r="P11" s="193" t="str" cm="1">
        <f t="array" ref="P11">IFERROR(_xlfn.XLOOKUP('Project Summary'!$C$13,'Look Up Tables'!$B$197:$B$210,_xlfn.XLOOKUP('Project Summary'!$C$10,'Look Up Tables'!$C$196:$K$196,'Look Up Tables'!$C$197:$K$210),FALSE),"")</f>
        <v/>
      </c>
      <c r="Q11" s="193" t="str" cm="1">
        <f t="array" ref="Q11">IFERROR(_xlfn.XLOOKUP('Project Summary'!$C$13,'Look Up Tables'!$B$214:$B$227,_xlfn.XLOOKUP('Project Summary'!$C$10,'Look Up Tables'!$C$213:$K$213,'Look Up Tables'!$C$214:$K$227),FALSE),"")</f>
        <v/>
      </c>
      <c r="R11" s="193" cm="1">
        <f t="array" ref="R11">IFERROR(IF($I11="No",13.71,_xlfn.XLOOKUP(1,('Look Up Tables'!$B$241:$B$284='Door Replace Open'!J11)*('Look Up Tables'!$D$241:$D$284='Door Replace Open'!K11)*('Look Up Tables'!$C$241:$C$284='Door Replace Open'!M11),'Look Up Tables'!$E$241:$E$284)),"")</f>
        <v>0</v>
      </c>
      <c r="S11" s="538" cm="1">
        <f t="array" ref="S11">IFERROR(IF($I11="No",3.345,_xlfn.XLOOKUP(1,('Look Up Tables'!$B$241:$B$284='Door Replace Open'!J11)*('Look Up Tables'!$D$241:$D$284='Door Replace Open'!K11)*('Look Up Tables'!$C$241:$C$284='Door Replace Open'!M11),'Look Up Tables'!$F$241:$F$284)),"")</f>
        <v>0</v>
      </c>
      <c r="T11" s="588" t="str">
        <f t="shared" si="1"/>
        <v/>
      </c>
      <c r="U11" s="498" t="str">
        <f t="shared" si="2"/>
        <v/>
      </c>
      <c r="V11" s="498" t="str">
        <f t="shared" si="3"/>
        <v/>
      </c>
      <c r="W11" s="504" t="str">
        <f t="shared" si="4"/>
        <v/>
      </c>
      <c r="X11" s="713" t="str">
        <f>IFERROR(T11*Incentives!$C$4+W11*Incentives!$C$5,"")</f>
        <v/>
      </c>
      <c r="Y11" s="161" t="str">
        <f>IFERROR(ROUND(X11*'Project Summary'!$H$37/'Project Summary'!$G$37,2),"")</f>
        <v/>
      </c>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row>
    <row r="12" spans="1:48" s="149" customFormat="1" ht="21.75" customHeight="1" thickBot="1" x14ac:dyDescent="0.25">
      <c r="B12" s="327">
        <v>5</v>
      </c>
      <c r="C12" s="170"/>
      <c r="D12" s="171"/>
      <c r="E12" s="171"/>
      <c r="F12" s="171"/>
      <c r="G12" s="171"/>
      <c r="H12" s="171"/>
      <c r="I12" s="171"/>
      <c r="J12" s="171"/>
      <c r="K12" s="171"/>
      <c r="L12" s="670"/>
      <c r="M12" s="426" t="str" cm="1">
        <f t="array" ref="M12">_xlfn.IFS(AND(L12&gt;MIN(0), L12&lt;MAX(64999)),"&lt; 65,000",
     AND(L12&gt;MIN(65000),L12&lt;MAX(134999)),"≥ 65,000 and &lt; 135,000",
     AND(L12&gt;MIN(135000), L12&lt;MAX(239999)),"≥ 135,000 and &lt; 240,000",
     AND(L12&gt;MIN(240000), L12&lt;MAX(759999)),"≥ 240,000 and &lt; 760,000",
     AND(L12&gt;MIN(760000), L12&lt;MAX(100000000000)), "≥ 760,000",
     TRUE,"")</f>
        <v/>
      </c>
      <c r="N12" s="426">
        <v>404.4</v>
      </c>
      <c r="O12" s="193">
        <v>722</v>
      </c>
      <c r="P12" s="193" t="str" cm="1">
        <f t="array" ref="P12">IFERROR(_xlfn.XLOOKUP('Project Summary'!$C$13,'Look Up Tables'!$B$197:$B$210,_xlfn.XLOOKUP('Project Summary'!$C$10,'Look Up Tables'!$C$196:$K$196,'Look Up Tables'!$C$197:$K$210),FALSE),"")</f>
        <v/>
      </c>
      <c r="Q12" s="193" t="str" cm="1">
        <f t="array" ref="Q12">IFERROR(_xlfn.XLOOKUP('Project Summary'!$C$13,'Look Up Tables'!$B$214:$B$227,_xlfn.XLOOKUP('Project Summary'!$C$10,'Look Up Tables'!$C$213:$K$213,'Look Up Tables'!$C$214:$K$227),FALSE),"")</f>
        <v/>
      </c>
      <c r="R12" s="193" cm="1">
        <f t="array" ref="R12">IFERROR(IF($I12="No",13.71,_xlfn.XLOOKUP(1,('Look Up Tables'!$B$241:$B$284='Door Replace Open'!J12)*('Look Up Tables'!$D$241:$D$284='Door Replace Open'!K12)*('Look Up Tables'!$C$241:$C$284='Door Replace Open'!M12),'Look Up Tables'!$E$241:$E$284)),"")</f>
        <v>0</v>
      </c>
      <c r="S12" s="538" cm="1">
        <f t="array" ref="S12">IFERROR(IF($I12="No",3.345,_xlfn.XLOOKUP(1,('Look Up Tables'!$B$241:$B$284='Door Replace Open'!J12)*('Look Up Tables'!$D$241:$D$284='Door Replace Open'!K12)*('Look Up Tables'!$C$241:$C$284='Door Replace Open'!M12),'Look Up Tables'!$F$241:$F$284)),"")</f>
        <v>0</v>
      </c>
      <c r="T12" s="588" t="str">
        <f t="shared" si="1"/>
        <v/>
      </c>
      <c r="U12" s="498" t="str">
        <f t="shared" si="2"/>
        <v/>
      </c>
      <c r="V12" s="498" t="str">
        <f t="shared" si="3"/>
        <v/>
      </c>
      <c r="W12" s="504" t="str">
        <f t="shared" si="4"/>
        <v/>
      </c>
      <c r="X12" s="713" t="str">
        <f>IFERROR(T12*Incentives!$C$4+W12*Incentives!$C$5,"")</f>
        <v/>
      </c>
      <c r="Y12" s="161" t="str">
        <f>IFERROR(ROUND(X12*'Project Summary'!$H$37/'Project Summary'!$G$37,2),"")</f>
        <v/>
      </c>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row>
    <row r="13" spans="1:48" s="149" customFormat="1" ht="21.75" customHeight="1" thickBot="1" x14ac:dyDescent="0.25">
      <c r="B13" s="327">
        <v>6</v>
      </c>
      <c r="C13" s="170"/>
      <c r="D13" s="171"/>
      <c r="E13" s="171"/>
      <c r="F13" s="171"/>
      <c r="G13" s="171"/>
      <c r="H13" s="171"/>
      <c r="I13" s="171"/>
      <c r="J13" s="171"/>
      <c r="K13" s="171"/>
      <c r="L13" s="670"/>
      <c r="M13" s="426" t="str" cm="1">
        <f t="array" ref="M13">_xlfn.IFS(AND(L13&gt;MIN(0), L13&lt;MAX(64999)),"&lt; 65,000",
     AND(L13&gt;MIN(65000),L13&lt;MAX(134999)),"≥ 65,000 and &lt; 135,000",
     AND(L13&gt;MIN(135000), L13&lt;MAX(239999)),"≥ 135,000 and &lt; 240,000",
     AND(L13&gt;MIN(240000), L13&lt;MAX(759999)),"≥ 240,000 and &lt; 760,000",
     AND(L13&gt;MIN(760000), L13&lt;MAX(100000000000)), "≥ 760,000",
     TRUE,"")</f>
        <v/>
      </c>
      <c r="N13" s="426">
        <v>404.4</v>
      </c>
      <c r="O13" s="193">
        <v>722</v>
      </c>
      <c r="P13" s="193" t="str" cm="1">
        <f t="array" ref="P13">IFERROR(_xlfn.XLOOKUP('Project Summary'!$C$13,'Look Up Tables'!$B$197:$B$210,_xlfn.XLOOKUP('Project Summary'!$C$10,'Look Up Tables'!$C$196:$K$196,'Look Up Tables'!$C$197:$K$210),FALSE),"")</f>
        <v/>
      </c>
      <c r="Q13" s="193" t="str" cm="1">
        <f t="array" ref="Q13">IFERROR(_xlfn.XLOOKUP('Project Summary'!$C$13,'Look Up Tables'!$B$214:$B$227,_xlfn.XLOOKUP('Project Summary'!$C$10,'Look Up Tables'!$C$213:$K$213,'Look Up Tables'!$C$214:$K$227),FALSE),"")</f>
        <v/>
      </c>
      <c r="R13" s="193" cm="1">
        <f t="array" ref="R13">IFERROR(IF($I13="No",13.71,_xlfn.XLOOKUP(1,('Look Up Tables'!$B$241:$B$284='Door Replace Open'!J13)*('Look Up Tables'!$D$241:$D$284='Door Replace Open'!K13)*('Look Up Tables'!$C$241:$C$284='Door Replace Open'!M13),'Look Up Tables'!$E$241:$E$284)),"")</f>
        <v>0</v>
      </c>
      <c r="S13" s="538" cm="1">
        <f t="array" ref="S13">IFERROR(IF($I13="No",3.345,_xlfn.XLOOKUP(1,('Look Up Tables'!$B$241:$B$284='Door Replace Open'!J13)*('Look Up Tables'!$D$241:$D$284='Door Replace Open'!K13)*('Look Up Tables'!$C$241:$C$284='Door Replace Open'!M13),'Look Up Tables'!$F$241:$F$284)),"")</f>
        <v>0</v>
      </c>
      <c r="T13" s="588" t="str">
        <f t="shared" si="1"/>
        <v/>
      </c>
      <c r="U13" s="498" t="str">
        <f t="shared" si="2"/>
        <v/>
      </c>
      <c r="V13" s="498" t="str">
        <f t="shared" si="3"/>
        <v/>
      </c>
      <c r="W13" s="504" t="str">
        <f t="shared" si="4"/>
        <v/>
      </c>
      <c r="X13" s="713" t="str">
        <f>IFERROR(T13*Incentives!$C$4+W13*Incentives!$C$5,"")</f>
        <v/>
      </c>
      <c r="Y13" s="161" t="str">
        <f>IFERROR(ROUND(X13*'Project Summary'!$H$37/'Project Summary'!$G$37,2),"")</f>
        <v/>
      </c>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row>
    <row r="14" spans="1:48" s="149" customFormat="1" ht="21.75" customHeight="1" thickBot="1" x14ac:dyDescent="0.25">
      <c r="B14" s="327">
        <v>7</v>
      </c>
      <c r="C14" s="170"/>
      <c r="D14" s="171"/>
      <c r="E14" s="171"/>
      <c r="F14" s="171"/>
      <c r="G14" s="171"/>
      <c r="H14" s="171"/>
      <c r="I14" s="171"/>
      <c r="J14" s="171"/>
      <c r="K14" s="171"/>
      <c r="L14" s="670"/>
      <c r="M14" s="426" t="str" cm="1">
        <f t="array" ref="M14">_xlfn.IFS(AND(L14&gt;MIN(0), L14&lt;MAX(64999)),"&lt; 65,000",
     AND(L14&gt;MIN(65000),L14&lt;MAX(134999)),"≥ 65,000 and &lt; 135,000",
     AND(L14&gt;MIN(135000), L14&lt;MAX(239999)),"≥ 135,000 and &lt; 240,000",
     AND(L14&gt;MIN(240000), L14&lt;MAX(759999)),"≥ 240,000 and &lt; 760,000",
     AND(L14&gt;MIN(760000), L14&lt;MAX(100000000000)), "≥ 760,000",
     TRUE,"")</f>
        <v/>
      </c>
      <c r="N14" s="426">
        <v>404.4</v>
      </c>
      <c r="O14" s="193">
        <v>722</v>
      </c>
      <c r="P14" s="193" t="str" cm="1">
        <f t="array" ref="P14">IFERROR(_xlfn.XLOOKUP('Project Summary'!$C$13,'Look Up Tables'!$B$197:$B$210,_xlfn.XLOOKUP('Project Summary'!$C$10,'Look Up Tables'!$C$196:$K$196,'Look Up Tables'!$C$197:$K$210),FALSE),"")</f>
        <v/>
      </c>
      <c r="Q14" s="193" t="str" cm="1">
        <f t="array" ref="Q14">IFERROR(_xlfn.XLOOKUP('Project Summary'!$C$13,'Look Up Tables'!$B$214:$B$227,_xlfn.XLOOKUP('Project Summary'!$C$10,'Look Up Tables'!$C$213:$K$213,'Look Up Tables'!$C$214:$K$227),FALSE),"")</f>
        <v/>
      </c>
      <c r="R14" s="193" cm="1">
        <f t="array" ref="R14">IFERROR(IF($I14="No",13.71,_xlfn.XLOOKUP(1,('Look Up Tables'!$B$241:$B$284='Door Replace Open'!J14)*('Look Up Tables'!$D$241:$D$284='Door Replace Open'!K14)*('Look Up Tables'!$C$241:$C$284='Door Replace Open'!M14),'Look Up Tables'!$E$241:$E$284)),"")</f>
        <v>0</v>
      </c>
      <c r="S14" s="538" cm="1">
        <f t="array" ref="S14">IFERROR(IF($I14="No",3.345,_xlfn.XLOOKUP(1,('Look Up Tables'!$B$241:$B$284='Door Replace Open'!J14)*('Look Up Tables'!$D$241:$D$284='Door Replace Open'!K14)*('Look Up Tables'!$C$241:$C$284='Door Replace Open'!M14),'Look Up Tables'!$F$241:$F$284)),"")</f>
        <v>0</v>
      </c>
      <c r="T14" s="588" t="str">
        <f t="shared" si="1"/>
        <v/>
      </c>
      <c r="U14" s="498" t="str">
        <f t="shared" si="2"/>
        <v/>
      </c>
      <c r="V14" s="498" t="str">
        <f t="shared" si="3"/>
        <v/>
      </c>
      <c r="W14" s="504" t="str">
        <f t="shared" si="4"/>
        <v/>
      </c>
      <c r="X14" s="713" t="str">
        <f>IFERROR(T14*Incentives!$C$4+W14*Incentives!$C$5,"")</f>
        <v/>
      </c>
      <c r="Y14" s="161" t="str">
        <f>IFERROR(ROUND(X14*'Project Summary'!$H$37/'Project Summary'!$G$37,2),"")</f>
        <v/>
      </c>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row>
    <row r="15" spans="1:48" s="149" customFormat="1" ht="21.75" customHeight="1" thickBot="1" x14ac:dyDescent="0.25">
      <c r="B15" s="327">
        <v>8</v>
      </c>
      <c r="C15" s="170"/>
      <c r="D15" s="171"/>
      <c r="E15" s="171"/>
      <c r="F15" s="171"/>
      <c r="G15" s="171"/>
      <c r="H15" s="171"/>
      <c r="I15" s="171"/>
      <c r="J15" s="171"/>
      <c r="K15" s="171"/>
      <c r="L15" s="670"/>
      <c r="M15" s="426" t="str" cm="1">
        <f t="array" ref="M15">_xlfn.IFS(AND(L15&gt;MIN(0), L15&lt;MAX(64999)),"&lt; 65,000",
     AND(L15&gt;MIN(65000),L15&lt;MAX(134999)),"≥ 65,000 and &lt; 135,000",
     AND(L15&gt;MIN(135000), L15&lt;MAX(239999)),"≥ 135,000 and &lt; 240,000",
     AND(L15&gt;MIN(240000), L15&lt;MAX(759999)),"≥ 240,000 and &lt; 760,000",
     AND(L15&gt;MIN(760000), L15&lt;MAX(100000000000)), "≥ 760,000",
     TRUE,"")</f>
        <v/>
      </c>
      <c r="N15" s="426">
        <v>404.4</v>
      </c>
      <c r="O15" s="193">
        <v>722</v>
      </c>
      <c r="P15" s="193" t="str" cm="1">
        <f t="array" ref="P15">IFERROR(_xlfn.XLOOKUP('Project Summary'!$C$13,'Look Up Tables'!$B$197:$B$210,_xlfn.XLOOKUP('Project Summary'!$C$10,'Look Up Tables'!$C$196:$K$196,'Look Up Tables'!$C$197:$K$210),FALSE),"")</f>
        <v/>
      </c>
      <c r="Q15" s="193" t="str" cm="1">
        <f t="array" ref="Q15">IFERROR(_xlfn.XLOOKUP('Project Summary'!$C$13,'Look Up Tables'!$B$214:$B$227,_xlfn.XLOOKUP('Project Summary'!$C$10,'Look Up Tables'!$C$213:$K$213,'Look Up Tables'!$C$214:$K$227),FALSE),"")</f>
        <v/>
      </c>
      <c r="R15" s="193" cm="1">
        <f t="array" ref="R15">IFERROR(IF($I15="No",13.71,_xlfn.XLOOKUP(1,('Look Up Tables'!$B$241:$B$284='Door Replace Open'!J15)*('Look Up Tables'!$D$241:$D$284='Door Replace Open'!K15)*('Look Up Tables'!$C$241:$C$284='Door Replace Open'!M15),'Look Up Tables'!$E$241:$E$284)),"")</f>
        <v>0</v>
      </c>
      <c r="S15" s="538" cm="1">
        <f t="array" ref="S15">IFERROR(IF($I15="No",3.345,_xlfn.XLOOKUP(1,('Look Up Tables'!$B$241:$B$284='Door Replace Open'!J15)*('Look Up Tables'!$D$241:$D$284='Door Replace Open'!K15)*('Look Up Tables'!$C$241:$C$284='Door Replace Open'!M15),'Look Up Tables'!$F$241:$F$284)),"")</f>
        <v>0</v>
      </c>
      <c r="T15" s="588" t="str">
        <f t="shared" si="1"/>
        <v/>
      </c>
      <c r="U15" s="498" t="str">
        <f t="shared" si="2"/>
        <v/>
      </c>
      <c r="V15" s="498" t="str">
        <f t="shared" si="3"/>
        <v/>
      </c>
      <c r="W15" s="504" t="str">
        <f t="shared" si="4"/>
        <v/>
      </c>
      <c r="X15" s="713" t="str">
        <f>IFERROR(T15*Incentives!$C$4+W15*Incentives!$C$5,"")</f>
        <v/>
      </c>
      <c r="Y15" s="161" t="str">
        <f>IFERROR(ROUND(X15*'Project Summary'!$H$37/'Project Summary'!$G$37,2),"")</f>
        <v/>
      </c>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row>
    <row r="16" spans="1:48" s="149" customFormat="1" ht="21.75" customHeight="1" thickBot="1" x14ac:dyDescent="0.25">
      <c r="B16" s="327">
        <v>9</v>
      </c>
      <c r="C16" s="170"/>
      <c r="D16" s="171"/>
      <c r="E16" s="171"/>
      <c r="F16" s="171"/>
      <c r="G16" s="171"/>
      <c r="H16" s="171"/>
      <c r="I16" s="171"/>
      <c r="J16" s="171"/>
      <c r="K16" s="171"/>
      <c r="L16" s="670"/>
      <c r="M16" s="426" t="str" cm="1">
        <f t="array" ref="M16">_xlfn.IFS(AND(L16&gt;MIN(0), L16&lt;MAX(64999)),"&lt; 65,000",
     AND(L16&gt;MIN(65000),L16&lt;MAX(134999)),"≥ 65,000 and &lt; 135,000",
     AND(L16&gt;MIN(135000), L16&lt;MAX(239999)),"≥ 135,000 and &lt; 240,000",
     AND(L16&gt;MIN(240000), L16&lt;MAX(759999)),"≥ 240,000 and &lt; 760,000",
     AND(L16&gt;MIN(760000), L16&lt;MAX(100000000000)), "≥ 760,000",
     TRUE,"")</f>
        <v/>
      </c>
      <c r="N16" s="426">
        <v>404.4</v>
      </c>
      <c r="O16" s="193">
        <v>722</v>
      </c>
      <c r="P16" s="193" t="str" cm="1">
        <f t="array" ref="P16">IFERROR(_xlfn.XLOOKUP('Project Summary'!$C$13,'Look Up Tables'!$B$197:$B$210,_xlfn.XLOOKUP('Project Summary'!$C$10,'Look Up Tables'!$C$196:$K$196,'Look Up Tables'!$C$197:$K$210),FALSE),"")</f>
        <v/>
      </c>
      <c r="Q16" s="193" t="str" cm="1">
        <f t="array" ref="Q16">IFERROR(_xlfn.XLOOKUP('Project Summary'!$C$13,'Look Up Tables'!$B$214:$B$227,_xlfn.XLOOKUP('Project Summary'!$C$10,'Look Up Tables'!$C$213:$K$213,'Look Up Tables'!$C$214:$K$227),FALSE),"")</f>
        <v/>
      </c>
      <c r="R16" s="193" cm="1">
        <f t="array" ref="R16">IFERROR(IF($I16="No",13.71,_xlfn.XLOOKUP(1,('Look Up Tables'!$B$241:$B$284='Door Replace Open'!J16)*('Look Up Tables'!$D$241:$D$284='Door Replace Open'!K16)*('Look Up Tables'!$C$241:$C$284='Door Replace Open'!M16),'Look Up Tables'!$E$241:$E$284)),"")</f>
        <v>0</v>
      </c>
      <c r="S16" s="538" cm="1">
        <f t="array" ref="S16">IFERROR(IF($I16="No",3.345,_xlfn.XLOOKUP(1,('Look Up Tables'!$B$241:$B$284='Door Replace Open'!J16)*('Look Up Tables'!$D$241:$D$284='Door Replace Open'!K16)*('Look Up Tables'!$C$241:$C$284='Door Replace Open'!M16),'Look Up Tables'!$F$241:$F$284)),"")</f>
        <v>0</v>
      </c>
      <c r="T16" s="588" t="str">
        <f t="shared" si="1"/>
        <v/>
      </c>
      <c r="U16" s="498" t="str">
        <f t="shared" si="2"/>
        <v/>
      </c>
      <c r="V16" s="498" t="str">
        <f t="shared" si="3"/>
        <v/>
      </c>
      <c r="W16" s="504" t="str">
        <f t="shared" si="4"/>
        <v/>
      </c>
      <c r="X16" s="713" t="str">
        <f>IFERROR(T16*Incentives!$C$4+W16*Incentives!$C$5,"")</f>
        <v/>
      </c>
      <c r="Y16" s="161" t="str">
        <f>IFERROR(ROUND(X16*'Project Summary'!$H$37/'Project Summary'!$G$37,2),"")</f>
        <v/>
      </c>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row>
    <row r="17" spans="2:48" s="149" customFormat="1" ht="21.75" customHeight="1" thickBot="1" x14ac:dyDescent="0.25">
      <c r="B17" s="328">
        <v>10</v>
      </c>
      <c r="C17" s="174"/>
      <c r="D17" s="177"/>
      <c r="E17" s="177"/>
      <c r="F17" s="177"/>
      <c r="G17" s="177"/>
      <c r="H17" s="177"/>
      <c r="I17" s="177"/>
      <c r="J17" s="177"/>
      <c r="K17" s="177"/>
      <c r="L17" s="671"/>
      <c r="M17" s="426" t="str" cm="1">
        <f t="array" ref="M17">_xlfn.IFS(AND(L17&gt;MIN(0), L17&lt;MAX(64999)),"&lt; 65,000",
     AND(L17&gt;MIN(65000),L17&lt;MAX(134999)),"≥ 65,000 and &lt; 135,000",
     AND(L17&gt;MIN(135000), L17&lt;MAX(239999)),"≥ 135,000 and &lt; 240,000",
     AND(L17&gt;MIN(240000), L17&lt;MAX(759999)),"≥ 240,000 and &lt; 760,000",
     AND(L17&gt;MIN(760000), L17&lt;MAX(100000000000)), "≥ 760,000",
     TRUE,"")</f>
        <v/>
      </c>
      <c r="N17" s="426">
        <v>404.4</v>
      </c>
      <c r="O17" s="193">
        <v>722</v>
      </c>
      <c r="P17" s="193" t="str" cm="1">
        <f t="array" ref="P17">IFERROR(_xlfn.XLOOKUP('Project Summary'!$C$13,'Look Up Tables'!$B$197:$B$210,_xlfn.XLOOKUP('Project Summary'!$C$10,'Look Up Tables'!$C$196:$K$196,'Look Up Tables'!$C$197:$K$210),FALSE),"")</f>
        <v/>
      </c>
      <c r="Q17" s="193" t="str" cm="1">
        <f t="array" ref="Q17">IFERROR(_xlfn.XLOOKUP('Project Summary'!$C$13,'Look Up Tables'!$B$214:$B$227,_xlfn.XLOOKUP('Project Summary'!$C$10,'Look Up Tables'!$C$213:$K$213,'Look Up Tables'!$C$214:$K$227),FALSE),"")</f>
        <v/>
      </c>
      <c r="R17" s="193" cm="1">
        <f t="array" ref="R17">IFERROR(IF($I17="No",13.71,_xlfn.XLOOKUP(1,('Look Up Tables'!$B$241:$B$284='Door Replace Open'!J17)*('Look Up Tables'!$D$241:$D$284='Door Replace Open'!K17)*('Look Up Tables'!$C$241:$C$284='Door Replace Open'!M17),'Look Up Tables'!$E$241:$E$284)),"")</f>
        <v>0</v>
      </c>
      <c r="S17" s="538" cm="1">
        <f t="array" ref="S17">IFERROR(IF($I17="No",3.345,_xlfn.XLOOKUP(1,('Look Up Tables'!$B$241:$B$284='Door Replace Open'!J17)*('Look Up Tables'!$D$241:$D$284='Door Replace Open'!K17)*('Look Up Tables'!$C$241:$C$284='Door Replace Open'!M17),'Look Up Tables'!$F$241:$F$284)),"")</f>
        <v>0</v>
      </c>
      <c r="T17" s="605" t="str">
        <f t="shared" si="1"/>
        <v/>
      </c>
      <c r="U17" s="499" t="str">
        <f t="shared" si="2"/>
        <v/>
      </c>
      <c r="V17" s="499" t="str">
        <f t="shared" si="3"/>
        <v/>
      </c>
      <c r="W17" s="505" t="str">
        <f t="shared" si="4"/>
        <v/>
      </c>
      <c r="X17" s="714" t="str">
        <f>IFERROR(T17*Incentives!$C$4+W17*Incentives!$C$5,"")</f>
        <v/>
      </c>
      <c r="Y17" s="165" t="str">
        <f>IFERROR(ROUND(X17*'Project Summary'!$H$37/'Project Summary'!$G$37,2),"")</f>
        <v/>
      </c>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row>
    <row r="18" spans="2:48"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row>
    <row r="19" spans="2:48"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row>
    <row r="20" spans="2:48"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row>
    <row r="21" spans="2:48"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row>
    <row r="22" spans="2:48"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row>
    <row r="23" spans="2:48"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row>
    <row r="24" spans="2:48"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row>
    <row r="25" spans="2:48"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row>
    <row r="26" spans="2:48"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row>
    <row r="27" spans="2:48"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row>
    <row r="28" spans="2:48"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row>
    <row r="29" spans="2:48"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row>
    <row r="30" spans="2:48"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row>
    <row r="31" spans="2:48"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row>
    <row r="32" spans="2:48"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row>
    <row r="33" spans="2:48"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row>
    <row r="34" spans="2:48"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row>
    <row r="35" spans="2:48"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row>
    <row r="36" spans="2:48"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row>
    <row r="37" spans="2:48"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row>
    <row r="38" spans="2:48"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row>
    <row r="39" spans="2:48"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row>
    <row r="40" spans="2:48"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row>
    <row r="41" spans="2:48"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row>
    <row r="42" spans="2:48"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row>
    <row r="43" spans="2:48"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row>
    <row r="44" spans="2:48"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row>
    <row r="45" spans="2:48"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row>
    <row r="46" spans="2:48"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row>
    <row r="47" spans="2:48"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row>
    <row r="48" spans="2:48"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row>
    <row r="49" spans="2:48"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row>
    <row r="50" spans="2:48"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row>
    <row r="51" spans="2:48"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row>
    <row r="52" spans="2:48"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row>
    <row r="53" spans="2:48"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row>
    <row r="54" spans="2:48"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row>
    <row r="55" spans="2:48"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row>
    <row r="56" spans="2:48"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row>
    <row r="57" spans="2:48"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row>
    <row r="58" spans="2:48"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row>
    <row r="59" spans="2:48"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row>
    <row r="60" spans="2:48"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row>
    <row r="61" spans="2:48"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row>
    <row r="62" spans="2:48"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row>
    <row r="63" spans="2:48"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row>
    <row r="64" spans="2:48"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row>
    <row r="65" spans="2:48"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row>
  </sheetData>
  <sheetProtection algorithmName="SHA-512" hashValue="cF+8Av3UugoDmIgN8jT4e69ZaN3gTV9kVWYlZdXqPWpieSuJEzvt+K/LYl1Lo5ptiOVHsoc4eF3o/pboCaTypg==" saltValue="qfx250NGIKlaR4FdQHOmdA==" spinCount="100000" sheet="1" formatColumns="0"/>
  <mergeCells count="7">
    <mergeCell ref="X6:X7"/>
    <mergeCell ref="Y6:Y7"/>
    <mergeCell ref="B3:I3"/>
    <mergeCell ref="B4:I4"/>
    <mergeCell ref="B6:B7"/>
    <mergeCell ref="C6:H6"/>
    <mergeCell ref="M6:W6"/>
  </mergeCells>
  <conditionalFormatting sqref="F8:F17">
    <cfRule type="expression" dxfId="9" priority="2">
      <formula>$F8="New Construction"</formula>
    </cfRule>
  </conditionalFormatting>
  <conditionalFormatting sqref="J8:L17">
    <cfRule type="expression" dxfId="8" priority="1">
      <formula>$I8="No"</formula>
    </cfRule>
  </conditionalFormatting>
  <dataValidations count="1">
    <dataValidation allowBlank="1" showErrorMessage="1" promptTitle="Retrofit Only" prompt="This measure is for retrofit projects only. If new Construction, please contact CLEAResult for further assistance._x000a_" sqref="G8:G17" xr:uid="{E9B1BA69-AA44-424E-B0B7-1FB2D49B5E3D}"/>
  </dataValidations>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1A628FF4-EF74-4FB4-BBCA-FA1A6B0191CF}">
          <x14:formula1>
            <xm:f>'Look Up Tables'!$E$230:$E$231</xm:f>
          </x14:formula1>
          <xm:sqref>I8:I17</xm:sqref>
        </x14:dataValidation>
        <x14:dataValidation type="list" allowBlank="1" showInputMessage="1" showErrorMessage="1" xr:uid="{E05091AD-6900-4E08-B95D-870A36CDA34B}">
          <x14:formula1>
            <xm:f>'Look Up Tables'!$B$230:$B$233</xm:f>
          </x14:formula1>
          <xm:sqref>J8:J17</xm:sqref>
        </x14:dataValidation>
        <x14:dataValidation type="list" allowBlank="1" showInputMessage="1" showErrorMessage="1" xr:uid="{C371BEC2-5DBB-4A91-BFDE-6D3BA598E576}">
          <x14:formula1>
            <xm:f>'Look Up Tables'!$C$230:$C$231</xm:f>
          </x14:formula1>
          <xm:sqref>K8:K17</xm:sqref>
        </x14:dataValidation>
        <x14:dataValidation type="list" allowBlank="1" showInputMessage="1" showErrorMessage="1" promptTitle="Retrofit Only" prompt="This measure is for retrofit projects only. If new Construction, please contact CLEAResult for further assistance._x000a_" xr:uid="{384B44DB-DA51-4298-8DCE-FF34D69BBFB1}">
          <x14:formula1>
            <xm:f>'Look Up Tables'!$F$33:$F$34</xm:f>
          </x14:formula1>
          <xm:sqref>F8:F17</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2DC42-BB01-412A-A19D-4D67181039F2}">
  <sheetPr codeName="Sheet19">
    <tabColor theme="8" tint="0.59999389629810485"/>
  </sheetPr>
  <dimension ref="A1:AZ65"/>
  <sheetViews>
    <sheetView topLeftCell="E1" zoomScaleNormal="100" workbookViewId="0">
      <selection activeCell="A9" sqref="A9"/>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32.125" style="145" customWidth="1"/>
    <col min="8" max="8" width="11.625" style="145" bestFit="1" customWidth="1"/>
    <col min="9" max="9" width="9" style="145" bestFit="1" customWidth="1"/>
    <col min="10" max="10" width="13.25" style="145" customWidth="1"/>
    <col min="11" max="11" width="26.125" style="145" customWidth="1"/>
    <col min="12" max="12" width="18" style="145" customWidth="1"/>
    <col min="13" max="13" width="13.625" style="145" customWidth="1"/>
    <col min="14" max="14" width="21.375" style="145" hidden="1" customWidth="1"/>
    <col min="15" max="17" width="10.125" style="145" hidden="1" customWidth="1"/>
    <col min="18" max="23" width="10.625" style="145" hidden="1" customWidth="1"/>
    <col min="24" max="26" width="12.625" style="145" customWidth="1"/>
    <col min="27" max="27" width="11.5" style="145" bestFit="1" customWidth="1"/>
    <col min="28" max="28" width="8.625" style="145" hidden="1" customWidth="1"/>
    <col min="29" max="29" width="14.125" style="145" customWidth="1"/>
    <col min="30" max="16384" width="8.625" style="145"/>
  </cols>
  <sheetData>
    <row r="1" spans="1:52" x14ac:dyDescent="0.2">
      <c r="A1" s="144" t="s">
        <v>795</v>
      </c>
      <c r="N1" s="145" t="s">
        <v>207</v>
      </c>
      <c r="O1" s="145" t="s">
        <v>207</v>
      </c>
      <c r="P1" s="145" t="s">
        <v>207</v>
      </c>
      <c r="Q1" s="145" t="s">
        <v>207</v>
      </c>
      <c r="R1" s="145" t="s">
        <v>207</v>
      </c>
      <c r="S1" s="145" t="s">
        <v>207</v>
      </c>
      <c r="T1" s="145" t="s">
        <v>207</v>
      </c>
      <c r="U1" s="145" t="s">
        <v>207</v>
      </c>
      <c r="V1" s="145" t="s">
        <v>207</v>
      </c>
      <c r="W1" s="145" t="s">
        <v>207</v>
      </c>
      <c r="AB1" s="145" t="s">
        <v>207</v>
      </c>
    </row>
    <row r="2" spans="1:52" ht="9.75" customHeight="1" x14ac:dyDescent="0.2"/>
    <row r="3" spans="1:52" ht="34.5" customHeight="1" x14ac:dyDescent="0.5">
      <c r="B3" s="783" t="s">
        <v>48</v>
      </c>
      <c r="C3" s="784"/>
      <c r="D3" s="784"/>
      <c r="E3" s="784"/>
      <c r="F3" s="784"/>
      <c r="G3" s="784"/>
      <c r="H3" s="784"/>
      <c r="I3" s="785"/>
      <c r="J3" s="785"/>
      <c r="K3" s="785"/>
      <c r="L3" s="785"/>
      <c r="M3" s="785"/>
      <c r="N3" s="785"/>
      <c r="O3" s="785"/>
      <c r="P3" s="785"/>
    </row>
    <row r="4" spans="1:52" ht="29.1" customHeight="1" x14ac:dyDescent="0.2">
      <c r="B4" s="923" t="s">
        <v>210</v>
      </c>
      <c r="C4" s="923"/>
      <c r="D4" s="923"/>
      <c r="E4" s="923"/>
      <c r="F4" s="923"/>
      <c r="G4" s="923"/>
      <c r="H4" s="923"/>
      <c r="I4" s="923"/>
      <c r="J4" s="923"/>
      <c r="K4" s="923"/>
      <c r="L4" s="923"/>
      <c r="M4" s="923"/>
      <c r="N4" s="923"/>
      <c r="O4" s="923"/>
      <c r="P4" s="923"/>
      <c r="Q4" s="207"/>
      <c r="R4" s="207"/>
      <c r="S4" s="207"/>
      <c r="T4" s="207"/>
      <c r="U4" s="207"/>
      <c r="V4" s="207"/>
      <c r="W4" s="207"/>
    </row>
    <row r="5" spans="1:52" ht="9" customHeight="1" thickBot="1" x14ac:dyDescent="0.3">
      <c r="B5" s="148"/>
      <c r="C5" s="148"/>
      <c r="D5" s="148"/>
      <c r="E5" s="148"/>
      <c r="F5" s="148"/>
      <c r="G5" s="148"/>
      <c r="H5" s="148"/>
    </row>
    <row r="6" spans="1:52" s="149" customFormat="1" ht="22.35" customHeight="1" x14ac:dyDescent="0.2">
      <c r="B6" s="924" t="s">
        <v>275</v>
      </c>
      <c r="C6" s="929" t="s">
        <v>796</v>
      </c>
      <c r="D6" s="930"/>
      <c r="E6" s="930"/>
      <c r="F6" s="930"/>
      <c r="G6" s="930"/>
      <c r="H6" s="930"/>
      <c r="I6" s="930"/>
      <c r="J6" s="765"/>
      <c r="K6" s="765"/>
      <c r="L6" s="765"/>
      <c r="M6" s="767"/>
      <c r="N6" s="921" t="s">
        <v>797</v>
      </c>
      <c r="O6" s="921"/>
      <c r="P6" s="921"/>
      <c r="Q6" s="921"/>
      <c r="R6" s="921"/>
      <c r="S6" s="921"/>
      <c r="T6" s="921"/>
      <c r="U6" s="921"/>
      <c r="V6" s="921"/>
      <c r="W6" s="921"/>
      <c r="X6" s="921"/>
      <c r="Y6" s="921"/>
      <c r="Z6" s="921"/>
      <c r="AA6" s="922"/>
      <c r="AB6" s="956" t="s">
        <v>219</v>
      </c>
      <c r="AC6" s="926" t="s">
        <v>798</v>
      </c>
      <c r="AG6" s="150"/>
      <c r="AH6" s="150"/>
      <c r="AI6" s="150"/>
      <c r="AJ6" s="150"/>
      <c r="AK6" s="150"/>
      <c r="AL6" s="150"/>
    </row>
    <row r="7" spans="1:52" s="150" customFormat="1" ht="54.75" customHeight="1" thickBot="1" x14ac:dyDescent="0.25">
      <c r="B7" s="964"/>
      <c r="C7" s="780" t="s">
        <v>799</v>
      </c>
      <c r="D7" s="781" t="s">
        <v>141</v>
      </c>
      <c r="E7" s="781" t="s">
        <v>143</v>
      </c>
      <c r="F7" s="781" t="s">
        <v>145</v>
      </c>
      <c r="G7" s="781" t="s">
        <v>153</v>
      </c>
      <c r="H7" s="781" t="s">
        <v>849</v>
      </c>
      <c r="I7" s="781" t="s">
        <v>155</v>
      </c>
      <c r="J7" s="781" t="s">
        <v>850</v>
      </c>
      <c r="K7" s="781" t="s">
        <v>851</v>
      </c>
      <c r="L7" s="781" t="s">
        <v>852</v>
      </c>
      <c r="M7" s="782" t="s">
        <v>853</v>
      </c>
      <c r="N7" s="766" t="s">
        <v>854</v>
      </c>
      <c r="O7" s="766" t="s">
        <v>203</v>
      </c>
      <c r="P7" s="766" t="s">
        <v>847</v>
      </c>
      <c r="Q7" s="766" t="s">
        <v>708</v>
      </c>
      <c r="R7" s="766" t="s">
        <v>860</v>
      </c>
      <c r="S7" s="766" t="s">
        <v>856</v>
      </c>
      <c r="T7" s="766" t="s">
        <v>857</v>
      </c>
      <c r="U7" s="766" t="s">
        <v>858</v>
      </c>
      <c r="V7" s="766" t="s">
        <v>859</v>
      </c>
      <c r="W7" s="766" t="s">
        <v>296</v>
      </c>
      <c r="X7" s="762" t="s">
        <v>192</v>
      </c>
      <c r="Y7" s="763" t="s">
        <v>806</v>
      </c>
      <c r="Z7" s="763" t="s">
        <v>807</v>
      </c>
      <c r="AA7" s="764" t="s">
        <v>808</v>
      </c>
      <c r="AB7" s="956"/>
      <c r="AC7" s="927"/>
    </row>
    <row r="8" spans="1:52" s="149" customFormat="1" ht="21.6" customHeight="1" x14ac:dyDescent="0.2">
      <c r="B8" s="376">
        <v>1</v>
      </c>
      <c r="C8" s="166"/>
      <c r="D8" s="168"/>
      <c r="E8" s="168"/>
      <c r="F8" s="168"/>
      <c r="G8" s="168"/>
      <c r="H8" s="168"/>
      <c r="I8" s="168"/>
      <c r="J8" s="168"/>
      <c r="K8" s="168"/>
      <c r="L8" s="168"/>
      <c r="M8" s="669"/>
      <c r="N8" s="426" t="str" cm="1">
        <f t="array" ref="N8">_xlfn.IFS(AND(M8&gt;MIN(0), M8&lt;MAX(64999)),"&lt; 65,000",
     AND(M8&gt;MIN(65000),M8&lt;MAX(134999)),"≥ 65,000 and &lt; 135,000",
     AND(M8&gt;MIN(135000), M8&lt;MAX(239999)),"≥ 135,000 and &lt; 240,000",
     AND(M8&gt;MIN(240000), M8&lt;MAX(759999)),"≥ 240,000 and &lt; 760,000",
     AND(M8&gt;MIN(760000), M8&lt;MAX(100000000000)), "≥ 760,000",
     TRUE,"")</f>
        <v/>
      </c>
      <c r="O8" s="193">
        <f>IFERROR(VLOOKUP($G8,'Look Up Tables'!$B$107:$D$109,2,FALSE),0)</f>
        <v>0</v>
      </c>
      <c r="P8" s="193">
        <v>365.25</v>
      </c>
      <c r="Q8" s="193">
        <v>8760</v>
      </c>
      <c r="R8" s="193">
        <v>1.76</v>
      </c>
      <c r="S8" s="193">
        <v>722</v>
      </c>
      <c r="T8" s="566" t="str" cm="1">
        <f t="array" ref="T8">IFERROR(_xlfn.XLOOKUP('Project Summary'!$C$13,'Look Up Tables'!$B$197:$B$210,_xlfn.XLOOKUP('Project Summary'!$C$10,'Look Up Tables'!$C$196:$K$196,'Look Up Tables'!$C$197:$K$210),FALSE),"")</f>
        <v/>
      </c>
      <c r="U8" s="193" t="str" cm="1">
        <f t="array" ref="U8">IFERROR(_xlfn.XLOOKUP('Project Summary'!$C$13,'Look Up Tables'!$B$214:$B$227,_xlfn.XLOOKUP('Project Summary'!$C$10,'Look Up Tables'!$C$213:$K$213,'Look Up Tables'!$C$214:$K$227),FALSE),"")</f>
        <v/>
      </c>
      <c r="V8" s="193" cm="1">
        <f t="array" ref="V8">IFERROR(IF($J8="No",13.71,_xlfn.XLOOKUP(1,('Look Up Tables'!$B$241:$B$284='Adding Doors'!K8)*('Look Up Tables'!$D$241:$D$284='Adding Doors'!L8)*('Look Up Tables'!$C$241:$C$284='Adding Doors'!N8),'Look Up Tables'!$E$241:$E$284)),"")</f>
        <v>0</v>
      </c>
      <c r="W8" s="319" cm="1">
        <f t="array" ref="W8">IFERROR(IF($J8="No",3.345,_xlfn.XLOOKUP(1,('Look Up Tables'!$B$241:$B$284='Adding Doors'!K8)*('Look Up Tables'!$D$241:$D$284='Adding Doors'!L8)*('Look Up Tables'!$C$241:$C$284='Adding Doors'!N8),'Look Up Tables'!$F$241:$F$284)),"")</f>
        <v>0</v>
      </c>
      <c r="X8" s="587" t="str">
        <f>_xlfn.LET(
  _xlpm.ESF,O8,
  _xlpm.days,P8,
  _xlpm.kWh_comp,R8,
  _xlpm.width,H8,
  _xlpm.quantity,I8,
  _xlpm.IEER,V8,
  _xlpm.CLR,S8,
  _xlpm.EFLHc,T8,
  _xlpm.EFLHh,U8,
  _xlpm.COP,W8,
  _xlpm.kWh,((_xlpm.ESF*_xlpm.kWh_comp*_xlpm.days)-(IFERROR((_xlpm.CLR*_xlpm.EFLHc)/(_xlpm.IEER*1000),0))+(IFERROR((_xlpm.CLR*_xlpm.EFLHh)/(_xlpm.COP*3.412*1000),0)))*_xlpm.width*_xlpm.quantity,
  IFERROR(ROUND(IF($F8="Retrofit",_xlpm.kWh,""),2),"")
)</f>
        <v/>
      </c>
      <c r="Y8" s="496" t="str">
        <f>_xlfn.LET(
  _xlpm.ESF,O8,
  _xlpm.days,P8,
  _xlpm.kWh_comp,R8,
  _xlpm.width,H8,
  _xlpm.quantity,I8,
  _xlpm.IEER,V8,
  _xlpm.CLR,S8,
  _xlpm.kWh,(((_xlpm.ESF*_xlpm.kWh_comp*_xlpm.days)/Q8)-(IFERROR(_xlpm.CLR/(_xlpm.IEER*1000),0)))*_xlpm.width*_xlpm.quantity,
  IFERROR(ROUND(IF($F8="Retrofit",_xlpm.kWh,""),4),"")
)</f>
        <v/>
      </c>
      <c r="Z8" s="496" t="str">
        <f>_xlfn.LET(
  _xlpm.ESF,O8,
  _xlpm.days,P8,
  _xlpm.kWh_comp,R8,
  _xlpm.width,H8,
  _xlpm.quantity,I8,
  _xlpm.CLR,S8,
  _xlpm.COP,W8,
  _xlpm.kWh,(((_xlpm.ESF*_xlpm.kWh_comp*_xlpm.days)/Q8)+(IFERROR(_xlpm.CLR/(_xlpm.COP*3.412*1000),0)))*_xlpm.width*_xlpm.quantity,
  IFERROR(ROUND(IF($F8="Retrofit",_xlpm.kWh,""),4),"")
)</f>
        <v/>
      </c>
      <c r="AA8" s="503" t="str">
        <f t="shared" ref="AA8" si="0">IFERROR(ROUND((Y8+Z8)/2,4),"")</f>
        <v/>
      </c>
      <c r="AB8" s="150" t="str">
        <f>IFERROR(X8*Incentives!$C$4+AA8*Incentives!$C$5,"")</f>
        <v/>
      </c>
      <c r="AC8" s="191" t="str">
        <f>IFERROR(ROUND(AB8*'Project Summary'!$H$37/'Project Summary'!$G$37,2),"")</f>
        <v/>
      </c>
      <c r="AD8" s="150"/>
      <c r="AE8" s="150"/>
      <c r="AF8" s="150"/>
      <c r="AG8" s="150"/>
      <c r="AH8" s="150"/>
      <c r="AI8" s="150"/>
      <c r="AJ8" s="150"/>
      <c r="AK8" s="150"/>
      <c r="AL8" s="150"/>
      <c r="AM8" s="150"/>
      <c r="AN8" s="150"/>
      <c r="AO8" s="150"/>
      <c r="AP8" s="150"/>
      <c r="AQ8" s="150"/>
      <c r="AR8" s="150"/>
      <c r="AS8" s="150"/>
      <c r="AT8" s="150"/>
      <c r="AU8" s="150"/>
      <c r="AV8" s="150"/>
      <c r="AW8" s="150"/>
      <c r="AX8" s="150"/>
      <c r="AY8" s="150"/>
      <c r="AZ8" s="150"/>
    </row>
    <row r="9" spans="1:52" s="149" customFormat="1" ht="21.75" customHeight="1" x14ac:dyDescent="0.2">
      <c r="B9" s="327">
        <v>2</v>
      </c>
      <c r="C9" s="170"/>
      <c r="D9" s="171"/>
      <c r="E9" s="171"/>
      <c r="F9" s="171"/>
      <c r="G9" s="171"/>
      <c r="H9" s="171"/>
      <c r="I9" s="171"/>
      <c r="J9" s="171"/>
      <c r="K9" s="171"/>
      <c r="L9" s="171"/>
      <c r="M9" s="670"/>
      <c r="N9" s="732" t="str" cm="1">
        <f t="array" ref="N9">_xlfn.IFS(AND(M9&gt;MIN(0), M9&lt;MAX(64999)),"&lt; 65,000",
     AND(M9&gt;MIN(65000),M9&lt;MAX(134999)),"≥ 65,000 and &lt; 135,000",
     AND(M9&gt;MIN(135000), M9&lt;MAX(239999)),"≥ 135,000 and &lt; 240,000",
     AND(M9&gt;MIN(240000), M9&lt;MAX(759999)),"≥ 240,000 and &lt; 760,000",
     AND(M9&gt;MIN(760000), M9&lt;MAX(100000000000)), "≥ 760,000",
     TRUE,"")</f>
        <v/>
      </c>
      <c r="O9" s="160">
        <f>IFERROR(VLOOKUP(G9,'Look Up Tables'!$B$107:$D$109,2,FALSE),0)</f>
        <v>0</v>
      </c>
      <c r="P9" s="160">
        <v>365.25</v>
      </c>
      <c r="Q9" s="160">
        <v>8760</v>
      </c>
      <c r="R9" s="160">
        <v>1.76</v>
      </c>
      <c r="S9" s="160">
        <v>722</v>
      </c>
      <c r="T9" s="589" t="str" cm="1">
        <f t="array" ref="T9">IFERROR(_xlfn.XLOOKUP('Project Summary'!$C$13,'Look Up Tables'!$B$197:$B$210,_xlfn.XLOOKUP('Project Summary'!$C$10,'Look Up Tables'!$C$196:$K$196,'Look Up Tables'!$C$197:$K$210),FALSE),"")</f>
        <v/>
      </c>
      <c r="U9" s="160" t="str" cm="1">
        <f t="array" ref="U9">IFERROR(_xlfn.XLOOKUP('Project Summary'!$C$13,'Look Up Tables'!$B$214:$B$227,_xlfn.XLOOKUP('Project Summary'!$C$10,'Look Up Tables'!$C$213:$K$213,'Look Up Tables'!$C$214:$K$227),FALSE),"")</f>
        <v/>
      </c>
      <c r="V9" s="160" cm="1">
        <f t="array" ref="V9">IFERROR(IF($J9="No",13.71,_xlfn.XLOOKUP(1,('Look Up Tables'!$B$241:$B$284='Adding Doors'!K9)*('Look Up Tables'!$D$241:$D$284='Adding Doors'!L9)*('Look Up Tables'!$C$241:$C$284='Adding Doors'!N9),'Look Up Tables'!$E$241:$E$284)),"")</f>
        <v>0</v>
      </c>
      <c r="W9" s="320" cm="1">
        <f t="array" ref="W9">IFERROR(IF($J9="No",3.345,_xlfn.XLOOKUP(1,('Look Up Tables'!$B$241:$B$284='Adding Doors'!K9)*('Look Up Tables'!$D$241:$D$284='Adding Doors'!L9)*('Look Up Tables'!$C$241:$C$284='Adding Doors'!N9),'Look Up Tables'!$F$241:$F$284)),"")</f>
        <v>0</v>
      </c>
      <c r="X9" s="588" t="str">
        <f t="shared" ref="X9:X17" si="1">_xlfn.LET(
  _xlpm.ESF,O9,
  _xlpm.days,P9,
  _xlpm.kWh_comp,R9,
  _xlpm.width,H9,
  _xlpm.quantity,I9,
  _xlpm.IEER,V9,
  _xlpm.CLR,S9,
  _xlpm.EFLHc,T9,
  _xlpm.EFLHh,U9,
  _xlpm.COP,W9,
  _xlpm.kWh,((_xlpm.ESF*_xlpm.kWh_comp*_xlpm.days)-(IFERROR((_xlpm.CLR*_xlpm.EFLHc)/(_xlpm.IEER*1000),0))+(IFERROR((_xlpm.CLR*_xlpm.EFLHh)/(_xlpm.COP*3.412*1000),0)))*_xlpm.width*_xlpm.quantity,
  IFERROR(ROUND(IF($F9="Retrofit",_xlpm.kWh,""),2),"")
)</f>
        <v/>
      </c>
      <c r="Y9" s="498" t="str">
        <f t="shared" ref="Y9:Y17" si="2">_xlfn.LET(
  _xlpm.ESF,O9,
  _xlpm.days,P9,
  _xlpm.kWh_comp,R9,
  _xlpm.width,H9,
  _xlpm.quantity,I9,
  _xlpm.IEER,V9,
  _xlpm.CLR,S9,
  _xlpm.kWh,(((_xlpm.ESF*_xlpm.kWh_comp*_xlpm.days)/Q9)-(IFERROR(_xlpm.CLR/(_xlpm.IEER*1000),0)))*_xlpm.width*_xlpm.quantity,
  IFERROR(ROUND(IF($F9="Retrofit",_xlpm.kWh,""),4),"")
)</f>
        <v/>
      </c>
      <c r="Z9" s="498" t="str">
        <f t="shared" ref="Z9:Z17" si="3">_xlfn.LET(
  _xlpm.ESF,O9,
  _xlpm.days,P9,
  _xlpm.kWh_comp,R9,
  _xlpm.width,H9,
  _xlpm.quantity,I9,
  _xlpm.CLR,S9,
  _xlpm.COP,W9,
  _xlpm.kWh,(((_xlpm.ESF*_xlpm.kWh_comp*_xlpm.days)/Q9)+(IFERROR(_xlpm.CLR/(_xlpm.COP*3.412*1000),0)))*_xlpm.width*_xlpm.quantity,
  IFERROR(ROUND(IF($F9="Retrofit",_xlpm.kWh,""),4),"")
)</f>
        <v/>
      </c>
      <c r="AA9" s="504" t="str">
        <f t="shared" ref="AA9:AA17" si="4">IFERROR(ROUND((Y9+Z9)/2,4),"")</f>
        <v/>
      </c>
      <c r="AB9" s="150" t="str">
        <f>IFERROR(X9*Incentives!$C$4+AA9*Incentives!$C$5,"")</f>
        <v/>
      </c>
      <c r="AC9" s="161" t="str">
        <f>IFERROR(ROUND(AB9*'Project Summary'!$H$37/'Project Summary'!$G$37,2),"")</f>
        <v/>
      </c>
      <c r="AD9" s="150"/>
      <c r="AE9" s="150"/>
      <c r="AF9" s="150"/>
      <c r="AG9" s="150"/>
      <c r="AH9" s="150"/>
      <c r="AI9" s="150"/>
      <c r="AJ9" s="150"/>
      <c r="AK9" s="150"/>
      <c r="AL9" s="150"/>
      <c r="AM9" s="150"/>
      <c r="AN9" s="150"/>
      <c r="AO9" s="150"/>
      <c r="AP9" s="150"/>
      <c r="AQ9" s="150"/>
      <c r="AR9" s="150"/>
      <c r="AS9" s="150"/>
      <c r="AT9" s="150"/>
      <c r="AU9" s="150"/>
      <c r="AV9" s="150"/>
      <c r="AW9" s="150"/>
      <c r="AX9" s="150"/>
      <c r="AY9" s="150"/>
      <c r="AZ9" s="150"/>
    </row>
    <row r="10" spans="1:52" s="149" customFormat="1" ht="21.75" customHeight="1" x14ac:dyDescent="0.2">
      <c r="B10" s="327">
        <v>3</v>
      </c>
      <c r="C10" s="170"/>
      <c r="D10" s="171"/>
      <c r="E10" s="171"/>
      <c r="F10" s="171"/>
      <c r="G10" s="171"/>
      <c r="H10" s="171"/>
      <c r="I10" s="171"/>
      <c r="J10" s="171"/>
      <c r="K10" s="171"/>
      <c r="L10" s="171"/>
      <c r="M10" s="670"/>
      <c r="N10" s="732" t="str" cm="1">
        <f t="array" ref="N10">_xlfn.IFS(AND(M10&gt;MIN(0), M10&lt;MAX(64999)),"&lt; 65,000",
     AND(M10&gt;MIN(65000),M10&lt;MAX(134999)),"≥ 65,000 and &lt; 135,000",
     AND(M10&gt;MIN(135000), M10&lt;MAX(239999)),"≥ 135,000 and &lt; 240,000",
     AND(M10&gt;MIN(240000), M10&lt;MAX(759999)),"≥ 240,000 and &lt; 760,000",
     AND(M10&gt;MIN(760000), M10&lt;MAX(100000000000)), "≥ 760,000",
     TRUE,"")</f>
        <v/>
      </c>
      <c r="O10" s="160">
        <f>IFERROR(VLOOKUP(G10,'Look Up Tables'!$B$107:$D$109,2,FALSE),0)</f>
        <v>0</v>
      </c>
      <c r="P10" s="160">
        <v>365.25</v>
      </c>
      <c r="Q10" s="160">
        <v>8760</v>
      </c>
      <c r="R10" s="160">
        <v>1.76</v>
      </c>
      <c r="S10" s="160">
        <v>722</v>
      </c>
      <c r="T10" s="589" t="str" cm="1">
        <f t="array" ref="T10">IFERROR(_xlfn.XLOOKUP('Project Summary'!$C$13,'Look Up Tables'!$B$197:$B$210,_xlfn.XLOOKUP('Project Summary'!$C$10,'Look Up Tables'!$C$196:$K$196,'Look Up Tables'!$C$197:$K$210),FALSE),"")</f>
        <v/>
      </c>
      <c r="U10" s="160" t="str" cm="1">
        <f t="array" ref="U10">IFERROR(_xlfn.XLOOKUP('Project Summary'!$C$13,'Look Up Tables'!$B$214:$B$227,_xlfn.XLOOKUP('Project Summary'!$C$10,'Look Up Tables'!$C$213:$K$213,'Look Up Tables'!$C$214:$K$227),FALSE),"")</f>
        <v/>
      </c>
      <c r="V10" s="160" cm="1">
        <f t="array" ref="V10">IFERROR(IF($J10="No",13.71,_xlfn.XLOOKUP(1,('Look Up Tables'!$B$241:$B$284='Adding Doors'!K10)*('Look Up Tables'!$D$241:$D$284='Adding Doors'!L10)*('Look Up Tables'!$C$241:$C$284='Adding Doors'!N10),'Look Up Tables'!$E$241:$E$284)),"")</f>
        <v>0</v>
      </c>
      <c r="W10" s="320" cm="1">
        <f t="array" ref="W10">IFERROR(IF($J10="No",3.345,_xlfn.XLOOKUP(1,('Look Up Tables'!$B$241:$B$284='Adding Doors'!K10)*('Look Up Tables'!$D$241:$D$284='Adding Doors'!L10)*('Look Up Tables'!$C$241:$C$284='Adding Doors'!N10),'Look Up Tables'!$F$241:$F$284)),"")</f>
        <v>0</v>
      </c>
      <c r="X10" s="588" t="str">
        <f t="shared" si="1"/>
        <v/>
      </c>
      <c r="Y10" s="498" t="str">
        <f t="shared" si="2"/>
        <v/>
      </c>
      <c r="Z10" s="498" t="str">
        <f t="shared" si="3"/>
        <v/>
      </c>
      <c r="AA10" s="504" t="str">
        <f t="shared" si="4"/>
        <v/>
      </c>
      <c r="AB10" s="150" t="str">
        <f>IFERROR(X10*Incentives!$C$4+AA10*Incentives!$C$5,"")</f>
        <v/>
      </c>
      <c r="AC10" s="161" t="str">
        <f>IFERROR(ROUND(AB10*'Project Summary'!$H$37/'Project Summary'!$G$37,2),"")</f>
        <v/>
      </c>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row>
    <row r="11" spans="1:52" s="149" customFormat="1" ht="21.75" customHeight="1" x14ac:dyDescent="0.2">
      <c r="B11" s="327">
        <v>4</v>
      </c>
      <c r="C11" s="170"/>
      <c r="D11" s="171"/>
      <c r="E11" s="171"/>
      <c r="F11" s="171"/>
      <c r="G11" s="171"/>
      <c r="H11" s="171"/>
      <c r="I11" s="171"/>
      <c r="J11" s="171"/>
      <c r="K11" s="171"/>
      <c r="L11" s="171"/>
      <c r="M11" s="670"/>
      <c r="N11" s="732" t="str" cm="1">
        <f t="array" ref="N11">_xlfn.IFS(AND(M11&gt;MIN(0), M11&lt;MAX(64999)),"&lt; 65,000",
     AND(M11&gt;MIN(65000),M11&lt;MAX(134999)),"≥ 65,000 and &lt; 135,000",
     AND(M11&gt;MIN(135000), M11&lt;MAX(239999)),"≥ 135,000 and &lt; 240,000",
     AND(M11&gt;MIN(240000), M11&lt;MAX(759999)),"≥ 240,000 and &lt; 760,000",
     AND(M11&gt;MIN(760000), M11&lt;MAX(100000000000)), "≥ 760,000",
     TRUE,"")</f>
        <v/>
      </c>
      <c r="O11" s="160">
        <f>IFERROR(VLOOKUP(G11,'Look Up Tables'!$B$107:$D$109,2,FALSE),0)</f>
        <v>0</v>
      </c>
      <c r="P11" s="160">
        <v>365.25</v>
      </c>
      <c r="Q11" s="160">
        <v>8760</v>
      </c>
      <c r="R11" s="160">
        <v>1.76</v>
      </c>
      <c r="S11" s="160">
        <v>722</v>
      </c>
      <c r="T11" s="589" t="str" cm="1">
        <f t="array" ref="T11">IFERROR(_xlfn.XLOOKUP('Project Summary'!$C$13,'Look Up Tables'!$B$197:$B$210,_xlfn.XLOOKUP('Project Summary'!$C$10,'Look Up Tables'!$C$196:$K$196,'Look Up Tables'!$C$197:$K$210),FALSE),"")</f>
        <v/>
      </c>
      <c r="U11" s="160" t="str" cm="1">
        <f t="array" ref="U11">IFERROR(_xlfn.XLOOKUP('Project Summary'!$C$13,'Look Up Tables'!$B$214:$B$227,_xlfn.XLOOKUP('Project Summary'!$C$10,'Look Up Tables'!$C$213:$K$213,'Look Up Tables'!$C$214:$K$227),FALSE),"")</f>
        <v/>
      </c>
      <c r="V11" s="160" cm="1">
        <f t="array" ref="V11">IFERROR(IF($J11="No",13.71,_xlfn.XLOOKUP(1,('Look Up Tables'!$B$241:$B$284='Adding Doors'!K11)*('Look Up Tables'!$D$241:$D$284='Adding Doors'!L11)*('Look Up Tables'!$C$241:$C$284='Adding Doors'!N11),'Look Up Tables'!$E$241:$E$284)),"")</f>
        <v>0</v>
      </c>
      <c r="W11" s="320" cm="1">
        <f t="array" ref="W11">IFERROR(IF($J11="No",3.345,_xlfn.XLOOKUP(1,('Look Up Tables'!$B$241:$B$284='Adding Doors'!K11)*('Look Up Tables'!$D$241:$D$284='Adding Doors'!L11)*('Look Up Tables'!$C$241:$C$284='Adding Doors'!N11),'Look Up Tables'!$F$241:$F$284)),"")</f>
        <v>0</v>
      </c>
      <c r="X11" s="588" t="str">
        <f t="shared" si="1"/>
        <v/>
      </c>
      <c r="Y11" s="498" t="str">
        <f t="shared" si="2"/>
        <v/>
      </c>
      <c r="Z11" s="498" t="str">
        <f t="shared" si="3"/>
        <v/>
      </c>
      <c r="AA11" s="504" t="str">
        <f t="shared" si="4"/>
        <v/>
      </c>
      <c r="AB11" s="150" t="str">
        <f>IFERROR(X11*Incentives!$C$4+AA11*Incentives!$C$5,"")</f>
        <v/>
      </c>
      <c r="AC11" s="161" t="str">
        <f>IFERROR(ROUND(AB11*'Project Summary'!$H$37/'Project Summary'!$G$37,2),"")</f>
        <v/>
      </c>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row>
    <row r="12" spans="1:52" s="149" customFormat="1" ht="21.75" customHeight="1" x14ac:dyDescent="0.2">
      <c r="B12" s="327">
        <v>5</v>
      </c>
      <c r="C12" s="170"/>
      <c r="D12" s="171"/>
      <c r="E12" s="171"/>
      <c r="F12" s="171"/>
      <c r="G12" s="171"/>
      <c r="H12" s="171"/>
      <c r="I12" s="171"/>
      <c r="J12" s="171"/>
      <c r="K12" s="171"/>
      <c r="L12" s="171"/>
      <c r="M12" s="670"/>
      <c r="N12" s="732" t="str" cm="1">
        <f t="array" ref="N12">_xlfn.IFS(AND(M12&gt;MIN(0), M12&lt;MAX(64999)),"&lt; 65,000",
     AND(M12&gt;MIN(65000),M12&lt;MAX(134999)),"≥ 65,000 and &lt; 135,000",
     AND(M12&gt;MIN(135000), M12&lt;MAX(239999)),"≥ 135,000 and &lt; 240,000",
     AND(M12&gt;MIN(240000), M12&lt;MAX(759999)),"≥ 240,000 and &lt; 760,000",
     AND(M12&gt;MIN(760000), M12&lt;MAX(100000000000)), "≥ 760,000",
     TRUE,"")</f>
        <v/>
      </c>
      <c r="O12" s="160">
        <f>IFERROR(VLOOKUP(G12,'Look Up Tables'!$B$107:$D$109,2,FALSE),0)</f>
        <v>0</v>
      </c>
      <c r="P12" s="160">
        <v>365.25</v>
      </c>
      <c r="Q12" s="160">
        <v>8760</v>
      </c>
      <c r="R12" s="160">
        <v>1.76</v>
      </c>
      <c r="S12" s="160">
        <v>722</v>
      </c>
      <c r="T12" s="589" t="str" cm="1">
        <f t="array" ref="T12">IFERROR(_xlfn.XLOOKUP('Project Summary'!$C$13,'Look Up Tables'!$B$197:$B$210,_xlfn.XLOOKUP('Project Summary'!$C$10,'Look Up Tables'!$C$196:$K$196,'Look Up Tables'!$C$197:$K$210),FALSE),"")</f>
        <v/>
      </c>
      <c r="U12" s="160" t="str" cm="1">
        <f t="array" ref="U12">IFERROR(_xlfn.XLOOKUP('Project Summary'!$C$13,'Look Up Tables'!$B$214:$B$227,_xlfn.XLOOKUP('Project Summary'!$C$10,'Look Up Tables'!$C$213:$K$213,'Look Up Tables'!$C$214:$K$227),FALSE),"")</f>
        <v/>
      </c>
      <c r="V12" s="160" cm="1">
        <f t="array" ref="V12">IFERROR(IF($J12="No",13.71,_xlfn.XLOOKUP(1,('Look Up Tables'!$B$241:$B$284='Adding Doors'!K12)*('Look Up Tables'!$D$241:$D$284='Adding Doors'!L12)*('Look Up Tables'!$C$241:$C$284='Adding Doors'!N12),'Look Up Tables'!$E$241:$E$284)),"")</f>
        <v>0</v>
      </c>
      <c r="W12" s="320" cm="1">
        <f t="array" ref="W12">IFERROR(IF($J12="No",3.345,_xlfn.XLOOKUP(1,('Look Up Tables'!$B$241:$B$284='Adding Doors'!K12)*('Look Up Tables'!$D$241:$D$284='Adding Doors'!L12)*('Look Up Tables'!$C$241:$C$284='Adding Doors'!N12),'Look Up Tables'!$F$241:$F$284)),"")</f>
        <v>0</v>
      </c>
      <c r="X12" s="588" t="str">
        <f t="shared" si="1"/>
        <v/>
      </c>
      <c r="Y12" s="498" t="str">
        <f t="shared" si="2"/>
        <v/>
      </c>
      <c r="Z12" s="498" t="str">
        <f t="shared" si="3"/>
        <v/>
      </c>
      <c r="AA12" s="504" t="str">
        <f t="shared" si="4"/>
        <v/>
      </c>
      <c r="AB12" s="150" t="str">
        <f>IFERROR(X12*Incentives!$C$4+AA12*Incentives!$C$5,"")</f>
        <v/>
      </c>
      <c r="AC12" s="161" t="str">
        <f>IFERROR(ROUND(AB12*'Project Summary'!$H$37/'Project Summary'!$G$37,2),"")</f>
        <v/>
      </c>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row>
    <row r="13" spans="1:52" s="149" customFormat="1" ht="21.75" customHeight="1" x14ac:dyDescent="0.2">
      <c r="B13" s="327">
        <v>6</v>
      </c>
      <c r="C13" s="170"/>
      <c r="D13" s="171"/>
      <c r="E13" s="171"/>
      <c r="F13" s="171"/>
      <c r="G13" s="171"/>
      <c r="H13" s="171"/>
      <c r="I13" s="171"/>
      <c r="J13" s="171"/>
      <c r="K13" s="171"/>
      <c r="L13" s="171"/>
      <c r="M13" s="670"/>
      <c r="N13" s="732" t="str" cm="1">
        <f t="array" ref="N13">_xlfn.IFS(AND(M13&gt;MIN(0), M13&lt;MAX(64999)),"&lt; 65,000",
     AND(M13&gt;MIN(65000),M13&lt;MAX(134999)),"≥ 65,000 and &lt; 135,000",
     AND(M13&gt;MIN(135000), M13&lt;MAX(239999)),"≥ 135,000 and &lt; 240,000",
     AND(M13&gt;MIN(240000), M13&lt;MAX(759999)),"≥ 240,000 and &lt; 760,000",
     AND(M13&gt;MIN(760000), M13&lt;MAX(100000000000)), "≥ 760,000",
     TRUE,"")</f>
        <v/>
      </c>
      <c r="O13" s="160">
        <f>IFERROR(VLOOKUP(G13,'Look Up Tables'!$B$107:$D$109,2,FALSE),0)</f>
        <v>0</v>
      </c>
      <c r="P13" s="160">
        <v>365.25</v>
      </c>
      <c r="Q13" s="160">
        <v>8760</v>
      </c>
      <c r="R13" s="160">
        <v>1.76</v>
      </c>
      <c r="S13" s="160">
        <v>722</v>
      </c>
      <c r="T13" s="589" t="str" cm="1">
        <f t="array" ref="T13">IFERROR(_xlfn.XLOOKUP('Project Summary'!$C$13,'Look Up Tables'!$B$197:$B$210,_xlfn.XLOOKUP('Project Summary'!$C$10,'Look Up Tables'!$C$196:$K$196,'Look Up Tables'!$C$197:$K$210),FALSE),"")</f>
        <v/>
      </c>
      <c r="U13" s="160" t="str" cm="1">
        <f t="array" ref="U13">IFERROR(_xlfn.XLOOKUP('Project Summary'!$C$13,'Look Up Tables'!$B$214:$B$227,_xlfn.XLOOKUP('Project Summary'!$C$10,'Look Up Tables'!$C$213:$K$213,'Look Up Tables'!$C$214:$K$227),FALSE),"")</f>
        <v/>
      </c>
      <c r="V13" s="160" cm="1">
        <f t="array" ref="V13">IFERROR(IF($J13="No",13.71,_xlfn.XLOOKUP(1,('Look Up Tables'!$B$241:$B$284='Adding Doors'!K13)*('Look Up Tables'!$D$241:$D$284='Adding Doors'!L13)*('Look Up Tables'!$C$241:$C$284='Adding Doors'!N13),'Look Up Tables'!$E$241:$E$284)),"")</f>
        <v>0</v>
      </c>
      <c r="W13" s="320" cm="1">
        <f t="array" ref="W13">IFERROR(IF($J13="No",3.345,_xlfn.XLOOKUP(1,('Look Up Tables'!$B$241:$B$284='Adding Doors'!K13)*('Look Up Tables'!$D$241:$D$284='Adding Doors'!L13)*('Look Up Tables'!$C$241:$C$284='Adding Doors'!N13),'Look Up Tables'!$F$241:$F$284)),"")</f>
        <v>0</v>
      </c>
      <c r="X13" s="588" t="str">
        <f t="shared" si="1"/>
        <v/>
      </c>
      <c r="Y13" s="498" t="str">
        <f t="shared" si="2"/>
        <v/>
      </c>
      <c r="Z13" s="498" t="str">
        <f t="shared" si="3"/>
        <v/>
      </c>
      <c r="AA13" s="504" t="str">
        <f t="shared" si="4"/>
        <v/>
      </c>
      <c r="AB13" s="150" t="str">
        <f>IFERROR(X13*Incentives!$C$4+AA13*Incentives!$C$5,"")</f>
        <v/>
      </c>
      <c r="AC13" s="161" t="str">
        <f>IFERROR(ROUND(AB13*'Project Summary'!$H$37/'Project Summary'!$G$37,2),"")</f>
        <v/>
      </c>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row>
    <row r="14" spans="1:52" s="149" customFormat="1" ht="21.75" customHeight="1" x14ac:dyDescent="0.2">
      <c r="B14" s="327">
        <v>7</v>
      </c>
      <c r="C14" s="170"/>
      <c r="D14" s="171"/>
      <c r="E14" s="171"/>
      <c r="F14" s="171"/>
      <c r="G14" s="171"/>
      <c r="H14" s="171"/>
      <c r="I14" s="171"/>
      <c r="J14" s="171"/>
      <c r="K14" s="171"/>
      <c r="L14" s="171"/>
      <c r="M14" s="670"/>
      <c r="N14" s="732" t="str" cm="1">
        <f t="array" ref="N14">_xlfn.IFS(AND(M14&gt;MIN(0), M14&lt;MAX(64999)),"&lt; 65,000",
     AND(M14&gt;MIN(65000),M14&lt;MAX(134999)),"≥ 65,000 and &lt; 135,000",
     AND(M14&gt;MIN(135000), M14&lt;MAX(239999)),"≥ 135,000 and &lt; 240,000",
     AND(M14&gt;MIN(240000), M14&lt;MAX(759999)),"≥ 240,000 and &lt; 760,000",
     AND(M14&gt;MIN(760000), M14&lt;MAX(100000000000)), "≥ 760,000",
     TRUE,"")</f>
        <v/>
      </c>
      <c r="O14" s="160">
        <f>IFERROR(VLOOKUP(G14,'Look Up Tables'!$B$107:$D$109,2,FALSE),0)</f>
        <v>0</v>
      </c>
      <c r="P14" s="160">
        <v>365.25</v>
      </c>
      <c r="Q14" s="160">
        <v>8760</v>
      </c>
      <c r="R14" s="160">
        <v>1.76</v>
      </c>
      <c r="S14" s="160">
        <v>722</v>
      </c>
      <c r="T14" s="589" t="str" cm="1">
        <f t="array" ref="T14">IFERROR(_xlfn.XLOOKUP('Project Summary'!$C$13,'Look Up Tables'!$B$197:$B$210,_xlfn.XLOOKUP('Project Summary'!$C$10,'Look Up Tables'!$C$196:$K$196,'Look Up Tables'!$C$197:$K$210),FALSE),"")</f>
        <v/>
      </c>
      <c r="U14" s="160" t="str" cm="1">
        <f t="array" ref="U14">IFERROR(_xlfn.XLOOKUP('Project Summary'!$C$13,'Look Up Tables'!$B$214:$B$227,_xlfn.XLOOKUP('Project Summary'!$C$10,'Look Up Tables'!$C$213:$K$213,'Look Up Tables'!$C$214:$K$227),FALSE),"")</f>
        <v/>
      </c>
      <c r="V14" s="160" cm="1">
        <f t="array" ref="V14">IFERROR(IF($J14="No",13.71,_xlfn.XLOOKUP(1,('Look Up Tables'!$B$241:$B$284='Adding Doors'!K14)*('Look Up Tables'!$D$241:$D$284='Adding Doors'!L14)*('Look Up Tables'!$C$241:$C$284='Adding Doors'!N14),'Look Up Tables'!$E$241:$E$284)),"")</f>
        <v>0</v>
      </c>
      <c r="W14" s="320" cm="1">
        <f t="array" ref="W14">IFERROR(IF($J14="No",3.345,_xlfn.XLOOKUP(1,('Look Up Tables'!$B$241:$B$284='Adding Doors'!K14)*('Look Up Tables'!$D$241:$D$284='Adding Doors'!L14)*('Look Up Tables'!$C$241:$C$284='Adding Doors'!N14),'Look Up Tables'!$F$241:$F$284)),"")</f>
        <v>0</v>
      </c>
      <c r="X14" s="588" t="str">
        <f t="shared" si="1"/>
        <v/>
      </c>
      <c r="Y14" s="498" t="str">
        <f t="shared" si="2"/>
        <v/>
      </c>
      <c r="Z14" s="498" t="str">
        <f t="shared" si="3"/>
        <v/>
      </c>
      <c r="AA14" s="504" t="str">
        <f t="shared" si="4"/>
        <v/>
      </c>
      <c r="AB14" s="150" t="str">
        <f>IFERROR(X14*Incentives!$C$4+AA14*Incentives!$C$5,"")</f>
        <v/>
      </c>
      <c r="AC14" s="161" t="str">
        <f>IFERROR(ROUND(AB14*'Project Summary'!$H$37/'Project Summary'!$G$37,2),"")</f>
        <v/>
      </c>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row>
    <row r="15" spans="1:52" s="149" customFormat="1" ht="21.75" customHeight="1" x14ac:dyDescent="0.2">
      <c r="B15" s="327">
        <v>8</v>
      </c>
      <c r="C15" s="170"/>
      <c r="D15" s="171"/>
      <c r="E15" s="171"/>
      <c r="F15" s="171"/>
      <c r="G15" s="171"/>
      <c r="H15" s="171"/>
      <c r="I15" s="171"/>
      <c r="J15" s="171"/>
      <c r="K15" s="171"/>
      <c r="L15" s="171"/>
      <c r="M15" s="670"/>
      <c r="N15" s="732" t="str" cm="1">
        <f t="array" ref="N15">_xlfn.IFS(AND(M15&gt;MIN(0), M15&lt;MAX(64999)),"&lt; 65,000",
     AND(M15&gt;MIN(65000),M15&lt;MAX(134999)),"≥ 65,000 and &lt; 135,000",
     AND(M15&gt;MIN(135000), M15&lt;MAX(239999)),"≥ 135,000 and &lt; 240,000",
     AND(M15&gt;MIN(240000), M15&lt;MAX(759999)),"≥ 240,000 and &lt; 760,000",
     AND(M15&gt;MIN(760000), M15&lt;MAX(100000000000)), "≥ 760,000",
     TRUE,"")</f>
        <v/>
      </c>
      <c r="O15" s="160">
        <f>IFERROR(VLOOKUP(G15,'Look Up Tables'!$B$107:$D$109,2,FALSE),0)</f>
        <v>0</v>
      </c>
      <c r="P15" s="160">
        <v>365.25</v>
      </c>
      <c r="Q15" s="160">
        <v>8760</v>
      </c>
      <c r="R15" s="160">
        <v>1.76</v>
      </c>
      <c r="S15" s="160">
        <v>722</v>
      </c>
      <c r="T15" s="589" t="str" cm="1">
        <f t="array" ref="T15">IFERROR(_xlfn.XLOOKUP('Project Summary'!$C$13,'Look Up Tables'!$B$197:$B$210,_xlfn.XLOOKUP('Project Summary'!$C$10,'Look Up Tables'!$C$196:$K$196,'Look Up Tables'!$C$197:$K$210),FALSE),"")</f>
        <v/>
      </c>
      <c r="U15" s="160" t="str" cm="1">
        <f t="array" ref="U15">IFERROR(_xlfn.XLOOKUP('Project Summary'!$C$13,'Look Up Tables'!$B$214:$B$227,_xlfn.XLOOKUP('Project Summary'!$C$10,'Look Up Tables'!$C$213:$K$213,'Look Up Tables'!$C$214:$K$227),FALSE),"")</f>
        <v/>
      </c>
      <c r="V15" s="160" cm="1">
        <f t="array" ref="V15">IFERROR(IF($J15="No",13.71,_xlfn.XLOOKUP(1,('Look Up Tables'!$B$241:$B$284='Adding Doors'!K15)*('Look Up Tables'!$D$241:$D$284='Adding Doors'!L15)*('Look Up Tables'!$C$241:$C$284='Adding Doors'!N15),'Look Up Tables'!$E$241:$E$284)),"")</f>
        <v>0</v>
      </c>
      <c r="W15" s="320" cm="1">
        <f t="array" ref="W15">IFERROR(IF($J15="No",3.345,_xlfn.XLOOKUP(1,('Look Up Tables'!$B$241:$B$284='Adding Doors'!K15)*('Look Up Tables'!$D$241:$D$284='Adding Doors'!L15)*('Look Up Tables'!$C$241:$C$284='Adding Doors'!N15),'Look Up Tables'!$F$241:$F$284)),"")</f>
        <v>0</v>
      </c>
      <c r="X15" s="588" t="str">
        <f t="shared" si="1"/>
        <v/>
      </c>
      <c r="Y15" s="498" t="str">
        <f t="shared" si="2"/>
        <v/>
      </c>
      <c r="Z15" s="498" t="str">
        <f t="shared" si="3"/>
        <v/>
      </c>
      <c r="AA15" s="504" t="str">
        <f t="shared" si="4"/>
        <v/>
      </c>
      <c r="AB15" s="150" t="str">
        <f>IFERROR(X15*Incentives!$C$4+AA15*Incentives!$C$5,"")</f>
        <v/>
      </c>
      <c r="AC15" s="161" t="str">
        <f>IFERROR(ROUND(AB15*'Project Summary'!$H$37/'Project Summary'!$G$37,2),"")</f>
        <v/>
      </c>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row>
    <row r="16" spans="1:52" s="149" customFormat="1" ht="21.75" customHeight="1" x14ac:dyDescent="0.2">
      <c r="B16" s="327">
        <v>9</v>
      </c>
      <c r="C16" s="170"/>
      <c r="D16" s="171"/>
      <c r="E16" s="171"/>
      <c r="F16" s="171"/>
      <c r="G16" s="171"/>
      <c r="H16" s="171"/>
      <c r="I16" s="171"/>
      <c r="J16" s="171"/>
      <c r="K16" s="171"/>
      <c r="L16" s="171"/>
      <c r="M16" s="670"/>
      <c r="N16" s="732" t="str" cm="1">
        <f t="array" ref="N16">_xlfn.IFS(AND(M16&gt;MIN(0), M16&lt;MAX(64999)),"&lt; 65,000",
     AND(M16&gt;MIN(65000),M16&lt;MAX(134999)),"≥ 65,000 and &lt; 135,000",
     AND(M16&gt;MIN(135000), M16&lt;MAX(239999)),"≥ 135,000 and &lt; 240,000",
     AND(M16&gt;MIN(240000), M16&lt;MAX(759999)),"≥ 240,000 and &lt; 760,000",
     AND(M16&gt;MIN(760000), M16&lt;MAX(100000000000)), "≥ 760,000",
     TRUE,"")</f>
        <v/>
      </c>
      <c r="O16" s="160">
        <f>IFERROR(VLOOKUP(G16,'Look Up Tables'!$B$107:$D$109,2,FALSE),0)</f>
        <v>0</v>
      </c>
      <c r="P16" s="160">
        <v>365.25</v>
      </c>
      <c r="Q16" s="160">
        <v>8760</v>
      </c>
      <c r="R16" s="160">
        <v>1.76</v>
      </c>
      <c r="S16" s="160">
        <v>722</v>
      </c>
      <c r="T16" s="589" t="str" cm="1">
        <f t="array" ref="T16">IFERROR(_xlfn.XLOOKUP('Project Summary'!$C$13,'Look Up Tables'!$B$197:$B$210,_xlfn.XLOOKUP('Project Summary'!$C$10,'Look Up Tables'!$C$196:$K$196,'Look Up Tables'!$C$197:$K$210),FALSE),"")</f>
        <v/>
      </c>
      <c r="U16" s="160" t="str" cm="1">
        <f t="array" ref="U16">IFERROR(_xlfn.XLOOKUP('Project Summary'!$C$13,'Look Up Tables'!$B$214:$B$227,_xlfn.XLOOKUP('Project Summary'!$C$10,'Look Up Tables'!$C$213:$K$213,'Look Up Tables'!$C$214:$K$227),FALSE),"")</f>
        <v/>
      </c>
      <c r="V16" s="160" cm="1">
        <f t="array" ref="V16">IFERROR(IF($J16="No",13.71,_xlfn.XLOOKUP(1,('Look Up Tables'!$B$241:$B$284='Adding Doors'!K16)*('Look Up Tables'!$D$241:$D$284='Adding Doors'!L16)*('Look Up Tables'!$C$241:$C$284='Adding Doors'!N16),'Look Up Tables'!$E$241:$E$284)),"")</f>
        <v>0</v>
      </c>
      <c r="W16" s="320" cm="1">
        <f t="array" ref="W16">IFERROR(IF($J16="No",3.345,_xlfn.XLOOKUP(1,('Look Up Tables'!$B$241:$B$284='Adding Doors'!K16)*('Look Up Tables'!$D$241:$D$284='Adding Doors'!L16)*('Look Up Tables'!$C$241:$C$284='Adding Doors'!N16),'Look Up Tables'!$F$241:$F$284)),"")</f>
        <v>0</v>
      </c>
      <c r="X16" s="588" t="str">
        <f t="shared" si="1"/>
        <v/>
      </c>
      <c r="Y16" s="498" t="str">
        <f t="shared" si="2"/>
        <v/>
      </c>
      <c r="Z16" s="498" t="str">
        <f t="shared" si="3"/>
        <v/>
      </c>
      <c r="AA16" s="504" t="str">
        <f t="shared" si="4"/>
        <v/>
      </c>
      <c r="AB16" s="150" t="str">
        <f>IFERROR(X16*Incentives!$C$4+AA16*Incentives!$C$5,"")</f>
        <v/>
      </c>
      <c r="AC16" s="161" t="str">
        <f>IFERROR(ROUND(AB16*'Project Summary'!$H$37/'Project Summary'!$G$37,2),"")</f>
        <v/>
      </c>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row>
    <row r="17" spans="2:52" s="149" customFormat="1" ht="21.75" customHeight="1" thickBot="1" x14ac:dyDescent="0.25">
      <c r="B17" s="328">
        <v>10</v>
      </c>
      <c r="C17" s="174"/>
      <c r="D17" s="177"/>
      <c r="E17" s="177"/>
      <c r="F17" s="177"/>
      <c r="G17" s="177"/>
      <c r="H17" s="177"/>
      <c r="I17" s="177"/>
      <c r="J17" s="177"/>
      <c r="K17" s="177"/>
      <c r="L17" s="177"/>
      <c r="M17" s="671"/>
      <c r="N17" s="664" t="str" cm="1">
        <f t="array" ref="N17">_xlfn.IFS(AND(M17&gt;MIN(0), M17&lt;MAX(64999)),"&lt; 65,000",
     AND(M17&gt;MIN(65000),M17&lt;MAX(134999)),"≥ 65,000 and &lt; 135,000",
     AND(M17&gt;MIN(135000), M17&lt;MAX(239999)),"≥ 135,000 and &lt; 240,000",
     AND(M17&gt;MIN(240000), M17&lt;MAX(759999)),"≥ 240,000 and &lt; 760,000",
     AND(M17&gt;MIN(760000), M17&lt;MAX(100000000000)), "≥ 760,000",
     TRUE,"")</f>
        <v/>
      </c>
      <c r="O17" s="164">
        <f>IFERROR(VLOOKUP(G17,'Look Up Tables'!$B$107:$D$109,2,FALSE),0)</f>
        <v>0</v>
      </c>
      <c r="P17" s="164">
        <v>365.25</v>
      </c>
      <c r="Q17" s="164">
        <v>8760</v>
      </c>
      <c r="R17" s="164">
        <v>1.76</v>
      </c>
      <c r="S17" s="164">
        <v>722</v>
      </c>
      <c r="T17" s="590" t="str" cm="1">
        <f t="array" ref="T17">IFERROR(_xlfn.XLOOKUP('Project Summary'!$C$13,'Look Up Tables'!$B$197:$B$210,_xlfn.XLOOKUP('Project Summary'!$C$10,'Look Up Tables'!$C$196:$K$196,'Look Up Tables'!$C$197:$K$210),FALSE),"")</f>
        <v/>
      </c>
      <c r="U17" s="164" t="str" cm="1">
        <f t="array" ref="U17">IFERROR(_xlfn.XLOOKUP('Project Summary'!$C$13,'Look Up Tables'!$B$214:$B$227,_xlfn.XLOOKUP('Project Summary'!$C$10,'Look Up Tables'!$C$213:$K$213,'Look Up Tables'!$C$214:$K$227),FALSE),"")</f>
        <v/>
      </c>
      <c r="V17" s="164" cm="1">
        <f t="array" ref="V17">IFERROR(IF($J17="No",13.71,_xlfn.XLOOKUP(1,('Look Up Tables'!$B$241:$B$284='Adding Doors'!K17)*('Look Up Tables'!$D$241:$D$284='Adding Doors'!L17)*('Look Up Tables'!$C$241:$C$284='Adding Doors'!N17),'Look Up Tables'!$E$241:$E$284)),"")</f>
        <v>0</v>
      </c>
      <c r="W17" s="321" cm="1">
        <f t="array" ref="W17">IFERROR(IF($J17="No",3.345,_xlfn.XLOOKUP(1,('Look Up Tables'!$B$241:$B$284='Adding Doors'!K17)*('Look Up Tables'!$D$241:$D$284='Adding Doors'!L17)*('Look Up Tables'!$C$241:$C$284='Adding Doors'!N17),'Look Up Tables'!$F$241:$F$284)),"")</f>
        <v>0</v>
      </c>
      <c r="X17" s="605" t="str">
        <f t="shared" si="1"/>
        <v/>
      </c>
      <c r="Y17" s="499" t="str">
        <f t="shared" si="2"/>
        <v/>
      </c>
      <c r="Z17" s="499" t="str">
        <f t="shared" si="3"/>
        <v/>
      </c>
      <c r="AA17" s="505" t="str">
        <f t="shared" si="4"/>
        <v/>
      </c>
      <c r="AB17" s="150" t="str">
        <f>IFERROR(X17*Incentives!$C$4+AA17*Incentives!$C$5,"")</f>
        <v/>
      </c>
      <c r="AC17" s="165" t="str">
        <f>IFERROR(ROUND(AB17*'Project Summary'!$H$37/'Project Summary'!$G$37,2),"")</f>
        <v/>
      </c>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row>
    <row r="18" spans="2:52"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row>
    <row r="19" spans="2:52"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537"/>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row>
    <row r="20" spans="2:52"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row>
    <row r="21" spans="2:52" x14ac:dyDescent="0.2">
      <c r="B21" s="150"/>
      <c r="C21" s="150"/>
      <c r="D21" s="150"/>
      <c r="E21" s="150"/>
      <c r="F21" s="150"/>
      <c r="G21" s="150"/>
      <c r="H21" s="150"/>
      <c r="I21" s="150"/>
      <c r="J21" s="150"/>
      <c r="K21" s="150"/>
      <c r="L21" s="150"/>
      <c r="M21" s="150"/>
      <c r="N21" s="150"/>
      <c r="O21" s="150"/>
      <c r="P21" s="150"/>
      <c r="Q21" s="150"/>
      <c r="R21" s="150"/>
      <c r="S21" s="537"/>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row>
    <row r="22" spans="2:52"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row>
    <row r="23" spans="2:52"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row>
    <row r="24" spans="2:52"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row>
    <row r="25" spans="2:52"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row>
    <row r="26" spans="2:52"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row>
    <row r="27" spans="2:52"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row>
    <row r="28" spans="2:52"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row>
    <row r="29" spans="2:52"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row>
    <row r="30" spans="2:52"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row>
    <row r="31" spans="2:52"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row>
    <row r="32" spans="2:52"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row>
    <row r="33" spans="2:52"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row>
    <row r="34" spans="2:52"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row>
    <row r="35" spans="2:52"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row>
    <row r="36" spans="2:52"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row>
    <row r="37" spans="2:52"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row>
    <row r="38" spans="2:52"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row>
    <row r="39" spans="2:52"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row>
    <row r="40" spans="2:52"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row>
    <row r="41" spans="2:52"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row>
    <row r="42" spans="2:52"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row>
    <row r="43" spans="2:52"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row>
    <row r="44" spans="2:52"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row>
    <row r="45" spans="2:52"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150"/>
      <c r="AY45" s="150"/>
      <c r="AZ45" s="150"/>
    </row>
    <row r="46" spans="2:52"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row>
    <row r="47" spans="2:52"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row>
    <row r="48" spans="2:52"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row>
    <row r="49" spans="2:52"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c r="AY49" s="150"/>
      <c r="AZ49" s="150"/>
    </row>
    <row r="50" spans="2:52"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c r="AW50" s="150"/>
      <c r="AX50" s="150"/>
      <c r="AY50" s="150"/>
      <c r="AZ50" s="150"/>
    </row>
    <row r="51" spans="2:52"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c r="AY51" s="150"/>
      <c r="AZ51" s="150"/>
    </row>
    <row r="52" spans="2:52"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c r="AW52" s="150"/>
      <c r="AX52" s="150"/>
      <c r="AY52" s="150"/>
      <c r="AZ52" s="150"/>
    </row>
    <row r="53" spans="2:52"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c r="AX53" s="150"/>
      <c r="AY53" s="150"/>
      <c r="AZ53" s="150"/>
    </row>
    <row r="54" spans="2:52"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c r="AX54" s="150"/>
      <c r="AY54" s="150"/>
      <c r="AZ54" s="150"/>
    </row>
    <row r="55" spans="2:52"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c r="AX55" s="150"/>
      <c r="AY55" s="150"/>
      <c r="AZ55" s="150"/>
    </row>
    <row r="56" spans="2:52"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row>
    <row r="57" spans="2:52"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c r="AX57" s="150"/>
      <c r="AY57" s="150"/>
      <c r="AZ57" s="150"/>
    </row>
    <row r="58" spans="2:52"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row>
    <row r="59" spans="2:52"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row>
    <row r="60" spans="2:52"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row>
    <row r="61" spans="2:52"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row>
    <row r="62" spans="2:52"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row>
    <row r="63" spans="2:52"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row>
    <row r="64" spans="2:52"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row>
    <row r="65" spans="2:52"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row>
  </sheetData>
  <sheetProtection algorithmName="SHA-512" hashValue="lYyZ4vQSB6oMt7rFHFiWBXwMOo1WjR608oZiEtYUE8+Ji7QFLuxGMzMF74KboABdcbTb2o9Fp6+OEC9Ey0cu0w==" saltValue="ejmwOfDE+frGDfFzqBHU6w==" spinCount="100000" sheet="1" formatColumns="0"/>
  <mergeCells count="6">
    <mergeCell ref="B4:P4"/>
    <mergeCell ref="C6:I6"/>
    <mergeCell ref="N6:AA6"/>
    <mergeCell ref="AB6:AB7"/>
    <mergeCell ref="AC6:AC7"/>
    <mergeCell ref="B6:B7"/>
  </mergeCells>
  <conditionalFormatting sqref="F8:F17">
    <cfRule type="expression" dxfId="7" priority="2">
      <formula>$F8="New Construction"</formula>
    </cfRule>
  </conditionalFormatting>
  <conditionalFormatting sqref="K8:M17">
    <cfRule type="expression" dxfId="6" priority="1">
      <formula>$J8="No"</formula>
    </cfRule>
  </conditionalFormatting>
  <dataValidations xWindow="577" yWindow="447" count="1">
    <dataValidation allowBlank="1" showErrorMessage="1" promptTitle="Retrofit Only" prompt="This measure is for retrofit projects only. If new Construction, please contact CLEAResult for further assistance._x000a_" sqref="H8:H17" xr:uid="{FA0C6D86-5874-49F3-A839-179180CCD306}"/>
  </dataValidations>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77" yWindow="447" count="5">
        <x14:dataValidation type="list" allowBlank="1" showInputMessage="1" showErrorMessage="1" promptTitle="Retrofit Only" prompt="This measure is for retrofit projects only. If new Construction, please contact CLEAResult for further assistance._x000a_" xr:uid="{58CDDED9-8E3C-44B5-8DFE-702BDE44517E}">
          <x14:formula1>
            <xm:f>'Look Up Tables'!$F$33:$F$34</xm:f>
          </x14:formula1>
          <xm:sqref>F8:F17</xm:sqref>
        </x14:dataValidation>
        <x14:dataValidation type="list" allowBlank="1" showErrorMessage="1" promptTitle="Retrofit Only" prompt="This measure is for retrofit projects only. If new Construction, please contact CLEAResult for further assistance._x000a_" xr:uid="{328D2EAE-4556-4C2B-8AB8-5E5A7311E06D}">
          <x14:formula1>
            <xm:f>'Look Up Tables'!$B$108:$B$109</xm:f>
          </x14:formula1>
          <xm:sqref>G8:G17</xm:sqref>
        </x14:dataValidation>
        <x14:dataValidation type="list" allowBlank="1" showInputMessage="1" showErrorMessage="1" xr:uid="{2B1AD695-A1E9-4A6E-B966-B385A3B538BE}">
          <x14:formula1>
            <xm:f>'Look Up Tables'!$C$230:$C$231</xm:f>
          </x14:formula1>
          <xm:sqref>L8:L17</xm:sqref>
        </x14:dataValidation>
        <x14:dataValidation type="list" allowBlank="1" showInputMessage="1" showErrorMessage="1" xr:uid="{F6D8C549-06E9-4BBF-A5AE-EDA71A0EFFC6}">
          <x14:formula1>
            <xm:f>'Look Up Tables'!$B$230:$B$233</xm:f>
          </x14:formula1>
          <xm:sqref>K8:K17</xm:sqref>
        </x14:dataValidation>
        <x14:dataValidation type="list" allowBlank="1" showInputMessage="1" showErrorMessage="1" xr:uid="{0B2993FA-F156-4DB3-948E-BCC65B5D9725}">
          <x14:formula1>
            <xm:f>'Look Up Tables'!$E$230:$E$231</xm:f>
          </x14:formula1>
          <xm:sqref>J8:J17</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98AB1-3747-46AA-8B49-F5158B236A48}">
  <sheetPr codeName="Sheet15">
    <tabColor theme="0" tint="-0.14999847407452621"/>
  </sheetPr>
  <dimension ref="A1:AJ65"/>
  <sheetViews>
    <sheetView zoomScale="80" zoomScaleNormal="80" workbookViewId="0">
      <selection activeCell="E28" sqref="E28"/>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27.125" style="145" customWidth="1"/>
    <col min="8" max="8" width="18.125" style="145" customWidth="1"/>
    <col min="9" max="9" width="11.125" style="145" customWidth="1"/>
    <col min="10" max="10" width="12.625" style="145" bestFit="1" customWidth="1"/>
    <col min="11" max="11" width="11.5" style="145" bestFit="1" customWidth="1"/>
    <col min="12" max="12" width="8.625" style="145" customWidth="1"/>
    <col min="13" max="13" width="14.125" style="145" customWidth="1"/>
    <col min="14" max="16384" width="8.625" style="145"/>
  </cols>
  <sheetData>
    <row r="1" spans="1:36" x14ac:dyDescent="0.2">
      <c r="A1" s="144" t="s">
        <v>795</v>
      </c>
      <c r="L1" s="145" t="s">
        <v>207</v>
      </c>
    </row>
    <row r="2" spans="1:36" ht="9.75" customHeight="1" x14ac:dyDescent="0.2"/>
    <row r="3" spans="1:36" ht="34.5" customHeight="1" x14ac:dyDescent="0.5">
      <c r="B3" s="188" t="s">
        <v>226</v>
      </c>
      <c r="C3" s="147"/>
      <c r="D3" s="147"/>
      <c r="E3" s="147"/>
      <c r="F3" s="147"/>
      <c r="G3" s="147"/>
      <c r="H3" s="147"/>
    </row>
    <row r="4" spans="1:36" ht="29.1" customHeight="1" x14ac:dyDescent="0.2">
      <c r="B4" s="797" t="s">
        <v>210</v>
      </c>
      <c r="C4" s="797"/>
      <c r="D4" s="797"/>
      <c r="E4" s="797"/>
      <c r="F4" s="797"/>
      <c r="G4" s="797"/>
      <c r="H4" s="797"/>
      <c r="I4" s="797"/>
      <c r="J4" s="797"/>
      <c r="K4" s="797"/>
    </row>
    <row r="5" spans="1:36" ht="9" customHeight="1" thickBot="1" x14ac:dyDescent="0.3">
      <c r="B5" s="148"/>
      <c r="C5" s="148"/>
      <c r="D5" s="148"/>
      <c r="E5" s="148"/>
      <c r="F5" s="148"/>
    </row>
    <row r="6" spans="1:36" s="149" customFormat="1" ht="22.35" customHeight="1" x14ac:dyDescent="0.2">
      <c r="B6" s="941" t="s">
        <v>275</v>
      </c>
      <c r="C6" s="943" t="s">
        <v>796</v>
      </c>
      <c r="D6" s="944"/>
      <c r="E6" s="944"/>
      <c r="F6" s="944"/>
      <c r="G6" s="944"/>
      <c r="H6" s="944"/>
      <c r="I6" s="944"/>
      <c r="J6" s="953" t="s">
        <v>797</v>
      </c>
      <c r="K6" s="955"/>
      <c r="L6" s="960" t="s">
        <v>219</v>
      </c>
      <c r="M6" s="941" t="s">
        <v>798</v>
      </c>
      <c r="R6" s="150"/>
      <c r="S6" s="150"/>
      <c r="T6" s="150"/>
      <c r="U6" s="150"/>
      <c r="V6" s="150"/>
      <c r="W6" s="150"/>
    </row>
    <row r="7" spans="1:36" s="150" customFormat="1" ht="33.75" customHeight="1" thickBot="1" x14ac:dyDescent="0.25">
      <c r="B7" s="942"/>
      <c r="C7" s="198" t="s">
        <v>799</v>
      </c>
      <c r="D7" s="205" t="s">
        <v>141</v>
      </c>
      <c r="E7" s="205" t="s">
        <v>143</v>
      </c>
      <c r="F7" s="199" t="s">
        <v>145</v>
      </c>
      <c r="G7" s="199" t="s">
        <v>800</v>
      </c>
      <c r="H7" s="208" t="s">
        <v>147</v>
      </c>
      <c r="I7" s="208" t="s">
        <v>155</v>
      </c>
      <c r="J7" s="198" t="s">
        <v>192</v>
      </c>
      <c r="K7" s="200" t="s">
        <v>848</v>
      </c>
      <c r="L7" s="960"/>
      <c r="M7" s="950"/>
    </row>
    <row r="8" spans="1:36" s="149" customFormat="1" ht="21.75" customHeight="1" x14ac:dyDescent="0.2">
      <c r="B8" s="376">
        <v>1</v>
      </c>
      <c r="C8" s="166"/>
      <c r="D8" s="168"/>
      <c r="E8" s="168"/>
      <c r="F8" s="168"/>
      <c r="G8" s="168"/>
      <c r="H8" s="168"/>
      <c r="I8" s="169"/>
      <c r="J8" s="387">
        <f>IFERROR(IF(F8="Retrofit",ROUND(IF(G8="Freezer",VLOOKUP('Door Gaskets'!H8,'Look Up Tables'!$I$67:$M$68,5,FALSE),IF(G8="Refrigeration",VLOOKUP('Door Gaskets'!H8,'Look Up Tables'!$I$67:$M$68,4,FALSE),0))*I8,2),0),"")</f>
        <v>0</v>
      </c>
      <c r="K8" s="181">
        <f>IFERROR(IF(F8="Retrofit",ROUND(IF(G8="Freezer",VLOOKUP('Door Gaskets'!H8,'Look Up Tables'!$I$67:$M$68,3,FALSE),IF(G8="Refrigeration",VLOOKUP('Door Gaskets'!H8,'Look Up Tables'!$I$67:$M$68,2,FALSE),0))*I8,4),0),"")</f>
        <v>0</v>
      </c>
      <c r="L8" s="150">
        <f>IFERROR(J8*Incentives!$C$4+K8*Incentives!$C$5,"")</f>
        <v>0</v>
      </c>
      <c r="M8" s="191" t="str">
        <f>IFERROR(L8*'Project Summary'!$H$37/'Project Summary'!$G$37,"")</f>
        <v/>
      </c>
      <c r="N8" s="150"/>
      <c r="O8" s="150"/>
      <c r="P8" s="150"/>
      <c r="Q8" s="150"/>
      <c r="R8" s="150"/>
      <c r="S8" s="150"/>
      <c r="T8" s="150"/>
      <c r="U8" s="150"/>
      <c r="V8" s="150"/>
      <c r="W8" s="150"/>
      <c r="X8" s="150"/>
      <c r="Y8" s="150"/>
      <c r="Z8" s="150"/>
      <c r="AA8" s="150"/>
      <c r="AB8" s="150"/>
      <c r="AC8" s="150"/>
      <c r="AD8" s="150"/>
      <c r="AE8" s="150"/>
      <c r="AF8" s="150"/>
      <c r="AG8" s="150"/>
      <c r="AH8" s="150"/>
      <c r="AI8" s="150"/>
      <c r="AJ8" s="150"/>
    </row>
    <row r="9" spans="1:36" s="149" customFormat="1" ht="21.75" customHeight="1" x14ac:dyDescent="0.2">
      <c r="B9" s="327">
        <v>2</v>
      </c>
      <c r="C9" s="170"/>
      <c r="D9" s="171"/>
      <c r="E9" s="171"/>
      <c r="F9" s="171"/>
      <c r="G9" s="171"/>
      <c r="H9" s="171"/>
      <c r="I9" s="172"/>
      <c r="J9" s="735">
        <f>IFERROR(IF(F9="Retrofit",ROUND(IF(G9="Freezer",VLOOKUP('Door Gaskets'!H9,'Look Up Tables'!$I$67:$M$68,5,FALSE),IF(G9="Refrigeration",VLOOKUP('Door Gaskets'!H9,'Look Up Tables'!$I$67:$M$68,4,FALSE),0))*I9,2),0),"")</f>
        <v>0</v>
      </c>
      <c r="K9" s="183">
        <f>IFERROR(IF(F9="Retrofit",ROUND(IF(G9="Freezer",VLOOKUP('Door Gaskets'!H9,'Look Up Tables'!$I$67:$M$68,3,FALSE),IF(G9="Refrigeration",VLOOKUP('Door Gaskets'!H9,'Look Up Tables'!$I$67:$M$68,2,FALSE),0))*I9,4),0),"")</f>
        <v>0</v>
      </c>
      <c r="L9" s="150">
        <f>IFERROR(J9*Incentives!$C$4+K9*Incentives!$C$5,"")</f>
        <v>0</v>
      </c>
      <c r="M9" s="161" t="str">
        <f>IFERROR(L9*'Project Summary'!$H$37/'Project Summary'!$G$37,"")</f>
        <v/>
      </c>
      <c r="N9" s="150"/>
      <c r="O9" s="150"/>
      <c r="P9" s="150"/>
      <c r="Q9" s="150"/>
      <c r="R9" s="150"/>
      <c r="S9" s="150"/>
      <c r="T9" s="150"/>
      <c r="U9" s="150"/>
      <c r="V9" s="150"/>
      <c r="W9" s="150"/>
      <c r="X9" s="150"/>
      <c r="Y9" s="150"/>
      <c r="Z9" s="150"/>
      <c r="AA9" s="150"/>
      <c r="AB9" s="150"/>
      <c r="AC9" s="150"/>
      <c r="AD9" s="150"/>
      <c r="AE9" s="150"/>
      <c r="AF9" s="150"/>
      <c r="AG9" s="150"/>
      <c r="AH9" s="150"/>
      <c r="AI9" s="150"/>
      <c r="AJ9" s="150"/>
    </row>
    <row r="10" spans="1:36" s="149" customFormat="1" ht="21.75" customHeight="1" x14ac:dyDescent="0.2">
      <c r="B10" s="327">
        <v>3</v>
      </c>
      <c r="C10" s="170"/>
      <c r="D10" s="171"/>
      <c r="E10" s="171"/>
      <c r="F10" s="171"/>
      <c r="G10" s="171"/>
      <c r="H10" s="171"/>
      <c r="I10" s="172"/>
      <c r="J10" s="735">
        <f>IFERROR(IF(F10="Retrofit",ROUND(IF(G10="Freezer",VLOOKUP('Door Gaskets'!H10,'Look Up Tables'!$I$67:$M$68,5,FALSE),IF(G10="Refrigeration",VLOOKUP('Door Gaskets'!H10,'Look Up Tables'!$I$67:$M$68,4,FALSE),0))*I10,2),0),"")</f>
        <v>0</v>
      </c>
      <c r="K10" s="183">
        <f>IFERROR(IF(F10="Retrofit",ROUND(IF(G10="Freezer",VLOOKUP('Door Gaskets'!H10,'Look Up Tables'!$I$67:$M$68,3,FALSE),IF(G10="Refrigeration",VLOOKUP('Door Gaskets'!H10,'Look Up Tables'!$I$67:$M$68,2,FALSE),0))*I10,4),0),"")</f>
        <v>0</v>
      </c>
      <c r="L10" s="150">
        <f>IFERROR(J10*Incentives!$C$4+K10*Incentives!$C$5,"")</f>
        <v>0</v>
      </c>
      <c r="M10" s="161" t="str">
        <f>IFERROR(L10*'Project Summary'!$H$37/'Project Summary'!$G$37,"")</f>
        <v/>
      </c>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row>
    <row r="11" spans="1:36" s="149" customFormat="1" ht="21.75" customHeight="1" x14ac:dyDescent="0.2">
      <c r="B11" s="327">
        <v>4</v>
      </c>
      <c r="C11" s="170"/>
      <c r="D11" s="171"/>
      <c r="E11" s="171"/>
      <c r="F11" s="171"/>
      <c r="G11" s="171"/>
      <c r="H11" s="171"/>
      <c r="I11" s="172"/>
      <c r="J11" s="735">
        <f>IFERROR(IF(F11="Retrofit",ROUND(IF(G11="Freezer",VLOOKUP('Door Gaskets'!H11,'Look Up Tables'!$I$67:$M$68,5,FALSE),IF(G11="Refrigeration",VLOOKUP('Door Gaskets'!H11,'Look Up Tables'!$I$67:$M$68,4,FALSE),0))*I11,2),0),"")</f>
        <v>0</v>
      </c>
      <c r="K11" s="183">
        <f>IFERROR(IF(F11="Retrofit",ROUND(IF(G11="Freezer",VLOOKUP('Door Gaskets'!H11,'Look Up Tables'!$I$67:$M$68,3,FALSE),IF(G11="Refrigeration",VLOOKUP('Door Gaskets'!H11,'Look Up Tables'!$I$67:$M$68,2,FALSE),0))*I11,4),0),"")</f>
        <v>0</v>
      </c>
      <c r="L11" s="150">
        <f>IFERROR(J11*Incentives!$C$4+K11*Incentives!$C$5,"")</f>
        <v>0</v>
      </c>
      <c r="M11" s="161" t="str">
        <f>IFERROR(L11*'Project Summary'!$H$37/'Project Summary'!$G$37,"")</f>
        <v/>
      </c>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row>
    <row r="12" spans="1:36" s="149" customFormat="1" ht="21.75" customHeight="1" x14ac:dyDescent="0.2">
      <c r="B12" s="327">
        <v>5</v>
      </c>
      <c r="C12" s="170"/>
      <c r="D12" s="171"/>
      <c r="E12" s="171"/>
      <c r="F12" s="171"/>
      <c r="G12" s="171"/>
      <c r="H12" s="171"/>
      <c r="I12" s="172"/>
      <c r="J12" s="735">
        <f>IFERROR(IF(F12="Retrofit",ROUND(IF(G12="Freezer",VLOOKUP('Door Gaskets'!H12,'Look Up Tables'!$I$67:$M$68,5,FALSE),IF(G12="Refrigeration",VLOOKUP('Door Gaskets'!H12,'Look Up Tables'!$I$67:$M$68,4,FALSE),0))*I12,2),0),"")</f>
        <v>0</v>
      </c>
      <c r="K12" s="183">
        <f>IFERROR(IF(F12="Retrofit",ROUND(IF(G12="Freezer",VLOOKUP('Door Gaskets'!H12,'Look Up Tables'!$I$67:$M$68,3,FALSE),IF(G12="Refrigeration",VLOOKUP('Door Gaskets'!H12,'Look Up Tables'!$I$67:$M$68,2,FALSE),0))*I12,4),0),"")</f>
        <v>0</v>
      </c>
      <c r="L12" s="150">
        <f>IFERROR(J12*Incentives!$C$4+K12*Incentives!$C$5,"")</f>
        <v>0</v>
      </c>
      <c r="M12" s="161" t="str">
        <f>IFERROR(L12*'Project Summary'!$H$37/'Project Summary'!$G$37,"")</f>
        <v/>
      </c>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row>
    <row r="13" spans="1:36" s="149" customFormat="1" ht="21.75" customHeight="1" x14ac:dyDescent="0.2">
      <c r="B13" s="327">
        <v>6</v>
      </c>
      <c r="C13" s="170"/>
      <c r="D13" s="171"/>
      <c r="E13" s="171"/>
      <c r="F13" s="171"/>
      <c r="G13" s="171"/>
      <c r="H13" s="171"/>
      <c r="I13" s="172"/>
      <c r="J13" s="735">
        <f>IFERROR(IF(F13="Retrofit",ROUND(IF(G13="Freezer",VLOOKUP('Door Gaskets'!H13,'Look Up Tables'!$I$67:$M$68,5,FALSE),IF(G13="Refrigeration",VLOOKUP('Door Gaskets'!H13,'Look Up Tables'!$I$67:$M$68,4,FALSE),0))*I13,2),0),"")</f>
        <v>0</v>
      </c>
      <c r="K13" s="183">
        <f>IFERROR(IF(F13="Retrofit",ROUND(IF(G13="Freezer",VLOOKUP('Door Gaskets'!H13,'Look Up Tables'!$I$67:$M$68,3,FALSE),IF(G13="Refrigeration",VLOOKUP('Door Gaskets'!H13,'Look Up Tables'!$I$67:$M$68,2,FALSE),0))*I13,4),0),"")</f>
        <v>0</v>
      </c>
      <c r="L13" s="150">
        <f>IFERROR(J13*Incentives!$C$4+K13*Incentives!$C$5,"")</f>
        <v>0</v>
      </c>
      <c r="M13" s="161" t="str">
        <f>IFERROR(L13*'Project Summary'!$H$37/'Project Summary'!$G$37,"")</f>
        <v/>
      </c>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row>
    <row r="14" spans="1:36" s="149" customFormat="1" ht="21.75" customHeight="1" x14ac:dyDescent="0.2">
      <c r="B14" s="327">
        <v>7</v>
      </c>
      <c r="C14" s="170"/>
      <c r="D14" s="171"/>
      <c r="E14" s="171"/>
      <c r="F14" s="171"/>
      <c r="G14" s="171"/>
      <c r="H14" s="171"/>
      <c r="I14" s="172"/>
      <c r="J14" s="735">
        <f>IFERROR(IF(F14="Retrofit",ROUND(IF(G14="Freezer",VLOOKUP('Door Gaskets'!H14,'Look Up Tables'!$I$67:$M$68,5,FALSE),IF(G14="Refrigeration",VLOOKUP('Door Gaskets'!H14,'Look Up Tables'!$I$67:$M$68,4,FALSE),0))*I14,2),0),"")</f>
        <v>0</v>
      </c>
      <c r="K14" s="183">
        <f>IFERROR(IF(F14="Retrofit",ROUND(IF(G14="Freezer",VLOOKUP('Door Gaskets'!H14,'Look Up Tables'!$I$67:$M$68,3,FALSE),IF(G14="Refrigeration",VLOOKUP('Door Gaskets'!H14,'Look Up Tables'!$I$67:$M$68,2,FALSE),0))*I14,4),0),"")</f>
        <v>0</v>
      </c>
      <c r="L14" s="150">
        <f>IFERROR(J14*Incentives!$C$4+K14*Incentives!$C$5,"")</f>
        <v>0</v>
      </c>
      <c r="M14" s="161" t="str">
        <f>IFERROR(L14*'Project Summary'!$H$37/'Project Summary'!$G$37,"")</f>
        <v/>
      </c>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row>
    <row r="15" spans="1:36" s="149" customFormat="1" ht="21.75" customHeight="1" x14ac:dyDescent="0.2">
      <c r="B15" s="327">
        <v>8</v>
      </c>
      <c r="C15" s="170"/>
      <c r="D15" s="171"/>
      <c r="E15" s="171"/>
      <c r="F15" s="171"/>
      <c r="G15" s="171"/>
      <c r="H15" s="171"/>
      <c r="I15" s="172"/>
      <c r="J15" s="735">
        <f>IFERROR(IF(F15="Retrofit",ROUND(IF(G15="Freezer",VLOOKUP('Door Gaskets'!H15,'Look Up Tables'!$I$67:$M$68,5,FALSE),IF(G15="Refrigeration",VLOOKUP('Door Gaskets'!H15,'Look Up Tables'!$I$67:$M$68,4,FALSE),0))*I15,2),0),"")</f>
        <v>0</v>
      </c>
      <c r="K15" s="183">
        <f>IFERROR(IF(F15="Retrofit",ROUND(IF(G15="Freezer",VLOOKUP('Door Gaskets'!H15,'Look Up Tables'!$I$67:$M$68,3,FALSE),IF(G15="Refrigeration",VLOOKUP('Door Gaskets'!H15,'Look Up Tables'!$I$67:$M$68,2,FALSE),0))*I15,4),0),"")</f>
        <v>0</v>
      </c>
      <c r="L15" s="150">
        <f>IFERROR(J15*Incentives!$C$4+K15*Incentives!$C$5,"")</f>
        <v>0</v>
      </c>
      <c r="M15" s="161" t="str">
        <f>IFERROR(L15*'Project Summary'!$H$37/'Project Summary'!$G$37,"")</f>
        <v/>
      </c>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row>
    <row r="16" spans="1:36" s="149" customFormat="1" ht="21.75" customHeight="1" x14ac:dyDescent="0.2">
      <c r="B16" s="327">
        <v>9</v>
      </c>
      <c r="C16" s="170"/>
      <c r="D16" s="171"/>
      <c r="E16" s="171"/>
      <c r="F16" s="171"/>
      <c r="G16" s="171"/>
      <c r="H16" s="171"/>
      <c r="I16" s="172"/>
      <c r="J16" s="735">
        <f>IFERROR(IF(F16="Retrofit",ROUND(IF(G16="Freezer",VLOOKUP('Door Gaskets'!H16,'Look Up Tables'!$I$67:$M$68,5,FALSE),IF(G16="Refrigeration",VLOOKUP('Door Gaskets'!H16,'Look Up Tables'!$I$67:$M$68,4,FALSE),0))*I16,2),0),"")</f>
        <v>0</v>
      </c>
      <c r="K16" s="183">
        <f>IFERROR(IF(F16="Retrofit",ROUND(IF(G16="Freezer",VLOOKUP('Door Gaskets'!H16,'Look Up Tables'!$I$67:$M$68,3,FALSE),IF(G16="Refrigeration",VLOOKUP('Door Gaskets'!H16,'Look Up Tables'!$I$67:$M$68,2,FALSE),0))*I16,4),0),"")</f>
        <v>0</v>
      </c>
      <c r="L16" s="150">
        <f>IFERROR(J16*Incentives!$C$4+K16*Incentives!$C$5,"")</f>
        <v>0</v>
      </c>
      <c r="M16" s="161" t="str">
        <f>IFERROR(L16*'Project Summary'!$H$37/'Project Summary'!$G$37,"")</f>
        <v/>
      </c>
      <c r="N16" s="150"/>
      <c r="O16" s="150"/>
      <c r="P16" s="150"/>
      <c r="Q16" s="150"/>
      <c r="R16" s="150"/>
      <c r="S16" s="150"/>
      <c r="T16" s="150"/>
      <c r="U16" s="150"/>
      <c r="V16" s="150"/>
      <c r="W16" s="150"/>
      <c r="X16" s="150"/>
      <c r="Y16" s="150"/>
      <c r="Z16" s="150"/>
      <c r="AA16" s="150"/>
      <c r="AB16" s="150"/>
      <c r="AC16" s="150"/>
      <c r="AD16" s="150"/>
      <c r="AE16" s="150"/>
      <c r="AF16" s="150"/>
      <c r="AG16" s="150"/>
      <c r="AH16" s="150"/>
      <c r="AI16" s="150"/>
      <c r="AJ16" s="150"/>
    </row>
    <row r="17" spans="2:36" s="149" customFormat="1" ht="21.75" customHeight="1" thickBot="1" x14ac:dyDescent="0.25">
      <c r="B17" s="328">
        <v>10</v>
      </c>
      <c r="C17" s="174"/>
      <c r="D17" s="177"/>
      <c r="E17" s="177"/>
      <c r="F17" s="177"/>
      <c r="G17" s="177"/>
      <c r="H17" s="177"/>
      <c r="I17" s="178"/>
      <c r="J17" s="388">
        <f>IFERROR(IF(F17="Retrofit",ROUND(IF(G17="Freezer",VLOOKUP('Door Gaskets'!H17,'Look Up Tables'!$I$67:$M$68,5,FALSE),IF(G17="Refrigeration",VLOOKUP('Door Gaskets'!H17,'Look Up Tables'!$I$67:$M$68,4,FALSE),0))*I17,2),0),"")</f>
        <v>0</v>
      </c>
      <c r="K17" s="185">
        <f>IFERROR(IF(F17="Retrofit",ROUND(IF(G17="Freezer",VLOOKUP('Door Gaskets'!H17,'Look Up Tables'!$I$67:$M$68,3,FALSE),IF(G17="Refrigeration",VLOOKUP('Door Gaskets'!H17,'Look Up Tables'!$I$67:$M$68,2,FALSE),0))*I17,4),0),"")</f>
        <v>0</v>
      </c>
      <c r="L17" s="150">
        <f>IFERROR(J17*Incentives!$C$4+K17*Incentives!$C$5,"")</f>
        <v>0</v>
      </c>
      <c r="M17" s="165" t="str">
        <f>IFERROR(L17*'Project Summary'!$H$37/'Project Summary'!$G$37,"")</f>
        <v/>
      </c>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row>
    <row r="18" spans="2:36"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row>
    <row r="19" spans="2:36"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row>
    <row r="20" spans="2:36"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row>
    <row r="21" spans="2:36"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row>
    <row r="22" spans="2:36"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row>
    <row r="23" spans="2:36"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row>
    <row r="24" spans="2:36"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row>
    <row r="25" spans="2:36"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row>
    <row r="26" spans="2:36"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row>
    <row r="27" spans="2:36"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row>
    <row r="28" spans="2:36"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row>
    <row r="29" spans="2:36"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row>
    <row r="30" spans="2:36"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row>
    <row r="31" spans="2:36"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row>
    <row r="32" spans="2:36"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row>
    <row r="33" spans="2:36"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row>
    <row r="34" spans="2:36"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row>
    <row r="35" spans="2:36"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row>
    <row r="36" spans="2:36"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row>
    <row r="37" spans="2:36"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row>
    <row r="38" spans="2:36"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row>
    <row r="39" spans="2:36"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row>
    <row r="40" spans="2:36"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row>
    <row r="41" spans="2:36"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row>
    <row r="42" spans="2:36"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row>
    <row r="43" spans="2:36"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row>
    <row r="44" spans="2:36"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row>
    <row r="45" spans="2:36"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row>
    <row r="46" spans="2:36"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row>
    <row r="47" spans="2:36"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row>
    <row r="48" spans="2:36"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row>
    <row r="49" spans="2:36"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row>
    <row r="50" spans="2:36"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row>
    <row r="51" spans="2:36"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row>
    <row r="52" spans="2:36"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row>
    <row r="53" spans="2:36"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row>
    <row r="54" spans="2:36"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row>
    <row r="55" spans="2:36"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row>
    <row r="56" spans="2:36"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row>
    <row r="57" spans="2:36"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row>
    <row r="58" spans="2:36"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row>
    <row r="59" spans="2:36"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row>
    <row r="60" spans="2:36"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row>
    <row r="61" spans="2:36"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row>
    <row r="62" spans="2:36"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row>
    <row r="63" spans="2:36"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row>
    <row r="64" spans="2:36"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row>
    <row r="65" spans="2:36"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row>
  </sheetData>
  <sheetProtection algorithmName="SHA-512" hashValue="AbrmnXUzDr+6Dgf5iNjAyylDHJRU0iVx4W7NViejEu9LAvvJNzwvY5uavQArDvhU08q11dAKigwWCAtKAM4x+w==" saltValue="v/1Z1kSrSEjkTdwLTurAzg==" spinCount="100000" sheet="1" objects="1" formatColumns="0"/>
  <mergeCells count="6">
    <mergeCell ref="B4:K4"/>
    <mergeCell ref="C6:I6"/>
    <mergeCell ref="J6:K6"/>
    <mergeCell ref="L6:L7"/>
    <mergeCell ref="M6:M7"/>
    <mergeCell ref="B6:B7"/>
  </mergeCells>
  <conditionalFormatting sqref="F8:F17">
    <cfRule type="expression" dxfId="5"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85" yWindow="444" count="3">
        <x14:dataValidation type="list" allowBlank="1" showInputMessage="1" showErrorMessage="1" promptTitle="Retrofit Only" prompt="This measure is for retrofit projects only. If new Construction, please contact CLEAResult for further assistance._x000a_" xr:uid="{FA2AE08D-10A2-40B3-A3DE-9DD0577F23EE}">
          <x14:formula1>
            <xm:f>'Look Up Tables'!$F$33:$F$34</xm:f>
          </x14:formula1>
          <xm:sqref>F8:F17</xm:sqref>
        </x14:dataValidation>
        <x14:dataValidation type="list" allowBlank="1" showInputMessage="1" showErrorMessage="1" xr:uid="{75723F08-948A-4014-AF9D-F08097C930C1}">
          <x14:formula1>
            <xm:f>'Look Up Tables'!$D$3:$D$4</xm:f>
          </x14:formula1>
          <xm:sqref>G8:G17</xm:sqref>
        </x14:dataValidation>
        <x14:dataValidation type="list" allowBlank="1" showInputMessage="1" showErrorMessage="1" xr:uid="{D0FBF05C-5324-4119-A204-10C7D5B31349}">
          <x14:formula1>
            <xm:f>'Look Up Tables'!$I$67:$I$68</xm:f>
          </x14:formula1>
          <xm:sqref>H8:H17</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69556-7AD6-4AD5-A17B-7FF04F9BFF88}">
  <sheetPr codeName="Sheet16">
    <tabColor theme="8" tint="0.59999389629810485"/>
  </sheetPr>
  <dimension ref="A1:AO65"/>
  <sheetViews>
    <sheetView zoomScale="80" zoomScaleNormal="80" workbookViewId="0">
      <selection activeCell="C8" sqref="C8:H17"/>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13.625" style="145" customWidth="1"/>
    <col min="8" max="8" width="9.125" style="145" bestFit="1" customWidth="1"/>
    <col min="9" max="9" width="5.625" style="145" hidden="1" customWidth="1"/>
    <col min="10" max="10" width="8.625" style="145" hidden="1" customWidth="1"/>
    <col min="11" max="11" width="13.625" style="145" hidden="1" customWidth="1"/>
    <col min="12" max="12" width="17.625" style="145" hidden="1" customWidth="1"/>
    <col min="13" max="13" width="12.625" style="145" bestFit="1" customWidth="1"/>
    <col min="14" max="15" width="12.625" style="145" customWidth="1"/>
    <col min="16" max="16" width="11.5" style="145" bestFit="1" customWidth="1"/>
    <col min="17" max="17" width="23" style="145" hidden="1" customWidth="1"/>
    <col min="18" max="18" width="14.125" style="145" customWidth="1"/>
    <col min="19" max="16384" width="8.625" style="145"/>
  </cols>
  <sheetData>
    <row r="1" spans="1:41" x14ac:dyDescent="0.2">
      <c r="A1" s="144" t="s">
        <v>795</v>
      </c>
      <c r="I1" s="145" t="s">
        <v>207</v>
      </c>
      <c r="J1" s="145" t="s">
        <v>207</v>
      </c>
      <c r="K1" s="145" t="s">
        <v>207</v>
      </c>
      <c r="L1" s="145" t="s">
        <v>207</v>
      </c>
      <c r="Q1" s="145" t="s">
        <v>207</v>
      </c>
    </row>
    <row r="2" spans="1:41" ht="9.75" customHeight="1" x14ac:dyDescent="0.2"/>
    <row r="3" spans="1:41" ht="34.5" customHeight="1" x14ac:dyDescent="0.5">
      <c r="B3" s="188" t="s">
        <v>227</v>
      </c>
      <c r="C3" s="147"/>
      <c r="D3" s="147"/>
      <c r="E3" s="147"/>
      <c r="F3" s="147"/>
      <c r="G3" s="147"/>
    </row>
    <row r="4" spans="1:41" ht="29.1" customHeight="1" x14ac:dyDescent="0.2">
      <c r="B4" s="797" t="s">
        <v>210</v>
      </c>
      <c r="C4" s="797"/>
      <c r="D4" s="797"/>
      <c r="E4" s="797"/>
      <c r="F4" s="797"/>
      <c r="G4" s="797"/>
      <c r="H4" s="797"/>
      <c r="I4" s="797"/>
      <c r="J4" s="797"/>
      <c r="K4" s="207"/>
      <c r="L4" s="207"/>
    </row>
    <row r="5" spans="1:41" ht="9" customHeight="1" thickBot="1" x14ac:dyDescent="0.3">
      <c r="B5" s="148"/>
      <c r="C5" s="148"/>
      <c r="D5" s="148"/>
      <c r="E5" s="148"/>
      <c r="F5" s="148"/>
      <c r="G5" s="148"/>
    </row>
    <row r="6" spans="1:41" s="149" customFormat="1" ht="22.35" customHeight="1" x14ac:dyDescent="0.2">
      <c r="B6" s="941" t="s">
        <v>275</v>
      </c>
      <c r="C6" s="943" t="s">
        <v>796</v>
      </c>
      <c r="D6" s="944"/>
      <c r="E6" s="944"/>
      <c r="F6" s="944"/>
      <c r="G6" s="944"/>
      <c r="H6" s="945"/>
      <c r="I6" s="953" t="s">
        <v>797</v>
      </c>
      <c r="J6" s="954"/>
      <c r="K6" s="954"/>
      <c r="L6" s="954"/>
      <c r="M6" s="954"/>
      <c r="N6" s="954"/>
      <c r="O6" s="954"/>
      <c r="P6" s="955"/>
      <c r="Q6" s="960" t="s">
        <v>219</v>
      </c>
      <c r="R6" s="941" t="s">
        <v>798</v>
      </c>
      <c r="U6" s="949"/>
      <c r="V6" s="949"/>
      <c r="W6" s="949"/>
      <c r="X6" s="949"/>
      <c r="Y6" s="949"/>
      <c r="Z6" s="949"/>
      <c r="AA6" s="949"/>
      <c r="AB6" s="949"/>
    </row>
    <row r="7" spans="1:41" s="150" customFormat="1" ht="66" customHeight="1" thickBot="1" x14ac:dyDescent="0.25">
      <c r="B7" s="942"/>
      <c r="C7" s="198" t="s">
        <v>799</v>
      </c>
      <c r="D7" s="205" t="s">
        <v>141</v>
      </c>
      <c r="E7" s="205" t="s">
        <v>143</v>
      </c>
      <c r="F7" s="199" t="s">
        <v>145</v>
      </c>
      <c r="G7" s="199" t="s">
        <v>800</v>
      </c>
      <c r="H7" s="200" t="s">
        <v>155</v>
      </c>
      <c r="I7" s="198" t="s">
        <v>296</v>
      </c>
      <c r="J7" s="205" t="s">
        <v>861</v>
      </c>
      <c r="K7" s="205" t="s">
        <v>862</v>
      </c>
      <c r="L7" s="199" t="s">
        <v>863</v>
      </c>
      <c r="M7" s="332" t="s">
        <v>192</v>
      </c>
      <c r="N7" s="525" t="s">
        <v>806</v>
      </c>
      <c r="O7" s="525" t="s">
        <v>807</v>
      </c>
      <c r="P7" s="333" t="s">
        <v>808</v>
      </c>
      <c r="Q7" s="960"/>
      <c r="R7" s="942"/>
      <c r="U7" s="949"/>
      <c r="V7" s="949"/>
      <c r="W7" s="949"/>
      <c r="X7" s="949"/>
      <c r="Y7" s="949"/>
      <c r="Z7" s="949"/>
      <c r="AA7" s="949"/>
      <c r="AB7" s="949"/>
    </row>
    <row r="8" spans="1:41" s="149" customFormat="1" ht="21.75" customHeight="1" x14ac:dyDescent="0.2">
      <c r="B8" s="376">
        <v>1</v>
      </c>
      <c r="C8" s="166"/>
      <c r="D8" s="168"/>
      <c r="E8" s="168"/>
      <c r="F8" s="168"/>
      <c r="G8" s="168"/>
      <c r="H8" s="186"/>
      <c r="I8" s="192">
        <f>IFERROR(IF(H8="",0,VLOOKUP('Special Doors'!G8,'Look Up Tables'!$B$345:$E$346,4,FALSE)),"")</f>
        <v>0</v>
      </c>
      <c r="J8" s="193">
        <f>IF(H8="",0,8760)</f>
        <v>0</v>
      </c>
      <c r="K8" s="193">
        <f>IFERROR(IF(H8="",0,VLOOKUP('Special Doors'!G8,'Look Up Tables'!$B$345:$E$346,2,FALSE)),"")</f>
        <v>0</v>
      </c>
      <c r="L8" s="593">
        <f>IFERROR(IF(H8="",0,VLOOKUP('Special Doors'!G8,'Look Up Tables'!$B$345:$E$346,3,FALSE)),"")</f>
        <v>0</v>
      </c>
      <c r="M8" s="587" t="str">
        <f t="shared" ref="M8:M17" si="0">IFERROR(ROUND(IF(F8="Retrofit",(1/1000)*(K8-L8)*(1+(1/I8))*J8*H8,""),2),"")</f>
        <v/>
      </c>
      <c r="N8" s="496" t="str">
        <f t="shared" ref="N8:N17" si="1">IFERROR(ROUND(IF(F8="Retrofit",M8/J8,""),4),"")</f>
        <v/>
      </c>
      <c r="O8" s="496" t="str">
        <f t="shared" ref="O8:O17" si="2">IFERROR(ROUND(IF(F8="Retrofit",M8/J8,""),4),"")</f>
        <v/>
      </c>
      <c r="P8" s="503" t="str">
        <f>IFERROR(ROUND((N8+O8)/2,4),"")</f>
        <v/>
      </c>
      <c r="Q8" s="150" t="str">
        <f>IFERROR(M8*Incentives!$C$4+P8*Incentives!$C$5,"")</f>
        <v/>
      </c>
      <c r="R8" s="191" t="str">
        <f>IFERROR(Q8*'Project Summary'!$H$37/'Project Summary'!$G$37,"")</f>
        <v/>
      </c>
      <c r="S8" s="150"/>
      <c r="T8" s="150"/>
      <c r="U8" s="949"/>
      <c r="V8" s="949"/>
      <c r="W8" s="949"/>
      <c r="X8" s="949"/>
      <c r="Y8" s="949"/>
      <c r="Z8" s="949"/>
      <c r="AA8" s="949"/>
      <c r="AB8" s="949"/>
      <c r="AC8" s="150"/>
      <c r="AD8" s="150"/>
      <c r="AE8" s="150"/>
      <c r="AF8" s="150"/>
      <c r="AG8" s="150"/>
      <c r="AH8" s="150"/>
      <c r="AI8" s="150"/>
      <c r="AJ8" s="150"/>
      <c r="AK8" s="150"/>
      <c r="AL8" s="150"/>
      <c r="AM8" s="150"/>
      <c r="AN8" s="150"/>
      <c r="AO8" s="150"/>
    </row>
    <row r="9" spans="1:41" s="149" customFormat="1" ht="21.75" customHeight="1" x14ac:dyDescent="0.2">
      <c r="B9" s="327">
        <v>2</v>
      </c>
      <c r="C9" s="170"/>
      <c r="D9" s="171"/>
      <c r="E9" s="171"/>
      <c r="F9" s="171"/>
      <c r="G9" s="171"/>
      <c r="H9" s="187"/>
      <c r="I9" s="159">
        <f>IFERROR(IF(H9="",0,VLOOKUP('Special Doors'!G9,'Look Up Tables'!$B$345:$E$346,4,FALSE)),"")</f>
        <v>0</v>
      </c>
      <c r="J9" s="160">
        <f t="shared" ref="J9:J17" si="3">IF(H9="",0,8760)</f>
        <v>0</v>
      </c>
      <c r="K9" s="160">
        <f>IFERROR(IF(H9="",0,VLOOKUP('Special Doors'!G9,'Look Up Tables'!$B$345:$E$346,2,FALSE)),"")</f>
        <v>0</v>
      </c>
      <c r="L9" s="594">
        <f>IFERROR(IF(H9="",0,VLOOKUP('Special Doors'!G9,'Look Up Tables'!$B$345:$E$346,3,FALSE)),"")</f>
        <v>0</v>
      </c>
      <c r="M9" s="588" t="str">
        <f t="shared" si="0"/>
        <v/>
      </c>
      <c r="N9" s="498" t="str">
        <f t="shared" si="1"/>
        <v/>
      </c>
      <c r="O9" s="498" t="str">
        <f t="shared" si="2"/>
        <v/>
      </c>
      <c r="P9" s="504" t="str">
        <f t="shared" ref="P9:P17" si="4">IFERROR(ROUND((N9+O9)/2,4),"")</f>
        <v/>
      </c>
      <c r="Q9" s="150" t="str">
        <f>IFERROR(M9*Incentives!$C$4+P9*Incentives!$C$5,"")</f>
        <v/>
      </c>
      <c r="R9" s="157" t="str">
        <f>IFERROR(Q9*'Project Summary'!$H$37/'Project Summary'!$G$37,"")</f>
        <v/>
      </c>
      <c r="S9" s="150"/>
      <c r="T9" s="150"/>
      <c r="U9" s="949"/>
      <c r="V9" s="949"/>
      <c r="W9" s="949"/>
      <c r="X9" s="949"/>
      <c r="Y9" s="949"/>
      <c r="Z9" s="949"/>
      <c r="AA9" s="949"/>
      <c r="AB9" s="949"/>
      <c r="AC9" s="150"/>
      <c r="AD9" s="150"/>
      <c r="AE9" s="150"/>
      <c r="AF9" s="150"/>
      <c r="AG9" s="150"/>
      <c r="AH9" s="150"/>
      <c r="AI9" s="150"/>
      <c r="AJ9" s="150"/>
      <c r="AK9" s="150"/>
      <c r="AL9" s="150"/>
      <c r="AM9" s="150"/>
      <c r="AN9" s="150"/>
      <c r="AO9" s="150"/>
    </row>
    <row r="10" spans="1:41" s="149" customFormat="1" ht="21.75" customHeight="1" x14ac:dyDescent="0.2">
      <c r="B10" s="327">
        <v>3</v>
      </c>
      <c r="C10" s="170"/>
      <c r="D10" s="171"/>
      <c r="E10" s="171"/>
      <c r="F10" s="171"/>
      <c r="G10" s="171"/>
      <c r="H10" s="187"/>
      <c r="I10" s="159">
        <f>IFERROR(IF(H10="",0,VLOOKUP('Special Doors'!G10,'Look Up Tables'!$B$345:$E$346,4,FALSE)),"")</f>
        <v>0</v>
      </c>
      <c r="J10" s="160">
        <f t="shared" si="3"/>
        <v>0</v>
      </c>
      <c r="K10" s="160">
        <f>IFERROR(IF(H10="",0,VLOOKUP('Special Doors'!G10,'Look Up Tables'!$B$345:$E$346,2,FALSE)),"")</f>
        <v>0</v>
      </c>
      <c r="L10" s="594">
        <f>IFERROR(IF(H10="",0,VLOOKUP('Special Doors'!G10,'Look Up Tables'!$B$345:$E$346,3,FALSE)),"")</f>
        <v>0</v>
      </c>
      <c r="M10" s="588" t="str">
        <f t="shared" si="0"/>
        <v/>
      </c>
      <c r="N10" s="498" t="str">
        <f t="shared" si="1"/>
        <v/>
      </c>
      <c r="O10" s="498" t="str">
        <f t="shared" si="2"/>
        <v/>
      </c>
      <c r="P10" s="504" t="str">
        <f t="shared" si="4"/>
        <v/>
      </c>
      <c r="Q10" s="150" t="str">
        <f>IFERROR(M10*Incentives!$C$4+P10*Incentives!$C$5,"")</f>
        <v/>
      </c>
      <c r="R10" s="157" t="str">
        <f>IFERROR(Q10*'Project Summary'!$H$37/'Project Summary'!$G$37,"")</f>
        <v/>
      </c>
      <c r="S10" s="150"/>
      <c r="T10" s="150"/>
      <c r="U10" s="949"/>
      <c r="V10" s="949"/>
      <c r="W10" s="949"/>
      <c r="X10" s="949"/>
      <c r="Y10" s="949"/>
      <c r="Z10" s="949"/>
      <c r="AA10" s="949"/>
      <c r="AB10" s="949"/>
      <c r="AC10" s="150"/>
      <c r="AD10" s="150"/>
      <c r="AE10" s="150"/>
      <c r="AF10" s="150"/>
      <c r="AG10" s="150"/>
      <c r="AH10" s="150"/>
      <c r="AI10" s="150"/>
      <c r="AJ10" s="150"/>
      <c r="AK10" s="150"/>
      <c r="AL10" s="150"/>
      <c r="AM10" s="150"/>
      <c r="AN10" s="150"/>
      <c r="AO10" s="150"/>
    </row>
    <row r="11" spans="1:41" s="149" customFormat="1" ht="21.75" customHeight="1" x14ac:dyDescent="0.2">
      <c r="B11" s="327">
        <v>4</v>
      </c>
      <c r="C11" s="170"/>
      <c r="D11" s="171"/>
      <c r="E11" s="171"/>
      <c r="F11" s="171"/>
      <c r="G11" s="171"/>
      <c r="H11" s="187"/>
      <c r="I11" s="159">
        <f>IFERROR(IF(H11="",0,VLOOKUP('Special Doors'!G11,'Look Up Tables'!$B$345:$E$346,4,FALSE)),"")</f>
        <v>0</v>
      </c>
      <c r="J11" s="160">
        <f t="shared" si="3"/>
        <v>0</v>
      </c>
      <c r="K11" s="160">
        <f>IFERROR(IF(H11="",0,VLOOKUP('Special Doors'!G11,'Look Up Tables'!$B$345:$E$346,2,FALSE)),"")</f>
        <v>0</v>
      </c>
      <c r="L11" s="594">
        <f>IFERROR(IF(H11="",0,VLOOKUP('Special Doors'!G11,'Look Up Tables'!$B$345:$E$346,3,FALSE)),"")</f>
        <v>0</v>
      </c>
      <c r="M11" s="588" t="str">
        <f t="shared" si="0"/>
        <v/>
      </c>
      <c r="N11" s="498" t="str">
        <f t="shared" si="1"/>
        <v/>
      </c>
      <c r="O11" s="498" t="str">
        <f t="shared" si="2"/>
        <v/>
      </c>
      <c r="P11" s="504" t="str">
        <f t="shared" si="4"/>
        <v/>
      </c>
      <c r="Q11" s="150" t="str">
        <f>IFERROR(M11*Incentives!$C$4+P11*Incentives!$C$5,"")</f>
        <v/>
      </c>
      <c r="R11" s="157" t="str">
        <f>IFERROR(Q11*'Project Summary'!$H$37/'Project Summary'!$G$37,"")</f>
        <v/>
      </c>
      <c r="S11" s="150"/>
      <c r="T11" s="150"/>
      <c r="U11" s="949"/>
      <c r="V11" s="949"/>
      <c r="W11" s="949"/>
      <c r="X11" s="949"/>
      <c r="Y11" s="949"/>
      <c r="Z11" s="949"/>
      <c r="AA11" s="949"/>
      <c r="AB11" s="949"/>
      <c r="AC11" s="150"/>
      <c r="AD11" s="150"/>
      <c r="AE11" s="150"/>
      <c r="AF11" s="150"/>
      <c r="AG11" s="150"/>
      <c r="AH11" s="150"/>
      <c r="AI11" s="150"/>
      <c r="AJ11" s="150"/>
      <c r="AK11" s="150"/>
      <c r="AL11" s="150"/>
      <c r="AM11" s="150"/>
      <c r="AN11" s="150"/>
      <c r="AO11" s="150"/>
    </row>
    <row r="12" spans="1:41" s="149" customFormat="1" ht="21.75" customHeight="1" x14ac:dyDescent="0.2">
      <c r="B12" s="327">
        <v>5</v>
      </c>
      <c r="C12" s="170"/>
      <c r="D12" s="171"/>
      <c r="E12" s="171"/>
      <c r="F12" s="171"/>
      <c r="G12" s="171"/>
      <c r="H12" s="187"/>
      <c r="I12" s="159">
        <f>IFERROR(IF(H12="",0,VLOOKUP('Special Doors'!G12,'Look Up Tables'!$B$345:$E$346,4,FALSE)),"")</f>
        <v>0</v>
      </c>
      <c r="J12" s="160">
        <f t="shared" si="3"/>
        <v>0</v>
      </c>
      <c r="K12" s="160">
        <f>IFERROR(IF(H12="",0,VLOOKUP('Special Doors'!G12,'Look Up Tables'!$B$345:$E$346,2,FALSE)),"")</f>
        <v>0</v>
      </c>
      <c r="L12" s="594">
        <f>IFERROR(IF(H12="",0,VLOOKUP('Special Doors'!G12,'Look Up Tables'!$B$345:$E$346,3,FALSE)),"")</f>
        <v>0</v>
      </c>
      <c r="M12" s="588" t="str">
        <f t="shared" si="0"/>
        <v/>
      </c>
      <c r="N12" s="498" t="str">
        <f t="shared" si="1"/>
        <v/>
      </c>
      <c r="O12" s="498" t="str">
        <f t="shared" si="2"/>
        <v/>
      </c>
      <c r="P12" s="504" t="str">
        <f t="shared" si="4"/>
        <v/>
      </c>
      <c r="Q12" s="150" t="str">
        <f>IFERROR(M12*Incentives!$C$4+P12*Incentives!$C$5,"")</f>
        <v/>
      </c>
      <c r="R12" s="157" t="str">
        <f>IFERROR(Q12*'Project Summary'!$H$37/'Project Summary'!$G$37,"")</f>
        <v/>
      </c>
      <c r="S12" s="150"/>
      <c r="T12" s="150"/>
      <c r="U12" s="949"/>
      <c r="V12" s="949"/>
      <c r="W12" s="949"/>
      <c r="X12" s="949"/>
      <c r="Y12" s="949"/>
      <c r="Z12" s="949"/>
      <c r="AA12" s="949"/>
      <c r="AB12" s="949"/>
      <c r="AC12" s="150"/>
      <c r="AD12" s="150"/>
      <c r="AE12" s="150"/>
      <c r="AF12" s="150"/>
      <c r="AG12" s="150"/>
      <c r="AH12" s="150"/>
      <c r="AI12" s="150"/>
      <c r="AJ12" s="150"/>
      <c r="AK12" s="150"/>
      <c r="AL12" s="150"/>
      <c r="AM12" s="150"/>
      <c r="AN12" s="150"/>
      <c r="AO12" s="150"/>
    </row>
    <row r="13" spans="1:41" s="149" customFormat="1" ht="21.75" customHeight="1" x14ac:dyDescent="0.2">
      <c r="B13" s="327">
        <v>6</v>
      </c>
      <c r="C13" s="170"/>
      <c r="D13" s="171"/>
      <c r="E13" s="171"/>
      <c r="F13" s="171"/>
      <c r="G13" s="171"/>
      <c r="H13" s="187"/>
      <c r="I13" s="159">
        <f>IFERROR(IF(H13="",0,VLOOKUP('Special Doors'!G13,'Look Up Tables'!$B$345:$E$346,4,FALSE)),"")</f>
        <v>0</v>
      </c>
      <c r="J13" s="160">
        <f t="shared" si="3"/>
        <v>0</v>
      </c>
      <c r="K13" s="160">
        <f>IFERROR(IF(H13="",0,VLOOKUP('Special Doors'!G13,'Look Up Tables'!$B$345:$E$346,2,FALSE)),"")</f>
        <v>0</v>
      </c>
      <c r="L13" s="594">
        <f>IFERROR(IF(H13="",0,VLOOKUP('Special Doors'!G13,'Look Up Tables'!$B$345:$E$346,3,FALSE)),"")</f>
        <v>0</v>
      </c>
      <c r="M13" s="588" t="str">
        <f t="shared" si="0"/>
        <v/>
      </c>
      <c r="N13" s="498" t="str">
        <f t="shared" si="1"/>
        <v/>
      </c>
      <c r="O13" s="498" t="str">
        <f t="shared" si="2"/>
        <v/>
      </c>
      <c r="P13" s="504" t="str">
        <f t="shared" si="4"/>
        <v/>
      </c>
      <c r="Q13" s="150" t="str">
        <f>IFERROR(M13*Incentives!$C$4+P13*Incentives!$C$5,"")</f>
        <v/>
      </c>
      <c r="R13" s="157" t="str">
        <f>IFERROR(Q13*'Project Summary'!$H$37/'Project Summary'!$G$37,"")</f>
        <v/>
      </c>
      <c r="S13" s="150"/>
      <c r="T13" s="150"/>
      <c r="U13" s="949"/>
      <c r="V13" s="949"/>
      <c r="W13" s="949"/>
      <c r="X13" s="949"/>
      <c r="Y13" s="949"/>
      <c r="Z13" s="949"/>
      <c r="AA13" s="949"/>
      <c r="AB13" s="949"/>
      <c r="AC13" s="150"/>
      <c r="AD13" s="150"/>
      <c r="AE13" s="150"/>
      <c r="AF13" s="150"/>
      <c r="AG13" s="150"/>
      <c r="AH13" s="150"/>
      <c r="AI13" s="150"/>
      <c r="AJ13" s="150"/>
      <c r="AK13" s="150"/>
      <c r="AL13" s="150"/>
      <c r="AM13" s="150"/>
      <c r="AN13" s="150"/>
      <c r="AO13" s="150"/>
    </row>
    <row r="14" spans="1:41" s="149" customFormat="1" ht="21.75" customHeight="1" x14ac:dyDescent="0.2">
      <c r="B14" s="327">
        <v>7</v>
      </c>
      <c r="C14" s="170"/>
      <c r="D14" s="171"/>
      <c r="E14" s="171"/>
      <c r="F14" s="171"/>
      <c r="G14" s="171"/>
      <c r="H14" s="187"/>
      <c r="I14" s="159">
        <f>IFERROR(IF(H14="",0,VLOOKUP('Special Doors'!G14,'Look Up Tables'!$B$345:$E$346,4,FALSE)),"")</f>
        <v>0</v>
      </c>
      <c r="J14" s="160">
        <f t="shared" si="3"/>
        <v>0</v>
      </c>
      <c r="K14" s="160">
        <f>IFERROR(IF(H14="",0,VLOOKUP('Special Doors'!G14,'Look Up Tables'!$B$345:$E$346,2,FALSE)),"")</f>
        <v>0</v>
      </c>
      <c r="L14" s="594">
        <f>IFERROR(IF(H14="",0,VLOOKUP('Special Doors'!G14,'Look Up Tables'!$B$345:$E$346,3,FALSE)),"")</f>
        <v>0</v>
      </c>
      <c r="M14" s="588" t="str">
        <f t="shared" si="0"/>
        <v/>
      </c>
      <c r="N14" s="498" t="str">
        <f t="shared" si="1"/>
        <v/>
      </c>
      <c r="O14" s="498" t="str">
        <f t="shared" si="2"/>
        <v/>
      </c>
      <c r="P14" s="504" t="str">
        <f t="shared" si="4"/>
        <v/>
      </c>
      <c r="Q14" s="150" t="str">
        <f>IFERROR(M14*Incentives!$C$4+P14*Incentives!$C$5,"")</f>
        <v/>
      </c>
      <c r="R14" s="157" t="str">
        <f>IFERROR(Q14*'Project Summary'!$H$37/'Project Summary'!$G$37,"")</f>
        <v/>
      </c>
      <c r="S14" s="150"/>
      <c r="T14" s="150"/>
      <c r="U14" s="949"/>
      <c r="V14" s="949"/>
      <c r="W14" s="949"/>
      <c r="X14" s="949"/>
      <c r="Y14" s="949"/>
      <c r="Z14" s="949"/>
      <c r="AA14" s="949"/>
      <c r="AB14" s="949"/>
      <c r="AC14" s="150"/>
      <c r="AD14" s="150"/>
      <c r="AE14" s="150"/>
      <c r="AF14" s="150"/>
      <c r="AG14" s="150"/>
      <c r="AH14" s="150"/>
      <c r="AI14" s="150"/>
      <c r="AJ14" s="150"/>
      <c r="AK14" s="150"/>
      <c r="AL14" s="150"/>
      <c r="AM14" s="150"/>
      <c r="AN14" s="150"/>
      <c r="AO14" s="150"/>
    </row>
    <row r="15" spans="1:41" s="149" customFormat="1" ht="21.75" customHeight="1" x14ac:dyDescent="0.2">
      <c r="B15" s="327">
        <v>8</v>
      </c>
      <c r="C15" s="170"/>
      <c r="D15" s="171"/>
      <c r="E15" s="171"/>
      <c r="F15" s="171"/>
      <c r="G15" s="171"/>
      <c r="H15" s="187"/>
      <c r="I15" s="159">
        <f>IFERROR(IF(H15="",0,VLOOKUP('Special Doors'!G15,'Look Up Tables'!$B$345:$E$346,4,FALSE)),"")</f>
        <v>0</v>
      </c>
      <c r="J15" s="160">
        <f t="shared" si="3"/>
        <v>0</v>
      </c>
      <c r="K15" s="160">
        <f>IFERROR(IF(H15="",0,VLOOKUP('Special Doors'!G15,'Look Up Tables'!$B$345:$E$346,2,FALSE)),"")</f>
        <v>0</v>
      </c>
      <c r="L15" s="594">
        <f>IFERROR(IF(H15="",0,VLOOKUP('Special Doors'!G15,'Look Up Tables'!$B$345:$E$346,3,FALSE)),"")</f>
        <v>0</v>
      </c>
      <c r="M15" s="588" t="str">
        <f t="shared" si="0"/>
        <v/>
      </c>
      <c r="N15" s="498" t="str">
        <f t="shared" si="1"/>
        <v/>
      </c>
      <c r="O15" s="498" t="str">
        <f t="shared" si="2"/>
        <v/>
      </c>
      <c r="P15" s="504" t="str">
        <f t="shared" si="4"/>
        <v/>
      </c>
      <c r="Q15" s="150" t="str">
        <f>IFERROR(M15*Incentives!$C$4+P15*Incentives!$C$5,"")</f>
        <v/>
      </c>
      <c r="R15" s="157" t="str">
        <f>IFERROR(Q15*'Project Summary'!$H$37/'Project Summary'!$G$37,"")</f>
        <v/>
      </c>
      <c r="S15" s="150"/>
      <c r="T15" s="150"/>
      <c r="U15" s="949"/>
      <c r="V15" s="949"/>
      <c r="W15" s="949"/>
      <c r="X15" s="949"/>
      <c r="Y15" s="949"/>
      <c r="Z15" s="949"/>
      <c r="AA15" s="949"/>
      <c r="AB15" s="949"/>
      <c r="AC15" s="150"/>
      <c r="AD15" s="150"/>
      <c r="AE15" s="150"/>
      <c r="AF15" s="150"/>
      <c r="AG15" s="150"/>
      <c r="AH15" s="150"/>
      <c r="AI15" s="150"/>
      <c r="AJ15" s="150"/>
      <c r="AK15" s="150"/>
      <c r="AL15" s="150"/>
      <c r="AM15" s="150"/>
      <c r="AN15" s="150"/>
      <c r="AO15" s="150"/>
    </row>
    <row r="16" spans="1:41" s="149" customFormat="1" ht="21.75" customHeight="1" x14ac:dyDescent="0.2">
      <c r="B16" s="327">
        <v>9</v>
      </c>
      <c r="C16" s="170"/>
      <c r="D16" s="171"/>
      <c r="E16" s="171"/>
      <c r="F16" s="171"/>
      <c r="G16" s="171"/>
      <c r="H16" s="187"/>
      <c r="I16" s="159">
        <f>IFERROR(IF(H16="",0,VLOOKUP('Special Doors'!G16,'Look Up Tables'!$B$345:$E$346,4,FALSE)),"")</f>
        <v>0</v>
      </c>
      <c r="J16" s="160">
        <f t="shared" si="3"/>
        <v>0</v>
      </c>
      <c r="K16" s="160">
        <f>IFERROR(IF(H16="",0,VLOOKUP('Special Doors'!G16,'Look Up Tables'!$B$345:$E$346,2,FALSE)),"")</f>
        <v>0</v>
      </c>
      <c r="L16" s="594">
        <f>IFERROR(IF(H16="",0,VLOOKUP('Special Doors'!G16,'Look Up Tables'!$B$345:$E$346,3,FALSE)),"")</f>
        <v>0</v>
      </c>
      <c r="M16" s="588" t="str">
        <f t="shared" si="0"/>
        <v/>
      </c>
      <c r="N16" s="498" t="str">
        <f t="shared" si="1"/>
        <v/>
      </c>
      <c r="O16" s="498" t="str">
        <f t="shared" si="2"/>
        <v/>
      </c>
      <c r="P16" s="504" t="str">
        <f t="shared" si="4"/>
        <v/>
      </c>
      <c r="Q16" s="150" t="str">
        <f>IFERROR(M16*Incentives!$C$4+P16*Incentives!$C$5,"")</f>
        <v/>
      </c>
      <c r="R16" s="157" t="str">
        <f>IFERROR(Q16*'Project Summary'!$H$37/'Project Summary'!$G$37,"")</f>
        <v/>
      </c>
      <c r="S16" s="150"/>
      <c r="T16" s="150"/>
      <c r="U16" s="949"/>
      <c r="V16" s="949"/>
      <c r="W16" s="949"/>
      <c r="X16" s="949"/>
      <c r="Y16" s="949"/>
      <c r="Z16" s="949"/>
      <c r="AA16" s="949"/>
      <c r="AB16" s="949"/>
      <c r="AC16" s="150"/>
      <c r="AD16" s="150"/>
      <c r="AE16" s="150"/>
      <c r="AF16" s="150"/>
      <c r="AG16" s="150"/>
      <c r="AH16" s="150"/>
      <c r="AI16" s="150"/>
      <c r="AJ16" s="150"/>
      <c r="AK16" s="150"/>
      <c r="AL16" s="150"/>
      <c r="AM16" s="150"/>
      <c r="AN16" s="150"/>
      <c r="AO16" s="150"/>
    </row>
    <row r="17" spans="2:41" s="149" customFormat="1" ht="21.75" customHeight="1" thickBot="1" x14ac:dyDescent="0.25">
      <c r="B17" s="328">
        <v>10</v>
      </c>
      <c r="C17" s="174"/>
      <c r="D17" s="177"/>
      <c r="E17" s="177"/>
      <c r="F17" s="177"/>
      <c r="G17" s="177"/>
      <c r="H17" s="204"/>
      <c r="I17" s="163">
        <f>IFERROR(IF(H17="",0,VLOOKUP('Special Doors'!G17,'Look Up Tables'!$B$345:$E$346,4,FALSE)),"")</f>
        <v>0</v>
      </c>
      <c r="J17" s="164">
        <f t="shared" si="3"/>
        <v>0</v>
      </c>
      <c r="K17" s="164">
        <f>IFERROR(IF(H17="",0,VLOOKUP('Special Doors'!G17,'Look Up Tables'!$B$345:$E$346,2,FALSE)),"")</f>
        <v>0</v>
      </c>
      <c r="L17" s="595">
        <f>IFERROR(IF(H17="",0,VLOOKUP('Special Doors'!G17,'Look Up Tables'!$B$345:$E$346,3,FALSE)),"")</f>
        <v>0</v>
      </c>
      <c r="M17" s="605" t="str">
        <f t="shared" si="0"/>
        <v/>
      </c>
      <c r="N17" s="499" t="str">
        <f t="shared" si="1"/>
        <v/>
      </c>
      <c r="O17" s="499" t="str">
        <f t="shared" si="2"/>
        <v/>
      </c>
      <c r="P17" s="505" t="str">
        <f t="shared" si="4"/>
        <v/>
      </c>
      <c r="Q17" s="150" t="str">
        <f>IFERROR(M17*Incentives!$C$4+P17*Incentives!$C$5,"")</f>
        <v/>
      </c>
      <c r="R17" s="304" t="str">
        <f>IFERROR(Q17*'Project Summary'!$H$37/'Project Summary'!$G$37,"")</f>
        <v/>
      </c>
      <c r="S17" s="150"/>
      <c r="T17" s="150"/>
      <c r="U17" s="949"/>
      <c r="V17" s="949"/>
      <c r="W17" s="949"/>
      <c r="X17" s="949"/>
      <c r="Y17" s="949"/>
      <c r="Z17" s="949"/>
      <c r="AA17" s="949"/>
      <c r="AB17" s="949"/>
      <c r="AC17" s="150"/>
      <c r="AD17" s="150"/>
      <c r="AE17" s="150"/>
      <c r="AF17" s="150"/>
      <c r="AG17" s="150"/>
      <c r="AH17" s="150"/>
      <c r="AI17" s="150"/>
      <c r="AJ17" s="150"/>
      <c r="AK17" s="150"/>
      <c r="AL17" s="150"/>
      <c r="AM17" s="150"/>
      <c r="AN17" s="150"/>
      <c r="AO17" s="150"/>
    </row>
    <row r="18" spans="2:41"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949"/>
      <c r="V18" s="949"/>
      <c r="W18" s="949"/>
      <c r="X18" s="949"/>
      <c r="Y18" s="949"/>
      <c r="Z18" s="949"/>
      <c r="AA18" s="949"/>
      <c r="AB18" s="949"/>
      <c r="AC18" s="150"/>
      <c r="AD18" s="150"/>
      <c r="AE18" s="150"/>
      <c r="AF18" s="150"/>
      <c r="AG18" s="150"/>
      <c r="AH18" s="150"/>
      <c r="AI18" s="150"/>
      <c r="AJ18" s="150"/>
      <c r="AK18" s="150"/>
      <c r="AL18" s="150"/>
      <c r="AM18" s="150"/>
      <c r="AN18" s="150"/>
      <c r="AO18" s="150"/>
    </row>
    <row r="19" spans="2:41"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949"/>
      <c r="V19" s="949"/>
      <c r="W19" s="949"/>
      <c r="X19" s="949"/>
      <c r="Y19" s="949"/>
      <c r="Z19" s="949"/>
      <c r="AA19" s="949"/>
      <c r="AB19" s="949"/>
      <c r="AC19" s="150"/>
      <c r="AD19" s="150"/>
      <c r="AE19" s="150"/>
      <c r="AF19" s="150"/>
      <c r="AG19" s="150"/>
      <c r="AH19" s="150"/>
      <c r="AI19" s="150"/>
      <c r="AJ19" s="150"/>
      <c r="AK19" s="150"/>
      <c r="AL19" s="150"/>
      <c r="AM19" s="150"/>
      <c r="AN19" s="150"/>
      <c r="AO19" s="150"/>
    </row>
    <row r="20" spans="2:41" ht="9" customHeight="1" x14ac:dyDescent="0.2">
      <c r="B20" s="150"/>
      <c r="C20" s="150"/>
      <c r="D20" s="150"/>
      <c r="E20" s="150"/>
      <c r="F20" s="150"/>
      <c r="G20" s="150"/>
      <c r="H20" s="150"/>
      <c r="I20" s="150"/>
      <c r="J20" s="150"/>
      <c r="K20" s="150"/>
      <c r="L20" s="150"/>
      <c r="M20" s="150"/>
      <c r="N20" s="150"/>
      <c r="O20" s="150"/>
      <c r="P20" s="150"/>
      <c r="Q20" s="150"/>
      <c r="R20" s="150"/>
      <c r="S20" s="150"/>
      <c r="T20" s="150"/>
      <c r="U20" s="949"/>
      <c r="V20" s="949"/>
      <c r="W20" s="949"/>
      <c r="X20" s="949"/>
      <c r="Y20" s="949"/>
      <c r="Z20" s="949"/>
      <c r="AA20" s="949"/>
      <c r="AB20" s="949"/>
      <c r="AC20" s="150"/>
      <c r="AD20" s="150"/>
      <c r="AE20" s="150"/>
      <c r="AF20" s="150"/>
      <c r="AG20" s="150"/>
      <c r="AH20" s="150"/>
      <c r="AI20" s="150"/>
      <c r="AJ20" s="150"/>
      <c r="AK20" s="150"/>
      <c r="AL20" s="150"/>
      <c r="AM20" s="150"/>
      <c r="AN20" s="150"/>
      <c r="AO20" s="150"/>
    </row>
    <row r="21" spans="2:41"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row>
    <row r="22" spans="2:41"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row>
    <row r="23" spans="2:41"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row>
    <row r="24" spans="2:41"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row>
    <row r="25" spans="2:41"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row>
    <row r="26" spans="2:41"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row>
    <row r="27" spans="2:41"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row>
    <row r="28" spans="2:41"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row>
    <row r="29" spans="2:41"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row>
    <row r="30" spans="2:41"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row>
    <row r="31" spans="2:41"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row>
    <row r="32" spans="2:41"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row>
    <row r="33" spans="2:41"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row>
    <row r="34" spans="2:41"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row>
    <row r="35" spans="2:41"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row>
    <row r="36" spans="2:41"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row>
    <row r="37" spans="2:41"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row>
    <row r="38" spans="2:41"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row>
    <row r="39" spans="2:41"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row>
    <row r="40" spans="2:41"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row>
    <row r="41" spans="2:41"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row>
    <row r="42" spans="2:41"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row>
    <row r="43" spans="2:41"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row>
    <row r="44" spans="2:41"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row>
    <row r="45" spans="2:41"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row>
    <row r="46" spans="2:41"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row>
    <row r="47" spans="2:41"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row>
    <row r="48" spans="2:41"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row>
    <row r="49" spans="2:41"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row>
    <row r="50" spans="2:41"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row>
    <row r="51" spans="2:41"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row>
    <row r="52" spans="2:41"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row>
    <row r="53" spans="2:41"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row>
    <row r="54" spans="2:41"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row>
    <row r="55" spans="2:41"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row>
    <row r="56" spans="2:41"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row>
    <row r="57" spans="2:41"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row>
    <row r="58" spans="2:41"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row>
    <row r="59" spans="2:41"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row>
    <row r="60" spans="2:41"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row>
    <row r="61" spans="2:41"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row>
    <row r="62" spans="2:41"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row>
    <row r="63" spans="2:41"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row>
    <row r="64" spans="2:41"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row>
    <row r="65" spans="2:41"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row>
  </sheetData>
  <sheetProtection formatColumns="0"/>
  <mergeCells count="7">
    <mergeCell ref="U6:AB20"/>
    <mergeCell ref="B4:J4"/>
    <mergeCell ref="C6:H6"/>
    <mergeCell ref="I6:P6"/>
    <mergeCell ref="Q6:Q7"/>
    <mergeCell ref="R6:R7"/>
    <mergeCell ref="B6:B7"/>
  </mergeCells>
  <conditionalFormatting sqref="F8:F17">
    <cfRule type="expression" dxfId="4" priority="1">
      <formula>$F8="New Construction"</formula>
    </cfRule>
  </conditionalFormatting>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xWindow="575" yWindow="449" count="2">
        <x14:dataValidation type="list" allowBlank="1" showInputMessage="1" showErrorMessage="1" promptTitle="Retrofit Only" prompt="This measure is for retrofit projects only. If new Construction, please contact CLEAResult for further assistance._x000a_" xr:uid="{8EC8FA40-370E-4151-8B58-2C9D53FCC2AD}">
          <x14:formula1>
            <xm:f>'Look Up Tables'!$F$33:$F$34</xm:f>
          </x14:formula1>
          <xm:sqref>F8:F17</xm:sqref>
        </x14:dataValidation>
        <x14:dataValidation type="list" allowBlank="1" showInputMessage="1" showErrorMessage="1" xr:uid="{73A93E9A-A876-4262-B967-F88EFA5D298E}">
          <x14:formula1>
            <xm:f>'Look Up Tables'!$D$3:$D$4</xm:f>
          </x14:formula1>
          <xm:sqref>G8:G17</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5DCAD-91C4-4CFD-AB97-DF8AEE41BBD8}">
  <sheetPr codeName="Sheet17">
    <tabColor theme="8" tint="0.59999389629810485"/>
  </sheetPr>
  <dimension ref="A1:AN65"/>
  <sheetViews>
    <sheetView zoomScale="80" zoomScaleNormal="80" workbookViewId="0">
      <selection activeCell="Q20" sqref="Q20"/>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7" width="13.875" style="145" customWidth="1"/>
    <col min="8" max="9" width="11.5" style="145" customWidth="1"/>
    <col min="10" max="10" width="11.125" style="145" hidden="1" customWidth="1"/>
    <col min="11" max="11" width="12.5" style="145" hidden="1" customWidth="1"/>
    <col min="12" max="12" width="12.625" style="145" bestFit="1" customWidth="1"/>
    <col min="13" max="14" width="12.625" style="145" customWidth="1"/>
    <col min="15" max="15" width="11.5" style="145" bestFit="1" customWidth="1"/>
    <col min="16" max="16" width="8.625" style="145" hidden="1" customWidth="1"/>
    <col min="17" max="17" width="14.125" style="145" customWidth="1"/>
    <col min="18" max="18" width="8.625" style="145" bestFit="1" customWidth="1"/>
    <col min="19" max="16384" width="8.625" style="145"/>
  </cols>
  <sheetData>
    <row r="1" spans="1:40" x14ac:dyDescent="0.2">
      <c r="A1" s="144" t="s">
        <v>795</v>
      </c>
      <c r="J1" s="145" t="s">
        <v>207</v>
      </c>
      <c r="K1" s="145" t="s">
        <v>207</v>
      </c>
      <c r="P1" s="318" t="s">
        <v>864</v>
      </c>
    </row>
    <row r="2" spans="1:40" ht="9.75" customHeight="1" x14ac:dyDescent="0.2"/>
    <row r="3" spans="1:40" ht="34.5" customHeight="1" x14ac:dyDescent="0.5">
      <c r="B3" s="146" t="s">
        <v>228</v>
      </c>
      <c r="C3" s="147"/>
      <c r="D3" s="147"/>
      <c r="E3" s="147"/>
      <c r="F3" s="147"/>
      <c r="G3" s="147"/>
      <c r="H3" s="147"/>
    </row>
    <row r="4" spans="1:40" ht="29.1" customHeight="1" x14ac:dyDescent="0.2">
      <c r="B4" s="797" t="s">
        <v>210</v>
      </c>
      <c r="C4" s="797"/>
      <c r="D4" s="797"/>
      <c r="E4" s="797"/>
      <c r="F4" s="797"/>
      <c r="G4" s="797"/>
      <c r="H4" s="797"/>
      <c r="I4" s="797"/>
      <c r="J4" s="797"/>
      <c r="K4" s="797"/>
    </row>
    <row r="5" spans="1:40" ht="9" customHeight="1" thickBot="1" x14ac:dyDescent="0.3">
      <c r="B5" s="148"/>
      <c r="C5" s="148"/>
      <c r="D5" s="148"/>
      <c r="E5" s="148"/>
      <c r="F5" s="148"/>
      <c r="G5" s="148"/>
      <c r="H5" s="148"/>
    </row>
    <row r="6" spans="1:40" s="149" customFormat="1" ht="22.35" customHeight="1" x14ac:dyDescent="0.2">
      <c r="B6" s="941" t="s">
        <v>275</v>
      </c>
      <c r="C6" s="943" t="s">
        <v>796</v>
      </c>
      <c r="D6" s="944"/>
      <c r="E6" s="944"/>
      <c r="F6" s="944"/>
      <c r="G6" s="944"/>
      <c r="H6" s="944"/>
      <c r="I6" s="944"/>
      <c r="J6" s="400"/>
      <c r="K6" s="954" t="s">
        <v>797</v>
      </c>
      <c r="L6" s="954"/>
      <c r="M6" s="954"/>
      <c r="N6" s="954"/>
      <c r="O6" s="955"/>
      <c r="P6" s="960" t="s">
        <v>219</v>
      </c>
      <c r="Q6" s="941" t="s">
        <v>798</v>
      </c>
      <c r="T6" s="150"/>
      <c r="U6" s="150"/>
      <c r="V6" s="150"/>
      <c r="W6" s="150"/>
      <c r="X6" s="150"/>
      <c r="Y6" s="150"/>
    </row>
    <row r="7" spans="1:40" s="150" customFormat="1" ht="33.75" customHeight="1" thickBot="1" x14ac:dyDescent="0.25">
      <c r="B7" s="942"/>
      <c r="C7" s="151" t="s">
        <v>799</v>
      </c>
      <c r="D7" s="152" t="s">
        <v>141</v>
      </c>
      <c r="E7" s="152" t="s">
        <v>143</v>
      </c>
      <c r="F7" s="153" t="s">
        <v>145</v>
      </c>
      <c r="G7" s="153" t="s">
        <v>865</v>
      </c>
      <c r="H7" s="179" t="s">
        <v>866</v>
      </c>
      <c r="I7" s="179" t="s">
        <v>155</v>
      </c>
      <c r="J7" s="198" t="s">
        <v>652</v>
      </c>
      <c r="K7" s="205" t="s">
        <v>691</v>
      </c>
      <c r="L7" s="199" t="s">
        <v>192</v>
      </c>
      <c r="M7" s="208" t="s">
        <v>806</v>
      </c>
      <c r="N7" s="208" t="s">
        <v>807</v>
      </c>
      <c r="O7" s="200" t="s">
        <v>848</v>
      </c>
      <c r="P7" s="960"/>
      <c r="Q7" s="950"/>
    </row>
    <row r="8" spans="1:40" s="149" customFormat="1" ht="21.75" customHeight="1" x14ac:dyDescent="0.2">
      <c r="B8" s="155">
        <v>1</v>
      </c>
      <c r="C8" s="166"/>
      <c r="D8" s="167"/>
      <c r="E8" s="167"/>
      <c r="F8" s="168"/>
      <c r="G8" s="168"/>
      <c r="H8" s="186"/>
      <c r="I8" s="169"/>
      <c r="J8" s="192" t="str">
        <f>'Project Summary'!$C$10</f>
        <v/>
      </c>
      <c r="K8" s="319" t="str" cm="1">
        <f t="array" ref="K8">IFERROR(_xlfn.XLOOKUP($J8,'Look Up Tables'!$F$98:$F$106,_xlfn.XLOOKUP($G8,'Look Up Tables'!$G$97:$H$97,'Look Up Tables'!$G$98:$H$106),FALSE),"")</f>
        <v/>
      </c>
      <c r="L8" s="587" t="str">
        <f>IFERROR(ROUND(IF($F8="Retrofit",$I8*($H8*K8),""),2),"")</f>
        <v/>
      </c>
      <c r="M8" s="496" t="str">
        <f>IFERROR(ROUND(IF(F8="Retrofit",L8*'Look Up Tables'!$C$167,""),4),"")</f>
        <v/>
      </c>
      <c r="N8" s="496" t="str">
        <f>IFERROR(ROUND(IF(F8="Retrofit",L8*'Look Up Tables'!$C$166,""),4),"")</f>
        <v/>
      </c>
      <c r="O8" s="503" t="str">
        <f>IFERROR(ROUND((M8+N8)/2,4),"")</f>
        <v/>
      </c>
      <c r="P8" s="150" t="str">
        <f>IFERROR(L8*Incentives!$C$4+O8*Incentives!$C$5,"")</f>
        <v/>
      </c>
      <c r="Q8" s="191" t="str">
        <f>IFERROR(P8*'Project Summary'!$H$37/'Project Summary'!$G$37,"")</f>
        <v/>
      </c>
      <c r="R8" s="150"/>
      <c r="S8" s="150"/>
      <c r="T8" s="150"/>
      <c r="U8" s="150"/>
      <c r="V8" s="150"/>
      <c r="W8" s="150"/>
      <c r="X8" s="150"/>
      <c r="Y8" s="150"/>
      <c r="Z8" s="150"/>
      <c r="AA8" s="150"/>
      <c r="AB8" s="150"/>
      <c r="AC8" s="150"/>
      <c r="AD8" s="150"/>
      <c r="AE8" s="150"/>
      <c r="AF8" s="150"/>
      <c r="AG8" s="150"/>
      <c r="AH8" s="150"/>
      <c r="AI8" s="150"/>
      <c r="AJ8" s="150"/>
      <c r="AK8" s="150"/>
      <c r="AL8" s="150"/>
      <c r="AM8" s="150"/>
      <c r="AN8" s="150"/>
    </row>
    <row r="9" spans="1:40" s="149" customFormat="1" ht="21.75" customHeight="1" x14ac:dyDescent="0.2">
      <c r="B9" s="158">
        <v>2</v>
      </c>
      <c r="C9" s="170"/>
      <c r="D9" s="708"/>
      <c r="E9" s="708"/>
      <c r="F9" s="173"/>
      <c r="G9" s="173"/>
      <c r="H9" s="203"/>
      <c r="I9" s="197"/>
      <c r="J9" s="159" t="str">
        <f>'Project Summary'!$C$10</f>
        <v/>
      </c>
      <c r="K9" s="320" t="str" cm="1">
        <f t="array" ref="K9">IFERROR(_xlfn.XLOOKUP($J9,'Look Up Tables'!$F$98:$F$106,_xlfn.XLOOKUP($G9,'Look Up Tables'!$G$97:$H$97,'Look Up Tables'!$G$98:$H$106),FALSE),"")</f>
        <v/>
      </c>
      <c r="L9" s="588" t="str">
        <f t="shared" ref="L9:L17" si="0">IFERROR(ROUND(IF($F9="Retrofit",$I9*($H9*K9),""),2),"")</f>
        <v/>
      </c>
      <c r="M9" s="498" t="str">
        <f>IFERROR(ROUND(IF(F9="Retrofit",L9*'Look Up Tables'!$C$167,""),4),"")</f>
        <v/>
      </c>
      <c r="N9" s="498" t="str">
        <f>IFERROR(ROUND(IF(F9="Retrofit",L9*'Look Up Tables'!$C$166,""),4),"")</f>
        <v/>
      </c>
      <c r="O9" s="504" t="str">
        <f t="shared" ref="O9:O17" si="1">IFERROR(ROUND((M9+N9)/2,4),"")</f>
        <v/>
      </c>
      <c r="P9" s="150" t="str">
        <f>IFERROR(L9*Incentives!$C$4+O9*Incentives!$C$5,"")</f>
        <v/>
      </c>
      <c r="Q9" s="161" t="str">
        <f>IFERROR(P9*'Project Summary'!$H$37/'Project Summary'!$G$37,"")</f>
        <v/>
      </c>
      <c r="R9" s="150"/>
      <c r="S9" s="150"/>
      <c r="T9" s="150"/>
      <c r="U9" s="150"/>
      <c r="V9" s="150"/>
      <c r="W9" s="150"/>
      <c r="X9" s="150"/>
      <c r="Y9" s="150"/>
      <c r="Z9" s="150"/>
      <c r="AA9" s="150"/>
      <c r="AB9" s="150"/>
      <c r="AC9" s="150"/>
      <c r="AD9" s="150"/>
      <c r="AE9" s="150"/>
      <c r="AF9" s="150"/>
      <c r="AG9" s="150"/>
      <c r="AH9" s="150"/>
      <c r="AI9" s="150"/>
      <c r="AJ9" s="150"/>
      <c r="AK9" s="150"/>
      <c r="AL9" s="150"/>
      <c r="AM9" s="150"/>
      <c r="AN9" s="150"/>
    </row>
    <row r="10" spans="1:40" s="149" customFormat="1" ht="21.75" customHeight="1" x14ac:dyDescent="0.2">
      <c r="B10" s="158">
        <v>3</v>
      </c>
      <c r="C10" s="170"/>
      <c r="D10" s="708"/>
      <c r="E10" s="708"/>
      <c r="F10" s="173"/>
      <c r="G10" s="173"/>
      <c r="H10" s="203"/>
      <c r="I10" s="197"/>
      <c r="J10" s="159" t="str">
        <f>'Project Summary'!$C$10</f>
        <v/>
      </c>
      <c r="K10" s="320" t="str" cm="1">
        <f t="array" ref="K10">IFERROR(_xlfn.XLOOKUP($J10,'Look Up Tables'!$F$98:$F$106,_xlfn.XLOOKUP($G10,'Look Up Tables'!$G$97:$H$97,'Look Up Tables'!$G$98:$H$106),FALSE),"")</f>
        <v/>
      </c>
      <c r="L10" s="588" t="str">
        <f t="shared" si="0"/>
        <v/>
      </c>
      <c r="M10" s="498" t="str">
        <f>IFERROR(ROUND(IF(F10="Retrofit",L10*'Look Up Tables'!$C$167,""),4),"")</f>
        <v/>
      </c>
      <c r="N10" s="498" t="str">
        <f>IFERROR(ROUND(IF(F10="Retrofit",L10*'Look Up Tables'!$C$166,""),4),"")</f>
        <v/>
      </c>
      <c r="O10" s="504" t="str">
        <f t="shared" si="1"/>
        <v/>
      </c>
      <c r="P10" s="150" t="str">
        <f>IFERROR(L10*Incentives!$C$4+O10*Incentives!$C$5,"")</f>
        <v/>
      </c>
      <c r="Q10" s="161" t="str">
        <f>IFERROR(P10*'Project Summary'!$H$37/'Project Summary'!$G$37,"")</f>
        <v/>
      </c>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row>
    <row r="11" spans="1:40" s="149" customFormat="1" ht="21.75" customHeight="1" x14ac:dyDescent="0.2">
      <c r="B11" s="158">
        <v>4</v>
      </c>
      <c r="C11" s="170"/>
      <c r="D11" s="708"/>
      <c r="E11" s="708"/>
      <c r="F11" s="173"/>
      <c r="G11" s="173"/>
      <c r="H11" s="203"/>
      <c r="I11" s="197"/>
      <c r="J11" s="159" t="str">
        <f>'Project Summary'!$C$10</f>
        <v/>
      </c>
      <c r="K11" s="320" t="str" cm="1">
        <f t="array" ref="K11">IFERROR(_xlfn.XLOOKUP($J11,'Look Up Tables'!$F$98:$F$106,_xlfn.XLOOKUP($G11,'Look Up Tables'!$G$97:$H$97,'Look Up Tables'!$G$98:$H$106),FALSE),"")</f>
        <v/>
      </c>
      <c r="L11" s="588" t="str">
        <f t="shared" si="0"/>
        <v/>
      </c>
      <c r="M11" s="498" t="str">
        <f>IFERROR(ROUND(IF(F11="Retrofit",L11*'Look Up Tables'!$C$167,""),4),"")</f>
        <v/>
      </c>
      <c r="N11" s="498" t="str">
        <f>IFERROR(ROUND(IF(F11="Retrofit",L11*'Look Up Tables'!$C$166,""),4),"")</f>
        <v/>
      </c>
      <c r="O11" s="504" t="str">
        <f t="shared" si="1"/>
        <v/>
      </c>
      <c r="P11" s="150" t="str">
        <f>IFERROR(L11*Incentives!$C$4+O11*Incentives!$C$5,"")</f>
        <v/>
      </c>
      <c r="Q11" s="161" t="str">
        <f>IFERROR(P11*'Project Summary'!$H$37/'Project Summary'!$G$37,"")</f>
        <v/>
      </c>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row>
    <row r="12" spans="1:40" s="149" customFormat="1" ht="21.75" customHeight="1" x14ac:dyDescent="0.2">
      <c r="B12" s="158">
        <v>5</v>
      </c>
      <c r="C12" s="170"/>
      <c r="D12" s="708"/>
      <c r="E12" s="708"/>
      <c r="F12" s="173"/>
      <c r="G12" s="173"/>
      <c r="H12" s="203"/>
      <c r="I12" s="197"/>
      <c r="J12" s="159" t="str">
        <f>'Project Summary'!$C$10</f>
        <v/>
      </c>
      <c r="K12" s="320" t="str" cm="1">
        <f t="array" ref="K12">IFERROR(_xlfn.XLOOKUP($J12,'Look Up Tables'!$F$98:$F$106,_xlfn.XLOOKUP($G12,'Look Up Tables'!$G$97:$H$97,'Look Up Tables'!$G$98:$H$106),FALSE),"")</f>
        <v/>
      </c>
      <c r="L12" s="588" t="str">
        <f t="shared" si="0"/>
        <v/>
      </c>
      <c r="M12" s="498" t="str">
        <f>IFERROR(ROUND(IF(F12="Retrofit",L12*'Look Up Tables'!$C$167,""),4),"")</f>
        <v/>
      </c>
      <c r="N12" s="498" t="str">
        <f>IFERROR(ROUND(IF(F12="Retrofit",L12*'Look Up Tables'!$C$166,""),4),"")</f>
        <v/>
      </c>
      <c r="O12" s="504" t="str">
        <f t="shared" si="1"/>
        <v/>
      </c>
      <c r="P12" s="150" t="str">
        <f>IFERROR(L12*Incentives!$C$4+O12*Incentives!$C$5,"")</f>
        <v/>
      </c>
      <c r="Q12" s="161" t="str">
        <f>IFERROR(P12*'Project Summary'!$H$37/'Project Summary'!$G$37,"")</f>
        <v/>
      </c>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row>
    <row r="13" spans="1:40" s="149" customFormat="1" ht="21.75" customHeight="1" x14ac:dyDescent="0.2">
      <c r="B13" s="158">
        <v>6</v>
      </c>
      <c r="C13" s="170"/>
      <c r="D13" s="708"/>
      <c r="E13" s="708"/>
      <c r="F13" s="173"/>
      <c r="G13" s="173"/>
      <c r="H13" s="203"/>
      <c r="I13" s="197"/>
      <c r="J13" s="159" t="str">
        <f>'Project Summary'!$C$10</f>
        <v/>
      </c>
      <c r="K13" s="320" t="str" cm="1">
        <f t="array" ref="K13">IFERROR(_xlfn.XLOOKUP($J13,'Look Up Tables'!$F$98:$F$106,_xlfn.XLOOKUP($G13,'Look Up Tables'!$G$97:$H$97,'Look Up Tables'!$G$98:$H$106),FALSE),"")</f>
        <v/>
      </c>
      <c r="L13" s="588" t="str">
        <f t="shared" si="0"/>
        <v/>
      </c>
      <c r="M13" s="498" t="str">
        <f>IFERROR(ROUND(IF(F13="Retrofit",L13*'Look Up Tables'!$C$167,""),4),"")</f>
        <v/>
      </c>
      <c r="N13" s="498" t="str">
        <f>IFERROR(ROUND(IF(F13="Retrofit",L13*'Look Up Tables'!$C$166,""),4),"")</f>
        <v/>
      </c>
      <c r="O13" s="504" t="str">
        <f t="shared" si="1"/>
        <v/>
      </c>
      <c r="P13" s="150" t="str">
        <f>IFERROR(L13*Incentives!$C$4+O13*Incentives!$C$5,"")</f>
        <v/>
      </c>
      <c r="Q13" s="161" t="str">
        <f>IFERROR(P13*'Project Summary'!$H$37/'Project Summary'!$G$37,"")</f>
        <v/>
      </c>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row>
    <row r="14" spans="1:40" s="149" customFormat="1" ht="21.75" customHeight="1" x14ac:dyDescent="0.2">
      <c r="B14" s="158">
        <v>7</v>
      </c>
      <c r="C14" s="170"/>
      <c r="D14" s="708"/>
      <c r="E14" s="708"/>
      <c r="F14" s="173"/>
      <c r="G14" s="173"/>
      <c r="H14" s="203"/>
      <c r="I14" s="197"/>
      <c r="J14" s="159" t="str">
        <f>'Project Summary'!$C$10</f>
        <v/>
      </c>
      <c r="K14" s="320" t="str" cm="1">
        <f t="array" ref="K14">IFERROR(_xlfn.XLOOKUP($J14,'Look Up Tables'!$F$98:$F$106,_xlfn.XLOOKUP($G14,'Look Up Tables'!$G$97:$H$97,'Look Up Tables'!$G$98:$H$106),FALSE),"")</f>
        <v/>
      </c>
      <c r="L14" s="588" t="str">
        <f t="shared" si="0"/>
        <v/>
      </c>
      <c r="M14" s="498" t="str">
        <f>IFERROR(ROUND(IF(F14="Retrofit",L14*'Look Up Tables'!$C$167,""),4),"")</f>
        <v/>
      </c>
      <c r="N14" s="498" t="str">
        <f>IFERROR(ROUND(IF(F14="Retrofit",L14*'Look Up Tables'!$C$166,""),4),"")</f>
        <v/>
      </c>
      <c r="O14" s="504" t="str">
        <f t="shared" si="1"/>
        <v/>
      </c>
      <c r="P14" s="150" t="str">
        <f>IFERROR(L14*Incentives!$C$4+O14*Incentives!$C$5,"")</f>
        <v/>
      </c>
      <c r="Q14" s="161" t="str">
        <f>IFERROR(P14*'Project Summary'!$H$37/'Project Summary'!$G$37,"")</f>
        <v/>
      </c>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row>
    <row r="15" spans="1:40" s="149" customFormat="1" ht="21.75" customHeight="1" x14ac:dyDescent="0.2">
      <c r="B15" s="158">
        <v>8</v>
      </c>
      <c r="C15" s="170"/>
      <c r="D15" s="708"/>
      <c r="E15" s="708"/>
      <c r="F15" s="173"/>
      <c r="G15" s="173"/>
      <c r="H15" s="203"/>
      <c r="I15" s="197"/>
      <c r="J15" s="159" t="str">
        <f>'Project Summary'!$C$10</f>
        <v/>
      </c>
      <c r="K15" s="320" t="str" cm="1">
        <f t="array" ref="K15">IFERROR(_xlfn.XLOOKUP($J15,'Look Up Tables'!$F$98:$F$106,_xlfn.XLOOKUP($G15,'Look Up Tables'!$G$97:$H$97,'Look Up Tables'!$G$98:$H$106),FALSE),"")</f>
        <v/>
      </c>
      <c r="L15" s="588" t="str">
        <f t="shared" si="0"/>
        <v/>
      </c>
      <c r="M15" s="498" t="str">
        <f>IFERROR(ROUND(IF(F15="Retrofit",L15*'Look Up Tables'!$C$167,""),4),"")</f>
        <v/>
      </c>
      <c r="N15" s="498" t="str">
        <f>IFERROR(ROUND(IF(F15="Retrofit",L15*'Look Up Tables'!$C$166,""),4),"")</f>
        <v/>
      </c>
      <c r="O15" s="504" t="str">
        <f t="shared" si="1"/>
        <v/>
      </c>
      <c r="P15" s="150" t="str">
        <f>IFERROR(L15*Incentives!$C$4+O15*Incentives!$C$5,"")</f>
        <v/>
      </c>
      <c r="Q15" s="161" t="str">
        <f>IFERROR(P15*'Project Summary'!$H$37/'Project Summary'!$G$37,"")</f>
        <v/>
      </c>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row>
    <row r="16" spans="1:40" s="149" customFormat="1" ht="21.75" customHeight="1" x14ac:dyDescent="0.2">
      <c r="B16" s="158">
        <v>9</v>
      </c>
      <c r="C16" s="170"/>
      <c r="D16" s="708"/>
      <c r="E16" s="708"/>
      <c r="F16" s="173"/>
      <c r="G16" s="173"/>
      <c r="H16" s="203"/>
      <c r="I16" s="197"/>
      <c r="J16" s="159" t="str">
        <f>'Project Summary'!$C$10</f>
        <v/>
      </c>
      <c r="K16" s="320" t="str" cm="1">
        <f t="array" ref="K16">IFERROR(_xlfn.XLOOKUP($J16,'Look Up Tables'!$F$98:$F$106,_xlfn.XLOOKUP($G16,'Look Up Tables'!$G$97:$H$97,'Look Up Tables'!$G$98:$H$106),FALSE),"")</f>
        <v/>
      </c>
      <c r="L16" s="588" t="str">
        <f t="shared" si="0"/>
        <v/>
      </c>
      <c r="M16" s="498" t="str">
        <f>IFERROR(ROUND(IF(F16="Retrofit",L16*'Look Up Tables'!$C$167,""),4),"")</f>
        <v/>
      </c>
      <c r="N16" s="498" t="str">
        <f>IFERROR(ROUND(IF(F16="Retrofit",L16*'Look Up Tables'!$C$166,""),4),"")</f>
        <v/>
      </c>
      <c r="O16" s="504" t="str">
        <f t="shared" si="1"/>
        <v/>
      </c>
      <c r="P16" s="150" t="str">
        <f>IFERROR(L16*Incentives!$C$4+O16*Incentives!$C$5,"")</f>
        <v/>
      </c>
      <c r="Q16" s="161" t="str">
        <f>IFERROR(P16*'Project Summary'!$H$37/'Project Summary'!$G$37,"")</f>
        <v/>
      </c>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row>
    <row r="17" spans="2:40" s="149" customFormat="1" ht="21.75" customHeight="1" thickBot="1" x14ac:dyDescent="0.25">
      <c r="B17" s="162">
        <v>10</v>
      </c>
      <c r="C17" s="174"/>
      <c r="D17" s="175"/>
      <c r="E17" s="175"/>
      <c r="F17" s="177"/>
      <c r="G17" s="176"/>
      <c r="H17" s="204"/>
      <c r="I17" s="178"/>
      <c r="J17" s="163" t="str">
        <f>'Project Summary'!$C$10</f>
        <v/>
      </c>
      <c r="K17" s="321" t="str" cm="1">
        <f t="array" ref="K17">IFERROR(_xlfn.XLOOKUP($J17,'Look Up Tables'!$F$98:$F$106,_xlfn.XLOOKUP($G17,'Look Up Tables'!$G$97:$H$97,'Look Up Tables'!$G$98:$H$106),FALSE),"")</f>
        <v/>
      </c>
      <c r="L17" s="605" t="str">
        <f t="shared" si="0"/>
        <v/>
      </c>
      <c r="M17" s="499" t="str">
        <f>IFERROR(ROUND(IF(F17="Retrofit",L17*'Look Up Tables'!$C$167,""),4),"")</f>
        <v/>
      </c>
      <c r="N17" s="499" t="str">
        <f>IFERROR(ROUND(IF(F17="Retrofit",L17*'Look Up Tables'!$C$166,""),4),"")</f>
        <v/>
      </c>
      <c r="O17" s="505" t="str">
        <f t="shared" si="1"/>
        <v/>
      </c>
      <c r="P17" s="150" t="str">
        <f>IFERROR(L17*Incentives!$C$4+O17*Incentives!$C$5,"")</f>
        <v/>
      </c>
      <c r="Q17" s="165" t="str">
        <f>IFERROR(P17*'Project Summary'!$H$37/'Project Summary'!$G$37,"")</f>
        <v/>
      </c>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row>
    <row r="18" spans="2:40"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row>
    <row r="19" spans="2:40"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row>
    <row r="20" spans="2:40"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row>
    <row r="21" spans="2:40"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row>
    <row r="22" spans="2:40"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row>
    <row r="23" spans="2:40" x14ac:dyDescent="0.2">
      <c r="B23" s="150"/>
      <c r="C23" s="150"/>
      <c r="D23" s="150"/>
      <c r="E23" s="150"/>
      <c r="F23" s="150"/>
      <c r="G23" s="150"/>
      <c r="H23" s="150"/>
      <c r="I23" s="150"/>
      <c r="J23" s="150"/>
      <c r="K23" s="537"/>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row>
    <row r="24" spans="2:40"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row>
    <row r="25" spans="2:40"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row>
    <row r="26" spans="2:40"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row>
    <row r="27" spans="2:40"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row>
    <row r="28" spans="2:40"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row>
    <row r="29" spans="2:40"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row>
    <row r="30" spans="2:40"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row>
    <row r="31" spans="2:40"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row>
    <row r="32" spans="2:40"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row>
    <row r="33" spans="2:40"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row>
    <row r="34" spans="2:40"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row>
    <row r="35" spans="2:40"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row>
    <row r="36" spans="2:40"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row>
    <row r="37" spans="2:40"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row>
    <row r="38" spans="2:40"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row>
    <row r="39" spans="2:40"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row>
    <row r="40" spans="2:40"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row>
    <row r="41" spans="2:40"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row>
    <row r="42" spans="2:40"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row>
    <row r="43" spans="2:40"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row>
    <row r="44" spans="2:40"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row>
    <row r="45" spans="2:40"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row>
    <row r="46" spans="2:40"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row>
    <row r="47" spans="2:40"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row>
    <row r="48" spans="2:40"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row>
    <row r="49" spans="2:40"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row>
    <row r="50" spans="2:40"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row>
    <row r="51" spans="2:40"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row>
    <row r="52" spans="2:40"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row>
    <row r="53" spans="2:40"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row>
    <row r="54" spans="2:40"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row>
    <row r="55" spans="2:40"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row>
    <row r="56" spans="2:40"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row>
    <row r="57" spans="2:40"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row>
    <row r="58" spans="2:40"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row>
    <row r="59" spans="2:40"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row>
    <row r="60" spans="2:40"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row>
    <row r="61" spans="2:40"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row>
    <row r="62" spans="2:40"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row>
    <row r="63" spans="2:40"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row>
    <row r="64" spans="2:40"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row>
    <row r="65" spans="2:40"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row>
  </sheetData>
  <sheetProtection formatColumns="0"/>
  <mergeCells count="6">
    <mergeCell ref="B4:K4"/>
    <mergeCell ref="C6:I6"/>
    <mergeCell ref="K6:O6"/>
    <mergeCell ref="P6:P7"/>
    <mergeCell ref="Q6:Q7"/>
    <mergeCell ref="B6:B7"/>
  </mergeCells>
  <conditionalFormatting sqref="F8:F17">
    <cfRule type="expression" dxfId="3" priority="1">
      <formula>$F8="New Construction"</formula>
    </cfRule>
  </conditionalFormatting>
  <dataValidations count="1">
    <dataValidation allowBlank="1" showErrorMessage="1" promptTitle="Retrofit Only" prompt="This measure is for retrofit projects only. If new Construction, please contact CLEAResult for further assistance._x000a_" sqref="H8:H17" xr:uid="{AB77EFB6-5C2A-4AAD-BE3D-A3791AF66FCB}"/>
  </dataValidations>
  <hyperlinks>
    <hyperlink ref="P1" r:id="rId1" xr:uid="{85A94A11-79EB-4648-9C9C-6E73BD92D19B}"/>
  </hyperlinks>
  <pageMargins left="0.5" right="0.5" top="0.5" bottom="0.5" header="0.3" footer="0.3"/>
  <pageSetup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promptTitle="Retrofit Only" prompt="This measure is for retrofit projects only. If new Construction, please contact CLEAResult for further assistance._x000a_" xr:uid="{21FF4F6B-BFB0-4F8F-8EAD-D9CC39584615}">
          <x14:formula1>
            <xm:f>'Look Up Tables'!$F$33:$F$34</xm:f>
          </x14:formula1>
          <xm:sqref>F8:F17</xm:sqref>
        </x14:dataValidation>
        <x14:dataValidation type="list" allowBlank="1" showErrorMessage="1" promptTitle="Retrofit Only" prompt="This measure is for retrofit projects only. If new Construction, please contact CLEAResult for further assistance._x000a_" xr:uid="{59D57FDA-B899-47AA-AEEC-4BF7DFC2064F}">
          <x14:formula1>
            <xm:f>'Look Up Tables'!$G$97:$H$97</xm:f>
          </x14:formula1>
          <xm:sqref>G8:G17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18ACD-4F54-4BDB-9A28-5528A11DC631}">
  <sheetPr codeName="Sheet3"/>
  <dimension ref="A1:AQ86"/>
  <sheetViews>
    <sheetView showGridLines="0" zoomScale="85" zoomScaleNormal="85" workbookViewId="0">
      <selection activeCell="K5" sqref="K5:S40"/>
    </sheetView>
  </sheetViews>
  <sheetFormatPr defaultColWidth="0" defaultRowHeight="0" customHeight="1" zeroHeight="1" x14ac:dyDescent="0.2"/>
  <cols>
    <col min="1" max="9" width="8" style="30" customWidth="1"/>
    <col min="10" max="10" width="1" style="30" customWidth="1"/>
    <col min="11" max="19" width="8" style="30" customWidth="1"/>
    <col min="20" max="20" width="1" style="30" customWidth="1"/>
    <col min="21" max="29" width="8" style="30" customWidth="1"/>
    <col min="30" max="30" width="1.125" style="30" customWidth="1"/>
    <col min="31" max="39" width="8" style="30" customWidth="1"/>
    <col min="40" max="40" width="1.125" style="30" customWidth="1"/>
    <col min="41" max="41" width="8" style="30" customWidth="1"/>
    <col min="42" max="43" width="0" style="30" hidden="1" customWidth="1"/>
    <col min="44" max="16384" width="8" style="30" hidden="1"/>
  </cols>
  <sheetData>
    <row r="1" spans="1:40" ht="30" customHeight="1" x14ac:dyDescent="0.2">
      <c r="A1" s="809" t="s">
        <v>22</v>
      </c>
      <c r="B1" s="809"/>
      <c r="C1" s="809"/>
      <c r="D1" s="809"/>
      <c r="E1" s="809"/>
    </row>
    <row r="2" spans="1:40" ht="5.85" customHeight="1" x14ac:dyDescent="0.2">
      <c r="A2" s="31"/>
      <c r="B2" s="31"/>
      <c r="C2" s="31"/>
      <c r="D2" s="31"/>
      <c r="E2" s="31"/>
      <c r="F2" s="31"/>
      <c r="G2" s="31"/>
      <c r="H2" s="31"/>
      <c r="I2" s="31"/>
      <c r="K2" s="31"/>
      <c r="L2" s="31"/>
      <c r="M2" s="31"/>
      <c r="N2" s="31"/>
      <c r="O2" s="31"/>
      <c r="P2" s="31"/>
      <c r="Q2" s="31"/>
      <c r="R2" s="31"/>
      <c r="S2" s="31"/>
      <c r="U2" s="31"/>
      <c r="V2" s="31"/>
      <c r="W2" s="31"/>
      <c r="X2" s="31"/>
      <c r="Y2" s="31"/>
      <c r="Z2" s="31"/>
      <c r="AA2" s="31"/>
      <c r="AB2" s="31"/>
      <c r="AC2" s="31"/>
      <c r="AE2" s="31"/>
      <c r="AF2" s="31"/>
      <c r="AG2" s="31"/>
      <c r="AH2" s="31"/>
      <c r="AI2" s="31"/>
      <c r="AJ2" s="31"/>
      <c r="AK2" s="31"/>
      <c r="AL2" s="31"/>
      <c r="AM2" s="31"/>
    </row>
    <row r="3" spans="1:40" ht="20.100000000000001" customHeight="1" x14ac:dyDescent="0.2">
      <c r="A3" s="810" t="s">
        <v>39</v>
      </c>
      <c r="B3" s="810"/>
      <c r="C3" s="810"/>
      <c r="D3" s="810"/>
      <c r="E3" s="810"/>
      <c r="F3" s="810"/>
      <c r="G3" s="810"/>
      <c r="H3" s="810"/>
      <c r="I3" s="810"/>
      <c r="J3" s="35"/>
      <c r="K3" s="810" t="s">
        <v>40</v>
      </c>
      <c r="L3" s="810"/>
      <c r="M3" s="810"/>
      <c r="N3" s="810"/>
      <c r="O3" s="810"/>
      <c r="P3" s="810"/>
      <c r="Q3" s="810"/>
      <c r="R3" s="810"/>
      <c r="S3" s="810"/>
      <c r="T3" s="35"/>
      <c r="U3" s="810" t="s">
        <v>41</v>
      </c>
      <c r="V3" s="810"/>
      <c r="W3" s="810"/>
      <c r="X3" s="810"/>
      <c r="Y3" s="810"/>
      <c r="Z3" s="810"/>
      <c r="AA3" s="810"/>
      <c r="AB3" s="810"/>
      <c r="AC3" s="810"/>
      <c r="AD3" s="35"/>
      <c r="AE3" s="810" t="s">
        <v>42</v>
      </c>
      <c r="AF3" s="810"/>
      <c r="AG3" s="810"/>
      <c r="AH3" s="810"/>
      <c r="AI3" s="810"/>
      <c r="AJ3" s="810"/>
      <c r="AK3" s="810"/>
      <c r="AL3" s="810"/>
      <c r="AM3" s="810"/>
      <c r="AN3" s="35"/>
    </row>
    <row r="4" spans="1:40" ht="6" customHeight="1" x14ac:dyDescent="0.2">
      <c r="A4" s="31"/>
      <c r="B4" s="31"/>
      <c r="C4" s="31"/>
      <c r="D4" s="31"/>
      <c r="E4" s="31"/>
      <c r="F4" s="31"/>
      <c r="G4" s="31"/>
      <c r="H4" s="31"/>
      <c r="I4" s="31"/>
      <c r="J4" s="34"/>
      <c r="K4" s="31"/>
      <c r="L4" s="31"/>
      <c r="M4" s="31"/>
      <c r="N4" s="31"/>
      <c r="O4" s="31"/>
      <c r="P4" s="31"/>
      <c r="Q4" s="31"/>
      <c r="R4" s="31"/>
      <c r="S4" s="31"/>
      <c r="T4" s="34"/>
      <c r="U4" s="31"/>
      <c r="V4" s="31"/>
      <c r="W4" s="31"/>
      <c r="X4" s="31"/>
      <c r="Y4" s="31"/>
      <c r="Z4" s="31"/>
      <c r="AA4" s="31"/>
      <c r="AB4" s="31"/>
      <c r="AC4" s="31"/>
      <c r="AD4" s="34"/>
      <c r="AE4" s="31"/>
      <c r="AF4" s="31"/>
      <c r="AG4" s="31"/>
      <c r="AH4" s="31"/>
      <c r="AI4" s="31"/>
      <c r="AJ4" s="31"/>
      <c r="AK4" s="31"/>
      <c r="AL4" s="31"/>
      <c r="AM4" s="31"/>
      <c r="AN4" s="34"/>
    </row>
    <row r="5" spans="1:40" ht="14.85" customHeight="1" x14ac:dyDescent="0.2">
      <c r="A5" s="806" t="s">
        <v>43</v>
      </c>
      <c r="B5" s="807"/>
      <c r="C5" s="807"/>
      <c r="D5" s="807"/>
      <c r="E5" s="807"/>
      <c r="F5" s="807"/>
      <c r="G5" s="807"/>
      <c r="H5" s="807"/>
      <c r="I5" s="807"/>
      <c r="J5" s="34"/>
      <c r="K5" s="806" t="s">
        <v>30</v>
      </c>
      <c r="L5" s="808"/>
      <c r="M5" s="808"/>
      <c r="N5" s="808"/>
      <c r="O5" s="808"/>
      <c r="P5" s="808"/>
      <c r="Q5" s="808"/>
      <c r="R5" s="808"/>
      <c r="S5" s="808"/>
      <c r="T5" s="34"/>
      <c r="U5" s="806" t="s">
        <v>44</v>
      </c>
      <c r="V5" s="807"/>
      <c r="W5" s="807"/>
      <c r="X5" s="807"/>
      <c r="Y5" s="807"/>
      <c r="Z5" s="807"/>
      <c r="AA5" s="807"/>
      <c r="AB5" s="807"/>
      <c r="AC5" s="807"/>
      <c r="AD5" s="34"/>
      <c r="AE5" s="806" t="s">
        <v>30</v>
      </c>
      <c r="AF5" s="808"/>
      <c r="AG5" s="808"/>
      <c r="AH5" s="808"/>
      <c r="AI5" s="808"/>
      <c r="AJ5" s="808"/>
      <c r="AK5" s="808"/>
      <c r="AL5" s="808"/>
      <c r="AM5" s="808"/>
      <c r="AN5" s="34"/>
    </row>
    <row r="6" spans="1:40" ht="14.25" x14ac:dyDescent="0.2">
      <c r="A6" s="807"/>
      <c r="B6" s="807"/>
      <c r="C6" s="807"/>
      <c r="D6" s="807"/>
      <c r="E6" s="807"/>
      <c r="F6" s="807"/>
      <c r="G6" s="807"/>
      <c r="H6" s="807"/>
      <c r="I6" s="807"/>
      <c r="J6" s="34"/>
      <c r="K6" s="808"/>
      <c r="L6" s="808"/>
      <c r="M6" s="808"/>
      <c r="N6" s="808"/>
      <c r="O6" s="808"/>
      <c r="P6" s="808"/>
      <c r="Q6" s="808"/>
      <c r="R6" s="808"/>
      <c r="S6" s="808"/>
      <c r="T6" s="34"/>
      <c r="U6" s="807"/>
      <c r="V6" s="807"/>
      <c r="W6" s="807"/>
      <c r="X6" s="807"/>
      <c r="Y6" s="807"/>
      <c r="Z6" s="807"/>
      <c r="AA6" s="807"/>
      <c r="AB6" s="807"/>
      <c r="AC6" s="807"/>
      <c r="AD6" s="34"/>
      <c r="AE6" s="808"/>
      <c r="AF6" s="808"/>
      <c r="AG6" s="808"/>
      <c r="AH6" s="808"/>
      <c r="AI6" s="808"/>
      <c r="AJ6" s="808"/>
      <c r="AK6" s="808"/>
      <c r="AL6" s="808"/>
      <c r="AM6" s="808"/>
      <c r="AN6" s="34"/>
    </row>
    <row r="7" spans="1:40" ht="14.85" customHeight="1" x14ac:dyDescent="0.2">
      <c r="A7" s="807"/>
      <c r="B7" s="807"/>
      <c r="C7" s="807"/>
      <c r="D7" s="807"/>
      <c r="E7" s="807"/>
      <c r="F7" s="807"/>
      <c r="G7" s="807"/>
      <c r="H7" s="807"/>
      <c r="I7" s="807"/>
      <c r="J7" s="34"/>
      <c r="K7" s="808"/>
      <c r="L7" s="808"/>
      <c r="M7" s="808"/>
      <c r="N7" s="808"/>
      <c r="O7" s="808"/>
      <c r="P7" s="808"/>
      <c r="Q7" s="808"/>
      <c r="R7" s="808"/>
      <c r="S7" s="808"/>
      <c r="T7" s="34"/>
      <c r="U7" s="807"/>
      <c r="V7" s="807"/>
      <c r="W7" s="807"/>
      <c r="X7" s="807"/>
      <c r="Y7" s="807"/>
      <c r="Z7" s="807"/>
      <c r="AA7" s="807"/>
      <c r="AB7" s="807"/>
      <c r="AC7" s="807"/>
      <c r="AD7" s="34"/>
      <c r="AE7" s="808"/>
      <c r="AF7" s="808"/>
      <c r="AG7" s="808"/>
      <c r="AH7" s="808"/>
      <c r="AI7" s="808"/>
      <c r="AJ7" s="808"/>
      <c r="AK7" s="808"/>
      <c r="AL7" s="808"/>
      <c r="AM7" s="808"/>
      <c r="AN7" s="34"/>
    </row>
    <row r="8" spans="1:40" ht="14.85" customHeight="1" x14ac:dyDescent="0.2">
      <c r="A8" s="807"/>
      <c r="B8" s="807"/>
      <c r="C8" s="807"/>
      <c r="D8" s="807"/>
      <c r="E8" s="807"/>
      <c r="F8" s="807"/>
      <c r="G8" s="807"/>
      <c r="H8" s="807"/>
      <c r="I8" s="807"/>
      <c r="J8" s="34"/>
      <c r="K8" s="808"/>
      <c r="L8" s="808"/>
      <c r="M8" s="808"/>
      <c r="N8" s="808"/>
      <c r="O8" s="808"/>
      <c r="P8" s="808"/>
      <c r="Q8" s="808"/>
      <c r="R8" s="808"/>
      <c r="S8" s="808"/>
      <c r="T8" s="34"/>
      <c r="U8" s="807"/>
      <c r="V8" s="807"/>
      <c r="W8" s="807"/>
      <c r="X8" s="807"/>
      <c r="Y8" s="807"/>
      <c r="Z8" s="807"/>
      <c r="AA8" s="807"/>
      <c r="AB8" s="807"/>
      <c r="AC8" s="807"/>
      <c r="AD8" s="34"/>
      <c r="AE8" s="808"/>
      <c r="AF8" s="808"/>
      <c r="AG8" s="808"/>
      <c r="AH8" s="808"/>
      <c r="AI8" s="808"/>
      <c r="AJ8" s="808"/>
      <c r="AK8" s="808"/>
      <c r="AL8" s="808"/>
      <c r="AM8" s="808"/>
      <c r="AN8" s="34"/>
    </row>
    <row r="9" spans="1:40" ht="14.85" customHeight="1" x14ac:dyDescent="0.2">
      <c r="A9" s="807"/>
      <c r="B9" s="807"/>
      <c r="C9" s="807"/>
      <c r="D9" s="807"/>
      <c r="E9" s="807"/>
      <c r="F9" s="807"/>
      <c r="G9" s="807"/>
      <c r="H9" s="807"/>
      <c r="I9" s="807"/>
      <c r="J9" s="34"/>
      <c r="K9" s="808"/>
      <c r="L9" s="808"/>
      <c r="M9" s="808"/>
      <c r="N9" s="808"/>
      <c r="O9" s="808"/>
      <c r="P9" s="808"/>
      <c r="Q9" s="808"/>
      <c r="R9" s="808"/>
      <c r="S9" s="808"/>
      <c r="T9" s="34"/>
      <c r="U9" s="807"/>
      <c r="V9" s="807"/>
      <c r="W9" s="807"/>
      <c r="X9" s="807"/>
      <c r="Y9" s="807"/>
      <c r="Z9" s="807"/>
      <c r="AA9" s="807"/>
      <c r="AB9" s="807"/>
      <c r="AC9" s="807"/>
      <c r="AD9" s="34"/>
      <c r="AE9" s="808"/>
      <c r="AF9" s="808"/>
      <c r="AG9" s="808"/>
      <c r="AH9" s="808"/>
      <c r="AI9" s="808"/>
      <c r="AJ9" s="808"/>
      <c r="AK9" s="808"/>
      <c r="AL9" s="808"/>
      <c r="AM9" s="808"/>
      <c r="AN9" s="34"/>
    </row>
    <row r="10" spans="1:40" ht="14.25" x14ac:dyDescent="0.2">
      <c r="A10" s="807"/>
      <c r="B10" s="807"/>
      <c r="C10" s="807"/>
      <c r="D10" s="807"/>
      <c r="E10" s="807"/>
      <c r="F10" s="807"/>
      <c r="G10" s="807"/>
      <c r="H10" s="807"/>
      <c r="I10" s="807"/>
      <c r="J10" s="34"/>
      <c r="K10" s="808"/>
      <c r="L10" s="808"/>
      <c r="M10" s="808"/>
      <c r="N10" s="808"/>
      <c r="O10" s="808"/>
      <c r="P10" s="808"/>
      <c r="Q10" s="808"/>
      <c r="R10" s="808"/>
      <c r="S10" s="808"/>
      <c r="T10" s="34"/>
      <c r="U10" s="807"/>
      <c r="V10" s="807"/>
      <c r="W10" s="807"/>
      <c r="X10" s="807"/>
      <c r="Y10" s="807"/>
      <c r="Z10" s="807"/>
      <c r="AA10" s="807"/>
      <c r="AB10" s="807"/>
      <c r="AC10" s="807"/>
      <c r="AD10" s="34"/>
      <c r="AE10" s="808"/>
      <c r="AF10" s="808"/>
      <c r="AG10" s="808"/>
      <c r="AH10" s="808"/>
      <c r="AI10" s="808"/>
      <c r="AJ10" s="808"/>
      <c r="AK10" s="808"/>
      <c r="AL10" s="808"/>
      <c r="AM10" s="808"/>
      <c r="AN10" s="34"/>
    </row>
    <row r="11" spans="1:40" ht="14.25" x14ac:dyDescent="0.2">
      <c r="A11" s="807"/>
      <c r="B11" s="807"/>
      <c r="C11" s="807"/>
      <c r="D11" s="807"/>
      <c r="E11" s="807"/>
      <c r="F11" s="807"/>
      <c r="G11" s="807"/>
      <c r="H11" s="807"/>
      <c r="I11" s="807"/>
      <c r="J11" s="34"/>
      <c r="K11" s="808"/>
      <c r="L11" s="808"/>
      <c r="M11" s="808"/>
      <c r="N11" s="808"/>
      <c r="O11" s="808"/>
      <c r="P11" s="808"/>
      <c r="Q11" s="808"/>
      <c r="R11" s="808"/>
      <c r="S11" s="808"/>
      <c r="T11" s="34"/>
      <c r="U11" s="807"/>
      <c r="V11" s="807"/>
      <c r="W11" s="807"/>
      <c r="X11" s="807"/>
      <c r="Y11" s="807"/>
      <c r="Z11" s="807"/>
      <c r="AA11" s="807"/>
      <c r="AB11" s="807"/>
      <c r="AC11" s="807"/>
      <c r="AD11" s="34"/>
      <c r="AE11" s="808"/>
      <c r="AF11" s="808"/>
      <c r="AG11" s="808"/>
      <c r="AH11" s="808"/>
      <c r="AI11" s="808"/>
      <c r="AJ11" s="808"/>
      <c r="AK11" s="808"/>
      <c r="AL11" s="808"/>
      <c r="AM11" s="808"/>
      <c r="AN11" s="34"/>
    </row>
    <row r="12" spans="1:40" ht="14.25" x14ac:dyDescent="0.2">
      <c r="A12" s="807"/>
      <c r="B12" s="807"/>
      <c r="C12" s="807"/>
      <c r="D12" s="807"/>
      <c r="E12" s="807"/>
      <c r="F12" s="807"/>
      <c r="G12" s="807"/>
      <c r="H12" s="807"/>
      <c r="I12" s="807"/>
      <c r="J12" s="34"/>
      <c r="K12" s="808"/>
      <c r="L12" s="808"/>
      <c r="M12" s="808"/>
      <c r="N12" s="808"/>
      <c r="O12" s="808"/>
      <c r="P12" s="808"/>
      <c r="Q12" s="808"/>
      <c r="R12" s="808"/>
      <c r="S12" s="808"/>
      <c r="T12" s="34"/>
      <c r="U12" s="807"/>
      <c r="V12" s="807"/>
      <c r="W12" s="807"/>
      <c r="X12" s="807"/>
      <c r="Y12" s="807"/>
      <c r="Z12" s="807"/>
      <c r="AA12" s="807"/>
      <c r="AB12" s="807"/>
      <c r="AC12" s="807"/>
      <c r="AD12" s="34"/>
      <c r="AE12" s="808"/>
      <c r="AF12" s="808"/>
      <c r="AG12" s="808"/>
      <c r="AH12" s="808"/>
      <c r="AI12" s="808"/>
      <c r="AJ12" s="808"/>
      <c r="AK12" s="808"/>
      <c r="AL12" s="808"/>
      <c r="AM12" s="808"/>
      <c r="AN12" s="34"/>
    </row>
    <row r="13" spans="1:40" ht="14.25" x14ac:dyDescent="0.2">
      <c r="A13" s="807"/>
      <c r="B13" s="807"/>
      <c r="C13" s="807"/>
      <c r="D13" s="807"/>
      <c r="E13" s="807"/>
      <c r="F13" s="807"/>
      <c r="G13" s="807"/>
      <c r="H13" s="807"/>
      <c r="I13" s="807"/>
      <c r="J13" s="34"/>
      <c r="K13" s="808"/>
      <c r="L13" s="808"/>
      <c r="M13" s="808"/>
      <c r="N13" s="808"/>
      <c r="O13" s="808"/>
      <c r="P13" s="808"/>
      <c r="Q13" s="808"/>
      <c r="R13" s="808"/>
      <c r="S13" s="808"/>
      <c r="T13" s="34"/>
      <c r="U13" s="807"/>
      <c r="V13" s="807"/>
      <c r="W13" s="807"/>
      <c r="X13" s="807"/>
      <c r="Y13" s="807"/>
      <c r="Z13" s="807"/>
      <c r="AA13" s="807"/>
      <c r="AB13" s="807"/>
      <c r="AC13" s="807"/>
      <c r="AD13" s="34"/>
      <c r="AE13" s="808"/>
      <c r="AF13" s="808"/>
      <c r="AG13" s="808"/>
      <c r="AH13" s="808"/>
      <c r="AI13" s="808"/>
      <c r="AJ13" s="808"/>
      <c r="AK13" s="808"/>
      <c r="AL13" s="808"/>
      <c r="AM13" s="808"/>
      <c r="AN13" s="34"/>
    </row>
    <row r="14" spans="1:40" ht="14.25" x14ac:dyDescent="0.2">
      <c r="A14" s="807"/>
      <c r="B14" s="807"/>
      <c r="C14" s="807"/>
      <c r="D14" s="807"/>
      <c r="E14" s="807"/>
      <c r="F14" s="807"/>
      <c r="G14" s="807"/>
      <c r="H14" s="807"/>
      <c r="I14" s="807"/>
      <c r="J14" s="34"/>
      <c r="K14" s="808"/>
      <c r="L14" s="808"/>
      <c r="M14" s="808"/>
      <c r="N14" s="808"/>
      <c r="O14" s="808"/>
      <c r="P14" s="808"/>
      <c r="Q14" s="808"/>
      <c r="R14" s="808"/>
      <c r="S14" s="808"/>
      <c r="T14" s="34"/>
      <c r="U14" s="807"/>
      <c r="V14" s="807"/>
      <c r="W14" s="807"/>
      <c r="X14" s="807"/>
      <c r="Y14" s="807"/>
      <c r="Z14" s="807"/>
      <c r="AA14" s="807"/>
      <c r="AB14" s="807"/>
      <c r="AC14" s="807"/>
      <c r="AD14" s="34"/>
      <c r="AE14" s="808"/>
      <c r="AF14" s="808"/>
      <c r="AG14" s="808"/>
      <c r="AH14" s="808"/>
      <c r="AI14" s="808"/>
      <c r="AJ14" s="808"/>
      <c r="AK14" s="808"/>
      <c r="AL14" s="808"/>
      <c r="AM14" s="808"/>
      <c r="AN14" s="34"/>
    </row>
    <row r="15" spans="1:40" ht="14.25" x14ac:dyDescent="0.2">
      <c r="A15" s="807"/>
      <c r="B15" s="807"/>
      <c r="C15" s="807"/>
      <c r="D15" s="807"/>
      <c r="E15" s="807"/>
      <c r="F15" s="807"/>
      <c r="G15" s="807"/>
      <c r="H15" s="807"/>
      <c r="I15" s="807"/>
      <c r="J15" s="34"/>
      <c r="K15" s="808"/>
      <c r="L15" s="808"/>
      <c r="M15" s="808"/>
      <c r="N15" s="808"/>
      <c r="O15" s="808"/>
      <c r="P15" s="808"/>
      <c r="Q15" s="808"/>
      <c r="R15" s="808"/>
      <c r="S15" s="808"/>
      <c r="T15" s="34"/>
      <c r="U15" s="807"/>
      <c r="V15" s="807"/>
      <c r="W15" s="807"/>
      <c r="X15" s="807"/>
      <c r="Y15" s="807"/>
      <c r="Z15" s="807"/>
      <c r="AA15" s="807"/>
      <c r="AB15" s="807"/>
      <c r="AC15" s="807"/>
      <c r="AD15" s="34"/>
      <c r="AE15" s="808"/>
      <c r="AF15" s="808"/>
      <c r="AG15" s="808"/>
      <c r="AH15" s="808"/>
      <c r="AI15" s="808"/>
      <c r="AJ15" s="808"/>
      <c r="AK15" s="808"/>
      <c r="AL15" s="808"/>
      <c r="AM15" s="808"/>
      <c r="AN15" s="34"/>
    </row>
    <row r="16" spans="1:40" ht="14.85" customHeight="1" x14ac:dyDescent="0.2">
      <c r="A16" s="807"/>
      <c r="B16" s="807"/>
      <c r="C16" s="807"/>
      <c r="D16" s="807"/>
      <c r="E16" s="807"/>
      <c r="F16" s="807"/>
      <c r="G16" s="807"/>
      <c r="H16" s="807"/>
      <c r="I16" s="807"/>
      <c r="J16" s="34"/>
      <c r="K16" s="808"/>
      <c r="L16" s="808"/>
      <c r="M16" s="808"/>
      <c r="N16" s="808"/>
      <c r="O16" s="808"/>
      <c r="P16" s="808"/>
      <c r="Q16" s="808"/>
      <c r="R16" s="808"/>
      <c r="S16" s="808"/>
      <c r="T16" s="34"/>
      <c r="U16" s="807"/>
      <c r="V16" s="807"/>
      <c r="W16" s="807"/>
      <c r="X16" s="807"/>
      <c r="Y16" s="807"/>
      <c r="Z16" s="807"/>
      <c r="AA16" s="807"/>
      <c r="AB16" s="807"/>
      <c r="AC16" s="807"/>
      <c r="AD16" s="34"/>
      <c r="AE16" s="808"/>
      <c r="AF16" s="808"/>
      <c r="AG16" s="808"/>
      <c r="AH16" s="808"/>
      <c r="AI16" s="808"/>
      <c r="AJ16" s="808"/>
      <c r="AK16" s="808"/>
      <c r="AL16" s="808"/>
      <c r="AM16" s="808"/>
      <c r="AN16" s="34"/>
    </row>
    <row r="17" spans="1:43" ht="14.25" x14ac:dyDescent="0.2">
      <c r="A17" s="807"/>
      <c r="B17" s="807"/>
      <c r="C17" s="807"/>
      <c r="D17" s="807"/>
      <c r="E17" s="807"/>
      <c r="F17" s="807"/>
      <c r="G17" s="807"/>
      <c r="H17" s="807"/>
      <c r="I17" s="807"/>
      <c r="J17" s="34"/>
      <c r="K17" s="808"/>
      <c r="L17" s="808"/>
      <c r="M17" s="808"/>
      <c r="N17" s="808"/>
      <c r="O17" s="808"/>
      <c r="P17" s="808"/>
      <c r="Q17" s="808"/>
      <c r="R17" s="808"/>
      <c r="S17" s="808"/>
      <c r="T17" s="34"/>
      <c r="U17" s="807"/>
      <c r="V17" s="807"/>
      <c r="W17" s="807"/>
      <c r="X17" s="807"/>
      <c r="Y17" s="807"/>
      <c r="Z17" s="807"/>
      <c r="AA17" s="807"/>
      <c r="AB17" s="807"/>
      <c r="AC17" s="807"/>
      <c r="AD17" s="34"/>
      <c r="AE17" s="808"/>
      <c r="AF17" s="808"/>
      <c r="AG17" s="808"/>
      <c r="AH17" s="808"/>
      <c r="AI17" s="808"/>
      <c r="AJ17" s="808"/>
      <c r="AK17" s="808"/>
      <c r="AL17" s="808"/>
      <c r="AM17" s="808"/>
      <c r="AN17" s="34"/>
    </row>
    <row r="18" spans="1:43" ht="14.85" customHeight="1" x14ac:dyDescent="0.2">
      <c r="A18" s="807"/>
      <c r="B18" s="807"/>
      <c r="C18" s="807"/>
      <c r="D18" s="807"/>
      <c r="E18" s="807"/>
      <c r="F18" s="807"/>
      <c r="G18" s="807"/>
      <c r="H18" s="807"/>
      <c r="I18" s="807"/>
      <c r="J18" s="34"/>
      <c r="K18" s="808"/>
      <c r="L18" s="808"/>
      <c r="M18" s="808"/>
      <c r="N18" s="808"/>
      <c r="O18" s="808"/>
      <c r="P18" s="808"/>
      <c r="Q18" s="808"/>
      <c r="R18" s="808"/>
      <c r="S18" s="808"/>
      <c r="T18" s="34"/>
      <c r="U18" s="807"/>
      <c r="V18" s="807"/>
      <c r="W18" s="807"/>
      <c r="X18" s="807"/>
      <c r="Y18" s="807"/>
      <c r="Z18" s="807"/>
      <c r="AA18" s="807"/>
      <c r="AB18" s="807"/>
      <c r="AC18" s="807"/>
      <c r="AD18" s="34"/>
      <c r="AE18" s="808"/>
      <c r="AF18" s="808"/>
      <c r="AG18" s="808"/>
      <c r="AH18" s="808"/>
      <c r="AI18" s="808"/>
      <c r="AJ18" s="808"/>
      <c r="AK18" s="808"/>
      <c r="AL18" s="808"/>
      <c r="AM18" s="808"/>
      <c r="AN18" s="34"/>
    </row>
    <row r="19" spans="1:43" ht="14.25" x14ac:dyDescent="0.2">
      <c r="A19" s="807"/>
      <c r="B19" s="807"/>
      <c r="C19" s="807"/>
      <c r="D19" s="807"/>
      <c r="E19" s="807"/>
      <c r="F19" s="807"/>
      <c r="G19" s="807"/>
      <c r="H19" s="807"/>
      <c r="I19" s="807"/>
      <c r="J19" s="34"/>
      <c r="K19" s="808"/>
      <c r="L19" s="808"/>
      <c r="M19" s="808"/>
      <c r="N19" s="808"/>
      <c r="O19" s="808"/>
      <c r="P19" s="808"/>
      <c r="Q19" s="808"/>
      <c r="R19" s="808"/>
      <c r="S19" s="808"/>
      <c r="T19" s="34"/>
      <c r="U19" s="807"/>
      <c r="V19" s="807"/>
      <c r="W19" s="807"/>
      <c r="X19" s="807"/>
      <c r="Y19" s="807"/>
      <c r="Z19" s="807"/>
      <c r="AA19" s="807"/>
      <c r="AB19" s="807"/>
      <c r="AC19" s="807"/>
      <c r="AD19" s="34"/>
      <c r="AE19" s="808"/>
      <c r="AF19" s="808"/>
      <c r="AG19" s="808"/>
      <c r="AH19" s="808"/>
      <c r="AI19" s="808"/>
      <c r="AJ19" s="808"/>
      <c r="AK19" s="808"/>
      <c r="AL19" s="808"/>
      <c r="AM19" s="808"/>
      <c r="AN19" s="34"/>
    </row>
    <row r="20" spans="1:43" ht="14.25" x14ac:dyDescent="0.2">
      <c r="A20" s="807"/>
      <c r="B20" s="807"/>
      <c r="C20" s="807"/>
      <c r="D20" s="807"/>
      <c r="E20" s="807"/>
      <c r="F20" s="807"/>
      <c r="G20" s="807"/>
      <c r="H20" s="807"/>
      <c r="I20" s="807"/>
      <c r="J20" s="34"/>
      <c r="K20" s="808"/>
      <c r="L20" s="808"/>
      <c r="M20" s="808"/>
      <c r="N20" s="808"/>
      <c r="O20" s="808"/>
      <c r="P20" s="808"/>
      <c r="Q20" s="808"/>
      <c r="R20" s="808"/>
      <c r="S20" s="808"/>
      <c r="T20" s="34"/>
      <c r="U20" s="807"/>
      <c r="V20" s="807"/>
      <c r="W20" s="807"/>
      <c r="X20" s="807"/>
      <c r="Y20" s="807"/>
      <c r="Z20" s="807"/>
      <c r="AA20" s="807"/>
      <c r="AB20" s="807"/>
      <c r="AC20" s="807"/>
      <c r="AD20" s="34"/>
      <c r="AE20" s="808"/>
      <c r="AF20" s="808"/>
      <c r="AG20" s="808"/>
      <c r="AH20" s="808"/>
      <c r="AI20" s="808"/>
      <c r="AJ20" s="808"/>
      <c r="AK20" s="808"/>
      <c r="AL20" s="808"/>
      <c r="AM20" s="808"/>
      <c r="AN20" s="34"/>
    </row>
    <row r="21" spans="1:43" ht="14.25" x14ac:dyDescent="0.2">
      <c r="A21" s="807"/>
      <c r="B21" s="807"/>
      <c r="C21" s="807"/>
      <c r="D21" s="807"/>
      <c r="E21" s="807"/>
      <c r="F21" s="807"/>
      <c r="G21" s="807"/>
      <c r="H21" s="807"/>
      <c r="I21" s="807"/>
      <c r="J21" s="34"/>
      <c r="K21" s="808"/>
      <c r="L21" s="808"/>
      <c r="M21" s="808"/>
      <c r="N21" s="808"/>
      <c r="O21" s="808"/>
      <c r="P21" s="808"/>
      <c r="Q21" s="808"/>
      <c r="R21" s="808"/>
      <c r="S21" s="808"/>
      <c r="T21" s="34"/>
      <c r="U21" s="807"/>
      <c r="V21" s="807"/>
      <c r="W21" s="807"/>
      <c r="X21" s="807"/>
      <c r="Y21" s="807"/>
      <c r="Z21" s="807"/>
      <c r="AA21" s="807"/>
      <c r="AB21" s="807"/>
      <c r="AC21" s="807"/>
      <c r="AD21" s="34"/>
      <c r="AE21" s="808"/>
      <c r="AF21" s="808"/>
      <c r="AG21" s="808"/>
      <c r="AH21" s="808"/>
      <c r="AI21" s="808"/>
      <c r="AJ21" s="808"/>
      <c r="AK21" s="808"/>
      <c r="AL21" s="808"/>
      <c r="AM21" s="808"/>
      <c r="AN21" s="34"/>
    </row>
    <row r="22" spans="1:43" ht="14.25" x14ac:dyDescent="0.2">
      <c r="A22" s="807"/>
      <c r="B22" s="807"/>
      <c r="C22" s="807"/>
      <c r="D22" s="807"/>
      <c r="E22" s="807"/>
      <c r="F22" s="807"/>
      <c r="G22" s="807"/>
      <c r="H22" s="807"/>
      <c r="I22" s="807"/>
      <c r="J22" s="34"/>
      <c r="K22" s="808"/>
      <c r="L22" s="808"/>
      <c r="M22" s="808"/>
      <c r="N22" s="808"/>
      <c r="O22" s="808"/>
      <c r="P22" s="808"/>
      <c r="Q22" s="808"/>
      <c r="R22" s="808"/>
      <c r="S22" s="808"/>
      <c r="T22" s="34"/>
      <c r="U22" s="807"/>
      <c r="V22" s="807"/>
      <c r="W22" s="807"/>
      <c r="X22" s="807"/>
      <c r="Y22" s="807"/>
      <c r="Z22" s="807"/>
      <c r="AA22" s="807"/>
      <c r="AB22" s="807"/>
      <c r="AC22" s="807"/>
      <c r="AD22" s="34"/>
      <c r="AE22" s="808"/>
      <c r="AF22" s="808"/>
      <c r="AG22" s="808"/>
      <c r="AH22" s="808"/>
      <c r="AI22" s="808"/>
      <c r="AJ22" s="808"/>
      <c r="AK22" s="808"/>
      <c r="AL22" s="808"/>
      <c r="AM22" s="808"/>
      <c r="AN22" s="34"/>
    </row>
    <row r="23" spans="1:43" ht="14.25" x14ac:dyDescent="0.2">
      <c r="A23" s="807"/>
      <c r="B23" s="807"/>
      <c r="C23" s="807"/>
      <c r="D23" s="807"/>
      <c r="E23" s="807"/>
      <c r="F23" s="807"/>
      <c r="G23" s="807"/>
      <c r="H23" s="807"/>
      <c r="I23" s="807"/>
      <c r="J23" s="34"/>
      <c r="K23" s="808"/>
      <c r="L23" s="808"/>
      <c r="M23" s="808"/>
      <c r="N23" s="808"/>
      <c r="O23" s="808"/>
      <c r="P23" s="808"/>
      <c r="Q23" s="808"/>
      <c r="R23" s="808"/>
      <c r="S23" s="808"/>
      <c r="T23" s="34"/>
      <c r="U23" s="807"/>
      <c r="V23" s="807"/>
      <c r="W23" s="807"/>
      <c r="X23" s="807"/>
      <c r="Y23" s="807"/>
      <c r="Z23" s="807"/>
      <c r="AA23" s="807"/>
      <c r="AB23" s="807"/>
      <c r="AC23" s="807"/>
      <c r="AD23" s="34"/>
      <c r="AE23" s="808"/>
      <c r="AF23" s="808"/>
      <c r="AG23" s="808"/>
      <c r="AH23" s="808"/>
      <c r="AI23" s="808"/>
      <c r="AJ23" s="808"/>
      <c r="AK23" s="808"/>
      <c r="AL23" s="808"/>
      <c r="AM23" s="808"/>
      <c r="AN23" s="34"/>
    </row>
    <row r="24" spans="1:43" ht="14.25" x14ac:dyDescent="0.2">
      <c r="A24" s="807"/>
      <c r="B24" s="807"/>
      <c r="C24" s="807"/>
      <c r="D24" s="807"/>
      <c r="E24" s="807"/>
      <c r="F24" s="807"/>
      <c r="G24" s="807"/>
      <c r="H24" s="807"/>
      <c r="I24" s="807"/>
      <c r="J24" s="34"/>
      <c r="K24" s="808"/>
      <c r="L24" s="808"/>
      <c r="M24" s="808"/>
      <c r="N24" s="808"/>
      <c r="O24" s="808"/>
      <c r="P24" s="808"/>
      <c r="Q24" s="808"/>
      <c r="R24" s="808"/>
      <c r="S24" s="808"/>
      <c r="T24" s="34"/>
      <c r="U24" s="807"/>
      <c r="V24" s="807"/>
      <c r="W24" s="807"/>
      <c r="X24" s="807"/>
      <c r="Y24" s="807"/>
      <c r="Z24" s="807"/>
      <c r="AA24" s="807"/>
      <c r="AB24" s="807"/>
      <c r="AC24" s="807"/>
      <c r="AD24" s="34"/>
      <c r="AE24" s="808"/>
      <c r="AF24" s="808"/>
      <c r="AG24" s="808"/>
      <c r="AH24" s="808"/>
      <c r="AI24" s="808"/>
      <c r="AJ24" s="808"/>
      <c r="AK24" s="808"/>
      <c r="AL24" s="808"/>
      <c r="AM24" s="808"/>
      <c r="AN24" s="34"/>
    </row>
    <row r="25" spans="1:43" ht="14.25" x14ac:dyDescent="0.2">
      <c r="A25" s="807"/>
      <c r="B25" s="807"/>
      <c r="C25" s="807"/>
      <c r="D25" s="807"/>
      <c r="E25" s="807"/>
      <c r="F25" s="807"/>
      <c r="G25" s="807"/>
      <c r="H25" s="807"/>
      <c r="I25" s="807"/>
      <c r="J25" s="34"/>
      <c r="K25" s="808"/>
      <c r="L25" s="808"/>
      <c r="M25" s="808"/>
      <c r="N25" s="808"/>
      <c r="O25" s="808"/>
      <c r="P25" s="808"/>
      <c r="Q25" s="808"/>
      <c r="R25" s="808"/>
      <c r="S25" s="808"/>
      <c r="T25" s="34"/>
      <c r="U25" s="807"/>
      <c r="V25" s="807"/>
      <c r="W25" s="807"/>
      <c r="X25" s="807"/>
      <c r="Y25" s="807"/>
      <c r="Z25" s="807"/>
      <c r="AA25" s="807"/>
      <c r="AB25" s="807"/>
      <c r="AC25" s="807"/>
      <c r="AD25" s="34"/>
      <c r="AE25" s="808"/>
      <c r="AF25" s="808"/>
      <c r="AG25" s="808"/>
      <c r="AH25" s="808"/>
      <c r="AI25" s="808"/>
      <c r="AJ25" s="808"/>
      <c r="AK25" s="808"/>
      <c r="AL25" s="808"/>
      <c r="AM25" s="808"/>
      <c r="AN25" s="34"/>
    </row>
    <row r="26" spans="1:43" ht="14.25" x14ac:dyDescent="0.2">
      <c r="A26" s="807"/>
      <c r="B26" s="807"/>
      <c r="C26" s="807"/>
      <c r="D26" s="807"/>
      <c r="E26" s="807"/>
      <c r="F26" s="807"/>
      <c r="G26" s="807"/>
      <c r="H26" s="807"/>
      <c r="I26" s="807"/>
      <c r="J26" s="34"/>
      <c r="K26" s="808"/>
      <c r="L26" s="808"/>
      <c r="M26" s="808"/>
      <c r="N26" s="808"/>
      <c r="O26" s="808"/>
      <c r="P26" s="808"/>
      <c r="Q26" s="808"/>
      <c r="R26" s="808"/>
      <c r="S26" s="808"/>
      <c r="T26" s="34"/>
      <c r="U26" s="807"/>
      <c r="V26" s="807"/>
      <c r="W26" s="807"/>
      <c r="X26" s="807"/>
      <c r="Y26" s="807"/>
      <c r="Z26" s="807"/>
      <c r="AA26" s="807"/>
      <c r="AB26" s="807"/>
      <c r="AC26" s="807"/>
      <c r="AD26" s="34"/>
      <c r="AE26" s="808"/>
      <c r="AF26" s="808"/>
      <c r="AG26" s="808"/>
      <c r="AH26" s="808"/>
      <c r="AI26" s="808"/>
      <c r="AJ26" s="808"/>
      <c r="AK26" s="808"/>
      <c r="AL26" s="808"/>
      <c r="AM26" s="808"/>
      <c r="AN26" s="34"/>
      <c r="AQ26"/>
    </row>
    <row r="27" spans="1:43" ht="14.25" x14ac:dyDescent="0.2">
      <c r="A27" s="807"/>
      <c r="B27" s="807"/>
      <c r="C27" s="807"/>
      <c r="D27" s="807"/>
      <c r="E27" s="807"/>
      <c r="F27" s="807"/>
      <c r="G27" s="807"/>
      <c r="H27" s="807"/>
      <c r="I27" s="807"/>
      <c r="J27" s="34"/>
      <c r="K27" s="808"/>
      <c r="L27" s="808"/>
      <c r="M27" s="808"/>
      <c r="N27" s="808"/>
      <c r="O27" s="808"/>
      <c r="P27" s="808"/>
      <c r="Q27" s="808"/>
      <c r="R27" s="808"/>
      <c r="S27" s="808"/>
      <c r="T27" s="34"/>
      <c r="U27" s="807"/>
      <c r="V27" s="807"/>
      <c r="W27" s="807"/>
      <c r="X27" s="807"/>
      <c r="Y27" s="807"/>
      <c r="Z27" s="807"/>
      <c r="AA27" s="807"/>
      <c r="AB27" s="807"/>
      <c r="AC27" s="807"/>
      <c r="AD27" s="34"/>
      <c r="AE27" s="808"/>
      <c r="AF27" s="808"/>
      <c r="AG27" s="808"/>
      <c r="AH27" s="808"/>
      <c r="AI27" s="808"/>
      <c r="AJ27" s="808"/>
      <c r="AK27" s="808"/>
      <c r="AL27" s="808"/>
      <c r="AM27" s="808"/>
      <c r="AN27" s="34"/>
    </row>
    <row r="28" spans="1:43" ht="14.25" x14ac:dyDescent="0.2">
      <c r="A28" s="807"/>
      <c r="B28" s="807"/>
      <c r="C28" s="807"/>
      <c r="D28" s="807"/>
      <c r="E28" s="807"/>
      <c r="F28" s="807"/>
      <c r="G28" s="807"/>
      <c r="H28" s="807"/>
      <c r="I28" s="807"/>
      <c r="J28" s="34"/>
      <c r="K28" s="808"/>
      <c r="L28" s="808"/>
      <c r="M28" s="808"/>
      <c r="N28" s="808"/>
      <c r="O28" s="808"/>
      <c r="P28" s="808"/>
      <c r="Q28" s="808"/>
      <c r="R28" s="808"/>
      <c r="S28" s="808"/>
      <c r="T28" s="34"/>
      <c r="U28" s="807"/>
      <c r="V28" s="807"/>
      <c r="W28" s="807"/>
      <c r="X28" s="807"/>
      <c r="Y28" s="807"/>
      <c r="Z28" s="807"/>
      <c r="AA28" s="807"/>
      <c r="AB28" s="807"/>
      <c r="AC28" s="807"/>
      <c r="AD28" s="34"/>
      <c r="AE28" s="808"/>
      <c r="AF28" s="808"/>
      <c r="AG28" s="808"/>
      <c r="AH28" s="808"/>
      <c r="AI28" s="808"/>
      <c r="AJ28" s="808"/>
      <c r="AK28" s="808"/>
      <c r="AL28" s="808"/>
      <c r="AM28" s="808"/>
      <c r="AN28" s="34"/>
    </row>
    <row r="29" spans="1:43" ht="14.25" x14ac:dyDescent="0.2">
      <c r="A29" s="807"/>
      <c r="B29" s="807"/>
      <c r="C29" s="807"/>
      <c r="D29" s="807"/>
      <c r="E29" s="807"/>
      <c r="F29" s="807"/>
      <c r="G29" s="807"/>
      <c r="H29" s="807"/>
      <c r="I29" s="807"/>
      <c r="J29" s="34"/>
      <c r="K29" s="808"/>
      <c r="L29" s="808"/>
      <c r="M29" s="808"/>
      <c r="N29" s="808"/>
      <c r="O29" s="808"/>
      <c r="P29" s="808"/>
      <c r="Q29" s="808"/>
      <c r="R29" s="808"/>
      <c r="S29" s="808"/>
      <c r="T29" s="34"/>
      <c r="U29" s="807"/>
      <c r="V29" s="807"/>
      <c r="W29" s="807"/>
      <c r="X29" s="807"/>
      <c r="Y29" s="807"/>
      <c r="Z29" s="807"/>
      <c r="AA29" s="807"/>
      <c r="AB29" s="807"/>
      <c r="AC29" s="807"/>
      <c r="AD29" s="34"/>
      <c r="AE29" s="808"/>
      <c r="AF29" s="808"/>
      <c r="AG29" s="808"/>
      <c r="AH29" s="808"/>
      <c r="AI29" s="808"/>
      <c r="AJ29" s="808"/>
      <c r="AK29" s="808"/>
      <c r="AL29" s="808"/>
      <c r="AM29" s="808"/>
      <c r="AN29" s="34"/>
    </row>
    <row r="30" spans="1:43" ht="14.25" x14ac:dyDescent="0.2">
      <c r="A30" s="807"/>
      <c r="B30" s="807"/>
      <c r="C30" s="807"/>
      <c r="D30" s="807"/>
      <c r="E30" s="807"/>
      <c r="F30" s="807"/>
      <c r="G30" s="807"/>
      <c r="H30" s="807"/>
      <c r="I30" s="807"/>
      <c r="J30" s="34"/>
      <c r="K30" s="808"/>
      <c r="L30" s="808"/>
      <c r="M30" s="808"/>
      <c r="N30" s="808"/>
      <c r="O30" s="808"/>
      <c r="P30" s="808"/>
      <c r="Q30" s="808"/>
      <c r="R30" s="808"/>
      <c r="S30" s="808"/>
      <c r="T30" s="34"/>
      <c r="U30" s="807"/>
      <c r="V30" s="807"/>
      <c r="W30" s="807"/>
      <c r="X30" s="807"/>
      <c r="Y30" s="807"/>
      <c r="Z30" s="807"/>
      <c r="AA30" s="807"/>
      <c r="AB30" s="807"/>
      <c r="AC30" s="807"/>
      <c r="AD30" s="34"/>
      <c r="AE30" s="808"/>
      <c r="AF30" s="808"/>
      <c r="AG30" s="808"/>
      <c r="AH30" s="808"/>
      <c r="AI30" s="808"/>
      <c r="AJ30" s="808"/>
      <c r="AK30" s="808"/>
      <c r="AL30" s="808"/>
      <c r="AM30" s="808"/>
      <c r="AN30" s="34"/>
    </row>
    <row r="31" spans="1:43" ht="14.25" x14ac:dyDescent="0.2">
      <c r="A31" s="807"/>
      <c r="B31" s="807"/>
      <c r="C31" s="807"/>
      <c r="D31" s="807"/>
      <c r="E31" s="807"/>
      <c r="F31" s="807"/>
      <c r="G31" s="807"/>
      <c r="H31" s="807"/>
      <c r="I31" s="807"/>
      <c r="J31" s="34"/>
      <c r="K31" s="808"/>
      <c r="L31" s="808"/>
      <c r="M31" s="808"/>
      <c r="N31" s="808"/>
      <c r="O31" s="808"/>
      <c r="P31" s="808"/>
      <c r="Q31" s="808"/>
      <c r="R31" s="808"/>
      <c r="S31" s="808"/>
      <c r="T31" s="34"/>
      <c r="U31" s="807"/>
      <c r="V31" s="807"/>
      <c r="W31" s="807"/>
      <c r="X31" s="807"/>
      <c r="Y31" s="807"/>
      <c r="Z31" s="807"/>
      <c r="AA31" s="807"/>
      <c r="AB31" s="807"/>
      <c r="AC31" s="807"/>
      <c r="AD31" s="34"/>
      <c r="AE31" s="808"/>
      <c r="AF31" s="808"/>
      <c r="AG31" s="808"/>
      <c r="AH31" s="808"/>
      <c r="AI31" s="808"/>
      <c r="AJ31" s="808"/>
      <c r="AK31" s="808"/>
      <c r="AL31" s="808"/>
      <c r="AM31" s="808"/>
      <c r="AN31" s="34"/>
    </row>
    <row r="32" spans="1:43" ht="14.25" x14ac:dyDescent="0.2">
      <c r="A32" s="807"/>
      <c r="B32" s="807"/>
      <c r="C32" s="807"/>
      <c r="D32" s="807"/>
      <c r="E32" s="807"/>
      <c r="F32" s="807"/>
      <c r="G32" s="807"/>
      <c r="H32" s="807"/>
      <c r="I32" s="807"/>
      <c r="J32" s="34"/>
      <c r="K32" s="808"/>
      <c r="L32" s="808"/>
      <c r="M32" s="808"/>
      <c r="N32" s="808"/>
      <c r="O32" s="808"/>
      <c r="P32" s="808"/>
      <c r="Q32" s="808"/>
      <c r="R32" s="808"/>
      <c r="S32" s="808"/>
      <c r="T32" s="34"/>
      <c r="U32" s="807"/>
      <c r="V32" s="807"/>
      <c r="W32" s="807"/>
      <c r="X32" s="807"/>
      <c r="Y32" s="807"/>
      <c r="Z32" s="807"/>
      <c r="AA32" s="807"/>
      <c r="AB32" s="807"/>
      <c r="AC32" s="807"/>
      <c r="AD32" s="34"/>
      <c r="AE32" s="808"/>
      <c r="AF32" s="808"/>
      <c r="AG32" s="808"/>
      <c r="AH32" s="808"/>
      <c r="AI32" s="808"/>
      <c r="AJ32" s="808"/>
      <c r="AK32" s="808"/>
      <c r="AL32" s="808"/>
      <c r="AM32" s="808"/>
      <c r="AN32" s="34"/>
    </row>
    <row r="33" spans="1:40" ht="14.25" x14ac:dyDescent="0.2">
      <c r="A33" s="807"/>
      <c r="B33" s="807"/>
      <c r="C33" s="807"/>
      <c r="D33" s="807"/>
      <c r="E33" s="807"/>
      <c r="F33" s="807"/>
      <c r="G33" s="807"/>
      <c r="H33" s="807"/>
      <c r="I33" s="807"/>
      <c r="J33" s="34"/>
      <c r="K33" s="808"/>
      <c r="L33" s="808"/>
      <c r="M33" s="808"/>
      <c r="N33" s="808"/>
      <c r="O33" s="808"/>
      <c r="P33" s="808"/>
      <c r="Q33" s="808"/>
      <c r="R33" s="808"/>
      <c r="S33" s="808"/>
      <c r="T33" s="34"/>
      <c r="U33" s="807"/>
      <c r="V33" s="807"/>
      <c r="W33" s="807"/>
      <c r="X33" s="807"/>
      <c r="Y33" s="807"/>
      <c r="Z33" s="807"/>
      <c r="AA33" s="807"/>
      <c r="AB33" s="807"/>
      <c r="AC33" s="807"/>
      <c r="AD33" s="34"/>
      <c r="AE33" s="808"/>
      <c r="AF33" s="808"/>
      <c r="AG33" s="808"/>
      <c r="AH33" s="808"/>
      <c r="AI33" s="808"/>
      <c r="AJ33" s="808"/>
      <c r="AK33" s="808"/>
      <c r="AL33" s="808"/>
      <c r="AM33" s="808"/>
      <c r="AN33" s="34"/>
    </row>
    <row r="34" spans="1:40" ht="14.25" x14ac:dyDescent="0.2">
      <c r="A34" s="807"/>
      <c r="B34" s="807"/>
      <c r="C34" s="807"/>
      <c r="D34" s="807"/>
      <c r="E34" s="807"/>
      <c r="F34" s="807"/>
      <c r="G34" s="807"/>
      <c r="H34" s="807"/>
      <c r="I34" s="807"/>
      <c r="J34" s="34"/>
      <c r="K34" s="808"/>
      <c r="L34" s="808"/>
      <c r="M34" s="808"/>
      <c r="N34" s="808"/>
      <c r="O34" s="808"/>
      <c r="P34" s="808"/>
      <c r="Q34" s="808"/>
      <c r="R34" s="808"/>
      <c r="S34" s="808"/>
      <c r="T34" s="34"/>
      <c r="U34" s="807"/>
      <c r="V34" s="807"/>
      <c r="W34" s="807"/>
      <c r="X34" s="807"/>
      <c r="Y34" s="807"/>
      <c r="Z34" s="807"/>
      <c r="AA34" s="807"/>
      <c r="AB34" s="807"/>
      <c r="AC34" s="807"/>
      <c r="AD34" s="34"/>
      <c r="AE34" s="808"/>
      <c r="AF34" s="808"/>
      <c r="AG34" s="808"/>
      <c r="AH34" s="808"/>
      <c r="AI34" s="808"/>
      <c r="AJ34" s="808"/>
      <c r="AK34" s="808"/>
      <c r="AL34" s="808"/>
      <c r="AM34" s="808"/>
      <c r="AN34" s="34"/>
    </row>
    <row r="35" spans="1:40" ht="14.25" x14ac:dyDescent="0.2">
      <c r="A35" s="807"/>
      <c r="B35" s="807"/>
      <c r="C35" s="807"/>
      <c r="D35" s="807"/>
      <c r="E35" s="807"/>
      <c r="F35" s="807"/>
      <c r="G35" s="807"/>
      <c r="H35" s="807"/>
      <c r="I35" s="807"/>
      <c r="J35" s="34"/>
      <c r="K35" s="808"/>
      <c r="L35" s="808"/>
      <c r="M35" s="808"/>
      <c r="N35" s="808"/>
      <c r="O35" s="808"/>
      <c r="P35" s="808"/>
      <c r="Q35" s="808"/>
      <c r="R35" s="808"/>
      <c r="S35" s="808"/>
      <c r="T35" s="34"/>
      <c r="U35" s="807"/>
      <c r="V35" s="807"/>
      <c r="W35" s="807"/>
      <c r="X35" s="807"/>
      <c r="Y35" s="807"/>
      <c r="Z35" s="807"/>
      <c r="AA35" s="807"/>
      <c r="AB35" s="807"/>
      <c r="AC35" s="807"/>
      <c r="AD35" s="34"/>
      <c r="AE35" s="808"/>
      <c r="AF35" s="808"/>
      <c r="AG35" s="808"/>
      <c r="AH35" s="808"/>
      <c r="AI35" s="808"/>
      <c r="AJ35" s="808"/>
      <c r="AK35" s="808"/>
      <c r="AL35" s="808"/>
      <c r="AM35" s="808"/>
      <c r="AN35" s="34"/>
    </row>
    <row r="36" spans="1:40" ht="14.25" x14ac:dyDescent="0.2">
      <c r="A36" s="807"/>
      <c r="B36" s="807"/>
      <c r="C36" s="807"/>
      <c r="D36" s="807"/>
      <c r="E36" s="807"/>
      <c r="F36" s="807"/>
      <c r="G36" s="807"/>
      <c r="H36" s="807"/>
      <c r="I36" s="807"/>
      <c r="J36" s="34"/>
      <c r="K36" s="808"/>
      <c r="L36" s="808"/>
      <c r="M36" s="808"/>
      <c r="N36" s="808"/>
      <c r="O36" s="808"/>
      <c r="P36" s="808"/>
      <c r="Q36" s="808"/>
      <c r="R36" s="808"/>
      <c r="S36" s="808"/>
      <c r="T36" s="34"/>
      <c r="U36" s="807"/>
      <c r="V36" s="807"/>
      <c r="W36" s="807"/>
      <c r="X36" s="807"/>
      <c r="Y36" s="807"/>
      <c r="Z36" s="807"/>
      <c r="AA36" s="807"/>
      <c r="AB36" s="807"/>
      <c r="AC36" s="807"/>
      <c r="AD36" s="34"/>
      <c r="AE36" s="808"/>
      <c r="AF36" s="808"/>
      <c r="AG36" s="808"/>
      <c r="AH36" s="808"/>
      <c r="AI36" s="808"/>
      <c r="AJ36" s="808"/>
      <c r="AK36" s="808"/>
      <c r="AL36" s="808"/>
      <c r="AM36" s="808"/>
      <c r="AN36" s="34"/>
    </row>
    <row r="37" spans="1:40" ht="14.25" x14ac:dyDescent="0.2">
      <c r="A37" s="807"/>
      <c r="B37" s="807"/>
      <c r="C37" s="807"/>
      <c r="D37" s="807"/>
      <c r="E37" s="807"/>
      <c r="F37" s="807"/>
      <c r="G37" s="807"/>
      <c r="H37" s="807"/>
      <c r="I37" s="807"/>
      <c r="J37" s="34"/>
      <c r="K37" s="808"/>
      <c r="L37" s="808"/>
      <c r="M37" s="808"/>
      <c r="N37" s="808"/>
      <c r="O37" s="808"/>
      <c r="P37" s="808"/>
      <c r="Q37" s="808"/>
      <c r="R37" s="808"/>
      <c r="S37" s="808"/>
      <c r="T37" s="34"/>
      <c r="U37" s="807"/>
      <c r="V37" s="807"/>
      <c r="W37" s="807"/>
      <c r="X37" s="807"/>
      <c r="Y37" s="807"/>
      <c r="Z37" s="807"/>
      <c r="AA37" s="807"/>
      <c r="AB37" s="807"/>
      <c r="AC37" s="807"/>
      <c r="AD37" s="34"/>
      <c r="AE37" s="808"/>
      <c r="AF37" s="808"/>
      <c r="AG37" s="808"/>
      <c r="AH37" s="808"/>
      <c r="AI37" s="808"/>
      <c r="AJ37" s="808"/>
      <c r="AK37" s="808"/>
      <c r="AL37" s="808"/>
      <c r="AM37" s="808"/>
      <c r="AN37" s="34"/>
    </row>
    <row r="38" spans="1:40" ht="14.25" x14ac:dyDescent="0.2">
      <c r="A38" s="807"/>
      <c r="B38" s="807"/>
      <c r="C38" s="807"/>
      <c r="D38" s="807"/>
      <c r="E38" s="807"/>
      <c r="F38" s="807"/>
      <c r="G38" s="807"/>
      <c r="H38" s="807"/>
      <c r="I38" s="807"/>
      <c r="J38" s="34"/>
      <c r="K38" s="808"/>
      <c r="L38" s="808"/>
      <c r="M38" s="808"/>
      <c r="N38" s="808"/>
      <c r="O38" s="808"/>
      <c r="P38" s="808"/>
      <c r="Q38" s="808"/>
      <c r="R38" s="808"/>
      <c r="S38" s="808"/>
      <c r="T38" s="34"/>
      <c r="U38" s="807"/>
      <c r="V38" s="807"/>
      <c r="W38" s="807"/>
      <c r="X38" s="807"/>
      <c r="Y38" s="807"/>
      <c r="Z38" s="807"/>
      <c r="AA38" s="807"/>
      <c r="AB38" s="807"/>
      <c r="AC38" s="807"/>
      <c r="AD38" s="34"/>
      <c r="AE38" s="808"/>
      <c r="AF38" s="808"/>
      <c r="AG38" s="808"/>
      <c r="AH38" s="808"/>
      <c r="AI38" s="808"/>
      <c r="AJ38" s="808"/>
      <c r="AK38" s="808"/>
      <c r="AL38" s="808"/>
      <c r="AM38" s="808"/>
      <c r="AN38" s="34"/>
    </row>
    <row r="39" spans="1:40" ht="14.25" x14ac:dyDescent="0.2">
      <c r="A39" s="807"/>
      <c r="B39" s="807"/>
      <c r="C39" s="807"/>
      <c r="D39" s="807"/>
      <c r="E39" s="807"/>
      <c r="F39" s="807"/>
      <c r="G39" s="807"/>
      <c r="H39" s="807"/>
      <c r="I39" s="807"/>
      <c r="J39" s="34"/>
      <c r="K39" s="808"/>
      <c r="L39" s="808"/>
      <c r="M39" s="808"/>
      <c r="N39" s="808"/>
      <c r="O39" s="808"/>
      <c r="P39" s="808"/>
      <c r="Q39" s="808"/>
      <c r="R39" s="808"/>
      <c r="S39" s="808"/>
      <c r="T39" s="34"/>
      <c r="U39" s="807"/>
      <c r="V39" s="807"/>
      <c r="W39" s="807"/>
      <c r="X39" s="807"/>
      <c r="Y39" s="807"/>
      <c r="Z39" s="807"/>
      <c r="AA39" s="807"/>
      <c r="AB39" s="807"/>
      <c r="AC39" s="807"/>
      <c r="AD39" s="34"/>
      <c r="AE39" s="808"/>
      <c r="AF39" s="808"/>
      <c r="AG39" s="808"/>
      <c r="AH39" s="808"/>
      <c r="AI39" s="808"/>
      <c r="AJ39" s="808"/>
      <c r="AK39" s="808"/>
      <c r="AL39" s="808"/>
      <c r="AM39" s="808"/>
      <c r="AN39" s="34"/>
    </row>
    <row r="40" spans="1:40" ht="14.25" x14ac:dyDescent="0.2">
      <c r="A40" s="807"/>
      <c r="B40" s="807"/>
      <c r="C40" s="807"/>
      <c r="D40" s="807"/>
      <c r="E40" s="807"/>
      <c r="F40" s="807"/>
      <c r="G40" s="807"/>
      <c r="H40" s="807"/>
      <c r="I40" s="807"/>
      <c r="J40" s="34"/>
      <c r="K40" s="808"/>
      <c r="L40" s="808"/>
      <c r="M40" s="808"/>
      <c r="N40" s="808"/>
      <c r="O40" s="808"/>
      <c r="P40" s="808"/>
      <c r="Q40" s="808"/>
      <c r="R40" s="808"/>
      <c r="S40" s="808"/>
      <c r="T40" s="34"/>
      <c r="U40" s="807"/>
      <c r="V40" s="807"/>
      <c r="W40" s="807"/>
      <c r="X40" s="807"/>
      <c r="Y40" s="807"/>
      <c r="Z40" s="807"/>
      <c r="AA40" s="807"/>
      <c r="AB40" s="807"/>
      <c r="AC40" s="807"/>
      <c r="AD40" s="34"/>
      <c r="AE40" s="808"/>
      <c r="AF40" s="808"/>
      <c r="AG40" s="808"/>
      <c r="AH40" s="808"/>
      <c r="AI40" s="808"/>
      <c r="AJ40" s="808"/>
      <c r="AK40" s="808"/>
      <c r="AL40" s="808"/>
      <c r="AM40" s="808"/>
      <c r="AN40" s="34"/>
    </row>
    <row r="41" spans="1:40" ht="6" customHeight="1" x14ac:dyDescent="0.2">
      <c r="A41" s="31"/>
      <c r="B41" s="31"/>
      <c r="C41" s="31"/>
      <c r="D41" s="31"/>
      <c r="E41" s="31"/>
      <c r="F41" s="31"/>
      <c r="G41" s="31"/>
      <c r="H41" s="31"/>
      <c r="I41" s="31"/>
      <c r="J41" s="34"/>
      <c r="T41" s="34"/>
      <c r="U41" s="31"/>
      <c r="V41" s="31"/>
      <c r="W41" s="31"/>
      <c r="X41" s="31"/>
      <c r="Y41" s="31"/>
      <c r="Z41" s="31"/>
      <c r="AA41" s="31"/>
      <c r="AB41" s="31"/>
      <c r="AC41" s="31"/>
      <c r="AD41" s="34"/>
      <c r="AN41" s="34"/>
    </row>
    <row r="42" spans="1:40" ht="20.100000000000001" customHeight="1" x14ac:dyDescent="0.2">
      <c r="A42" s="810" t="s">
        <v>45</v>
      </c>
      <c r="B42" s="810"/>
      <c r="C42" s="810"/>
      <c r="D42" s="810"/>
      <c r="E42" s="810"/>
      <c r="F42" s="810"/>
      <c r="G42" s="810"/>
      <c r="H42" s="810"/>
      <c r="I42" s="810"/>
      <c r="J42" s="35"/>
      <c r="K42" s="810" t="s">
        <v>46</v>
      </c>
      <c r="L42" s="810"/>
      <c r="M42" s="810"/>
      <c r="N42" s="810"/>
      <c r="O42" s="810"/>
      <c r="P42" s="810"/>
      <c r="Q42" s="810"/>
      <c r="R42" s="810"/>
      <c r="S42" s="810"/>
      <c r="T42" s="35"/>
      <c r="U42" s="810" t="s">
        <v>47</v>
      </c>
      <c r="V42" s="810"/>
      <c r="W42" s="810"/>
      <c r="X42" s="810"/>
      <c r="Y42" s="810"/>
      <c r="Z42" s="810"/>
      <c r="AA42" s="810"/>
      <c r="AB42" s="810"/>
      <c r="AC42" s="810"/>
      <c r="AD42" s="35"/>
      <c r="AE42" s="810" t="s">
        <v>48</v>
      </c>
      <c r="AF42" s="810"/>
      <c r="AG42" s="810"/>
      <c r="AH42" s="810"/>
      <c r="AI42" s="810"/>
      <c r="AJ42" s="810"/>
      <c r="AK42" s="810"/>
      <c r="AL42" s="810"/>
      <c r="AM42" s="810"/>
      <c r="AN42" s="35"/>
    </row>
    <row r="43" spans="1:40" ht="6" customHeight="1" x14ac:dyDescent="0.2">
      <c r="A43" s="31"/>
      <c r="B43" s="31"/>
      <c r="C43" s="31"/>
      <c r="D43" s="31"/>
      <c r="E43" s="31"/>
      <c r="F43" s="31"/>
      <c r="G43" s="31"/>
      <c r="H43" s="31"/>
      <c r="I43" s="31"/>
      <c r="J43" s="34"/>
      <c r="T43" s="34"/>
      <c r="U43" s="31"/>
      <c r="V43" s="31"/>
      <c r="W43" s="31"/>
      <c r="X43" s="31"/>
      <c r="Y43" s="31"/>
      <c r="Z43" s="31"/>
      <c r="AA43" s="31"/>
      <c r="AB43" s="31"/>
      <c r="AC43" s="31"/>
      <c r="AD43" s="34"/>
      <c r="AN43" s="34"/>
    </row>
    <row r="44" spans="1:40" ht="14.1" customHeight="1" x14ac:dyDescent="0.2">
      <c r="A44" s="806" t="s">
        <v>49</v>
      </c>
      <c r="B44" s="807"/>
      <c r="C44" s="807"/>
      <c r="D44" s="807"/>
      <c r="E44" s="807"/>
      <c r="F44" s="807"/>
      <c r="G44" s="807"/>
      <c r="H44" s="807"/>
      <c r="I44" s="807"/>
      <c r="J44" s="34"/>
      <c r="K44" s="806" t="s">
        <v>50</v>
      </c>
      <c r="L44" s="811"/>
      <c r="M44" s="811"/>
      <c r="N44" s="811"/>
      <c r="O44" s="811"/>
      <c r="P44" s="811"/>
      <c r="Q44" s="811"/>
      <c r="R44" s="811"/>
      <c r="S44" s="811"/>
      <c r="T44" s="34"/>
      <c r="U44" s="806" t="s">
        <v>51</v>
      </c>
      <c r="V44" s="807"/>
      <c r="W44" s="807"/>
      <c r="X44" s="807"/>
      <c r="Y44" s="807"/>
      <c r="Z44" s="807"/>
      <c r="AA44" s="807"/>
      <c r="AB44" s="807"/>
      <c r="AC44" s="807"/>
      <c r="AD44" s="34"/>
      <c r="AE44" s="806" t="s">
        <v>52</v>
      </c>
      <c r="AF44" s="811"/>
      <c r="AG44" s="811"/>
      <c r="AH44" s="811"/>
      <c r="AI44" s="811"/>
      <c r="AJ44" s="811"/>
      <c r="AK44" s="811"/>
      <c r="AL44" s="811"/>
      <c r="AM44" s="811"/>
      <c r="AN44" s="34"/>
    </row>
    <row r="45" spans="1:40" ht="14.25" x14ac:dyDescent="0.2">
      <c r="A45" s="807"/>
      <c r="B45" s="807"/>
      <c r="C45" s="807"/>
      <c r="D45" s="807"/>
      <c r="E45" s="807"/>
      <c r="F45" s="807"/>
      <c r="G45" s="807"/>
      <c r="H45" s="807"/>
      <c r="I45" s="807"/>
      <c r="J45" s="34"/>
      <c r="K45" s="811"/>
      <c r="L45" s="811"/>
      <c r="M45" s="811"/>
      <c r="N45" s="811"/>
      <c r="O45" s="811"/>
      <c r="P45" s="811"/>
      <c r="Q45" s="811"/>
      <c r="R45" s="811"/>
      <c r="S45" s="811"/>
      <c r="T45" s="34"/>
      <c r="U45" s="807"/>
      <c r="V45" s="807"/>
      <c r="W45" s="807"/>
      <c r="X45" s="807"/>
      <c r="Y45" s="807"/>
      <c r="Z45" s="807"/>
      <c r="AA45" s="807"/>
      <c r="AB45" s="807"/>
      <c r="AC45" s="807"/>
      <c r="AD45" s="34"/>
      <c r="AE45" s="811"/>
      <c r="AF45" s="811"/>
      <c r="AG45" s="811"/>
      <c r="AH45" s="811"/>
      <c r="AI45" s="811"/>
      <c r="AJ45" s="811"/>
      <c r="AK45" s="811"/>
      <c r="AL45" s="811"/>
      <c r="AM45" s="811"/>
      <c r="AN45" s="34"/>
    </row>
    <row r="46" spans="1:40" ht="14.25" x14ac:dyDescent="0.2">
      <c r="A46" s="807"/>
      <c r="B46" s="807"/>
      <c r="C46" s="807"/>
      <c r="D46" s="807"/>
      <c r="E46" s="807"/>
      <c r="F46" s="807"/>
      <c r="G46" s="807"/>
      <c r="H46" s="807"/>
      <c r="I46" s="807"/>
      <c r="J46" s="34"/>
      <c r="K46" s="811"/>
      <c r="L46" s="811"/>
      <c r="M46" s="811"/>
      <c r="N46" s="811"/>
      <c r="O46" s="811"/>
      <c r="P46" s="811"/>
      <c r="Q46" s="811"/>
      <c r="R46" s="811"/>
      <c r="S46" s="811"/>
      <c r="T46" s="34"/>
      <c r="U46" s="807"/>
      <c r="V46" s="807"/>
      <c r="W46" s="807"/>
      <c r="X46" s="807"/>
      <c r="Y46" s="807"/>
      <c r="Z46" s="807"/>
      <c r="AA46" s="807"/>
      <c r="AB46" s="807"/>
      <c r="AC46" s="807"/>
      <c r="AD46" s="34"/>
      <c r="AE46" s="811"/>
      <c r="AF46" s="811"/>
      <c r="AG46" s="811"/>
      <c r="AH46" s="811"/>
      <c r="AI46" s="811"/>
      <c r="AJ46" s="811"/>
      <c r="AK46" s="811"/>
      <c r="AL46" s="811"/>
      <c r="AM46" s="811"/>
      <c r="AN46" s="34"/>
    </row>
    <row r="47" spans="1:40" ht="14.25" x14ac:dyDescent="0.2">
      <c r="A47" s="807"/>
      <c r="B47" s="807"/>
      <c r="C47" s="807"/>
      <c r="D47" s="807"/>
      <c r="E47" s="807"/>
      <c r="F47" s="807"/>
      <c r="G47" s="807"/>
      <c r="H47" s="807"/>
      <c r="I47" s="807"/>
      <c r="J47" s="34"/>
      <c r="K47" s="811"/>
      <c r="L47" s="811"/>
      <c r="M47" s="811"/>
      <c r="N47" s="811"/>
      <c r="O47" s="811"/>
      <c r="P47" s="811"/>
      <c r="Q47" s="811"/>
      <c r="R47" s="811"/>
      <c r="S47" s="811"/>
      <c r="T47" s="34"/>
      <c r="U47" s="807"/>
      <c r="V47" s="807"/>
      <c r="W47" s="807"/>
      <c r="X47" s="807"/>
      <c r="Y47" s="807"/>
      <c r="Z47" s="807"/>
      <c r="AA47" s="807"/>
      <c r="AB47" s="807"/>
      <c r="AC47" s="807"/>
      <c r="AD47" s="34"/>
      <c r="AE47" s="811"/>
      <c r="AF47" s="811"/>
      <c r="AG47" s="811"/>
      <c r="AH47" s="811"/>
      <c r="AI47" s="811"/>
      <c r="AJ47" s="811"/>
      <c r="AK47" s="811"/>
      <c r="AL47" s="811"/>
      <c r="AM47" s="811"/>
      <c r="AN47" s="34"/>
    </row>
    <row r="48" spans="1:40" ht="14.25" x14ac:dyDescent="0.2">
      <c r="A48" s="807"/>
      <c r="B48" s="807"/>
      <c r="C48" s="807"/>
      <c r="D48" s="807"/>
      <c r="E48" s="807"/>
      <c r="F48" s="807"/>
      <c r="G48" s="807"/>
      <c r="H48" s="807"/>
      <c r="I48" s="807"/>
      <c r="J48" s="34"/>
      <c r="K48" s="811"/>
      <c r="L48" s="811"/>
      <c r="M48" s="811"/>
      <c r="N48" s="811"/>
      <c r="O48" s="811"/>
      <c r="P48" s="811"/>
      <c r="Q48" s="811"/>
      <c r="R48" s="811"/>
      <c r="S48" s="811"/>
      <c r="T48" s="34"/>
      <c r="U48" s="807"/>
      <c r="V48" s="807"/>
      <c r="W48" s="807"/>
      <c r="X48" s="807"/>
      <c r="Y48" s="807"/>
      <c r="Z48" s="807"/>
      <c r="AA48" s="807"/>
      <c r="AB48" s="807"/>
      <c r="AC48" s="807"/>
      <c r="AD48" s="34"/>
      <c r="AE48" s="811"/>
      <c r="AF48" s="811"/>
      <c r="AG48" s="811"/>
      <c r="AH48" s="811"/>
      <c r="AI48" s="811"/>
      <c r="AJ48" s="811"/>
      <c r="AK48" s="811"/>
      <c r="AL48" s="811"/>
      <c r="AM48" s="811"/>
      <c r="AN48" s="34"/>
    </row>
    <row r="49" spans="1:40" ht="14.25" x14ac:dyDescent="0.2">
      <c r="A49" s="807"/>
      <c r="B49" s="807"/>
      <c r="C49" s="807"/>
      <c r="D49" s="807"/>
      <c r="E49" s="807"/>
      <c r="F49" s="807"/>
      <c r="G49" s="807"/>
      <c r="H49" s="807"/>
      <c r="I49" s="807"/>
      <c r="J49" s="34"/>
      <c r="K49" s="811"/>
      <c r="L49" s="811"/>
      <c r="M49" s="811"/>
      <c r="N49" s="811"/>
      <c r="O49" s="811"/>
      <c r="P49" s="811"/>
      <c r="Q49" s="811"/>
      <c r="R49" s="811"/>
      <c r="S49" s="811"/>
      <c r="T49" s="34"/>
      <c r="U49" s="807"/>
      <c r="V49" s="807"/>
      <c r="W49" s="807"/>
      <c r="X49" s="807"/>
      <c r="Y49" s="807"/>
      <c r="Z49" s="807"/>
      <c r="AA49" s="807"/>
      <c r="AB49" s="807"/>
      <c r="AC49" s="807"/>
      <c r="AD49" s="34"/>
      <c r="AE49" s="811"/>
      <c r="AF49" s="811"/>
      <c r="AG49" s="811"/>
      <c r="AH49" s="811"/>
      <c r="AI49" s="811"/>
      <c r="AJ49" s="811"/>
      <c r="AK49" s="811"/>
      <c r="AL49" s="811"/>
      <c r="AM49" s="811"/>
      <c r="AN49" s="34"/>
    </row>
    <row r="50" spans="1:40" ht="14.25" x14ac:dyDescent="0.2">
      <c r="A50" s="807"/>
      <c r="B50" s="807"/>
      <c r="C50" s="807"/>
      <c r="D50" s="807"/>
      <c r="E50" s="807"/>
      <c r="F50" s="807"/>
      <c r="G50" s="807"/>
      <c r="H50" s="807"/>
      <c r="I50" s="807"/>
      <c r="J50" s="34"/>
      <c r="K50" s="811"/>
      <c r="L50" s="811"/>
      <c r="M50" s="811"/>
      <c r="N50" s="811"/>
      <c r="O50" s="811"/>
      <c r="P50" s="811"/>
      <c r="Q50" s="811"/>
      <c r="R50" s="811"/>
      <c r="S50" s="811"/>
      <c r="T50" s="34"/>
      <c r="U50" s="807"/>
      <c r="V50" s="807"/>
      <c r="W50" s="807"/>
      <c r="X50" s="807"/>
      <c r="Y50" s="807"/>
      <c r="Z50" s="807"/>
      <c r="AA50" s="807"/>
      <c r="AB50" s="807"/>
      <c r="AC50" s="807"/>
      <c r="AD50" s="34"/>
      <c r="AE50" s="811"/>
      <c r="AF50" s="811"/>
      <c r="AG50" s="811"/>
      <c r="AH50" s="811"/>
      <c r="AI50" s="811"/>
      <c r="AJ50" s="811"/>
      <c r="AK50" s="811"/>
      <c r="AL50" s="811"/>
      <c r="AM50" s="811"/>
      <c r="AN50" s="34"/>
    </row>
    <row r="51" spans="1:40" ht="14.25" x14ac:dyDescent="0.2">
      <c r="A51" s="807"/>
      <c r="B51" s="807"/>
      <c r="C51" s="807"/>
      <c r="D51" s="807"/>
      <c r="E51" s="807"/>
      <c r="F51" s="807"/>
      <c r="G51" s="807"/>
      <c r="H51" s="807"/>
      <c r="I51" s="807"/>
      <c r="J51" s="34"/>
      <c r="K51" s="811"/>
      <c r="L51" s="811"/>
      <c r="M51" s="811"/>
      <c r="N51" s="811"/>
      <c r="O51" s="811"/>
      <c r="P51" s="811"/>
      <c r="Q51" s="811"/>
      <c r="R51" s="811"/>
      <c r="S51" s="811"/>
      <c r="T51" s="34"/>
      <c r="U51" s="807"/>
      <c r="V51" s="807"/>
      <c r="W51" s="807"/>
      <c r="X51" s="807"/>
      <c r="Y51" s="807"/>
      <c r="Z51" s="807"/>
      <c r="AA51" s="807"/>
      <c r="AB51" s="807"/>
      <c r="AC51" s="807"/>
      <c r="AD51" s="34"/>
      <c r="AE51" s="811"/>
      <c r="AF51" s="811"/>
      <c r="AG51" s="811"/>
      <c r="AH51" s="811"/>
      <c r="AI51" s="811"/>
      <c r="AJ51" s="811"/>
      <c r="AK51" s="811"/>
      <c r="AL51" s="811"/>
      <c r="AM51" s="811"/>
      <c r="AN51" s="34"/>
    </row>
    <row r="52" spans="1:40" ht="14.25" x14ac:dyDescent="0.2">
      <c r="A52" s="807"/>
      <c r="B52" s="807"/>
      <c r="C52" s="807"/>
      <c r="D52" s="807"/>
      <c r="E52" s="807"/>
      <c r="F52" s="807"/>
      <c r="G52" s="807"/>
      <c r="H52" s="807"/>
      <c r="I52" s="807"/>
      <c r="J52" s="34"/>
      <c r="K52" s="811"/>
      <c r="L52" s="811"/>
      <c r="M52" s="811"/>
      <c r="N52" s="811"/>
      <c r="O52" s="811"/>
      <c r="P52" s="811"/>
      <c r="Q52" s="811"/>
      <c r="R52" s="811"/>
      <c r="S52" s="811"/>
      <c r="T52" s="34"/>
      <c r="U52" s="807"/>
      <c r="V52" s="807"/>
      <c r="W52" s="807"/>
      <c r="X52" s="807"/>
      <c r="Y52" s="807"/>
      <c r="Z52" s="807"/>
      <c r="AA52" s="807"/>
      <c r="AB52" s="807"/>
      <c r="AC52" s="807"/>
      <c r="AD52" s="34"/>
      <c r="AE52" s="811"/>
      <c r="AF52" s="811"/>
      <c r="AG52" s="811"/>
      <c r="AH52" s="811"/>
      <c r="AI52" s="811"/>
      <c r="AJ52" s="811"/>
      <c r="AK52" s="811"/>
      <c r="AL52" s="811"/>
      <c r="AM52" s="811"/>
      <c r="AN52" s="34"/>
    </row>
    <row r="53" spans="1:40" ht="14.25" x14ac:dyDescent="0.2">
      <c r="A53" s="807"/>
      <c r="B53" s="807"/>
      <c r="C53" s="807"/>
      <c r="D53" s="807"/>
      <c r="E53" s="807"/>
      <c r="F53" s="807"/>
      <c r="G53" s="807"/>
      <c r="H53" s="807"/>
      <c r="I53" s="807"/>
      <c r="J53" s="34"/>
      <c r="K53" s="811"/>
      <c r="L53" s="811"/>
      <c r="M53" s="811"/>
      <c r="N53" s="811"/>
      <c r="O53" s="811"/>
      <c r="P53" s="811"/>
      <c r="Q53" s="811"/>
      <c r="R53" s="811"/>
      <c r="S53" s="811"/>
      <c r="T53" s="34"/>
      <c r="U53" s="807"/>
      <c r="V53" s="807"/>
      <c r="W53" s="807"/>
      <c r="X53" s="807"/>
      <c r="Y53" s="807"/>
      <c r="Z53" s="807"/>
      <c r="AA53" s="807"/>
      <c r="AB53" s="807"/>
      <c r="AC53" s="807"/>
      <c r="AD53" s="34"/>
      <c r="AE53" s="811"/>
      <c r="AF53" s="811"/>
      <c r="AG53" s="811"/>
      <c r="AH53" s="811"/>
      <c r="AI53" s="811"/>
      <c r="AJ53" s="811"/>
      <c r="AK53" s="811"/>
      <c r="AL53" s="811"/>
      <c r="AM53" s="811"/>
      <c r="AN53" s="34"/>
    </row>
    <row r="54" spans="1:40" ht="14.25" x14ac:dyDescent="0.2">
      <c r="A54" s="807"/>
      <c r="B54" s="807"/>
      <c r="C54" s="807"/>
      <c r="D54" s="807"/>
      <c r="E54" s="807"/>
      <c r="F54" s="807"/>
      <c r="G54" s="807"/>
      <c r="H54" s="807"/>
      <c r="I54" s="807"/>
      <c r="J54" s="34"/>
      <c r="K54" s="811"/>
      <c r="L54" s="811"/>
      <c r="M54" s="811"/>
      <c r="N54" s="811"/>
      <c r="O54" s="811"/>
      <c r="P54" s="811"/>
      <c r="Q54" s="811"/>
      <c r="R54" s="811"/>
      <c r="S54" s="811"/>
      <c r="T54" s="34"/>
      <c r="U54" s="807"/>
      <c r="V54" s="807"/>
      <c r="W54" s="807"/>
      <c r="X54" s="807"/>
      <c r="Y54" s="807"/>
      <c r="Z54" s="807"/>
      <c r="AA54" s="807"/>
      <c r="AB54" s="807"/>
      <c r="AC54" s="807"/>
      <c r="AD54" s="34"/>
      <c r="AE54" s="811"/>
      <c r="AF54" s="811"/>
      <c r="AG54" s="811"/>
      <c r="AH54" s="811"/>
      <c r="AI54" s="811"/>
      <c r="AJ54" s="811"/>
      <c r="AK54" s="811"/>
      <c r="AL54" s="811"/>
      <c r="AM54" s="811"/>
      <c r="AN54" s="34"/>
    </row>
    <row r="55" spans="1:40" ht="14.25" x14ac:dyDescent="0.2">
      <c r="A55" s="807"/>
      <c r="B55" s="807"/>
      <c r="C55" s="807"/>
      <c r="D55" s="807"/>
      <c r="E55" s="807"/>
      <c r="F55" s="807"/>
      <c r="G55" s="807"/>
      <c r="H55" s="807"/>
      <c r="I55" s="807"/>
      <c r="J55" s="34"/>
      <c r="K55" s="811"/>
      <c r="L55" s="811"/>
      <c r="M55" s="811"/>
      <c r="N55" s="811"/>
      <c r="O55" s="811"/>
      <c r="P55" s="811"/>
      <c r="Q55" s="811"/>
      <c r="R55" s="811"/>
      <c r="S55" s="811"/>
      <c r="T55" s="34"/>
      <c r="U55" s="807"/>
      <c r="V55" s="807"/>
      <c r="W55" s="807"/>
      <c r="X55" s="807"/>
      <c r="Y55" s="807"/>
      <c r="Z55" s="807"/>
      <c r="AA55" s="807"/>
      <c r="AB55" s="807"/>
      <c r="AC55" s="807"/>
      <c r="AD55" s="34"/>
      <c r="AE55" s="811"/>
      <c r="AF55" s="811"/>
      <c r="AG55" s="811"/>
      <c r="AH55" s="811"/>
      <c r="AI55" s="811"/>
      <c r="AJ55" s="811"/>
      <c r="AK55" s="811"/>
      <c r="AL55" s="811"/>
      <c r="AM55" s="811"/>
      <c r="AN55" s="34"/>
    </row>
    <row r="56" spans="1:40" ht="14.25" x14ac:dyDescent="0.2">
      <c r="A56" s="807"/>
      <c r="B56" s="807"/>
      <c r="C56" s="807"/>
      <c r="D56" s="807"/>
      <c r="E56" s="807"/>
      <c r="F56" s="807"/>
      <c r="G56" s="807"/>
      <c r="H56" s="807"/>
      <c r="I56" s="807"/>
      <c r="J56" s="34"/>
      <c r="K56" s="811"/>
      <c r="L56" s="811"/>
      <c r="M56" s="811"/>
      <c r="N56" s="811"/>
      <c r="O56" s="811"/>
      <c r="P56" s="811"/>
      <c r="Q56" s="811"/>
      <c r="R56" s="811"/>
      <c r="S56" s="811"/>
      <c r="T56" s="34"/>
      <c r="U56" s="807"/>
      <c r="V56" s="807"/>
      <c r="W56" s="807"/>
      <c r="X56" s="807"/>
      <c r="Y56" s="807"/>
      <c r="Z56" s="807"/>
      <c r="AA56" s="807"/>
      <c r="AB56" s="807"/>
      <c r="AC56" s="807"/>
      <c r="AD56" s="34"/>
      <c r="AE56" s="811"/>
      <c r="AF56" s="811"/>
      <c r="AG56" s="811"/>
      <c r="AH56" s="811"/>
      <c r="AI56" s="811"/>
      <c r="AJ56" s="811"/>
      <c r="AK56" s="811"/>
      <c r="AL56" s="811"/>
      <c r="AM56" s="811"/>
      <c r="AN56" s="34"/>
    </row>
    <row r="57" spans="1:40" ht="14.25" x14ac:dyDescent="0.2">
      <c r="A57" s="807"/>
      <c r="B57" s="807"/>
      <c r="C57" s="807"/>
      <c r="D57" s="807"/>
      <c r="E57" s="807"/>
      <c r="F57" s="807"/>
      <c r="G57" s="807"/>
      <c r="H57" s="807"/>
      <c r="I57" s="807"/>
      <c r="J57" s="34"/>
      <c r="K57" s="811"/>
      <c r="L57" s="811"/>
      <c r="M57" s="811"/>
      <c r="N57" s="811"/>
      <c r="O57" s="811"/>
      <c r="P57" s="811"/>
      <c r="Q57" s="811"/>
      <c r="R57" s="811"/>
      <c r="S57" s="811"/>
      <c r="T57" s="34"/>
      <c r="U57" s="807"/>
      <c r="V57" s="807"/>
      <c r="W57" s="807"/>
      <c r="X57" s="807"/>
      <c r="Y57" s="807"/>
      <c r="Z57" s="807"/>
      <c r="AA57" s="807"/>
      <c r="AB57" s="807"/>
      <c r="AC57" s="807"/>
      <c r="AD57" s="34"/>
      <c r="AE57" s="811"/>
      <c r="AF57" s="811"/>
      <c r="AG57" s="811"/>
      <c r="AH57" s="811"/>
      <c r="AI57" s="811"/>
      <c r="AJ57" s="811"/>
      <c r="AK57" s="811"/>
      <c r="AL57" s="811"/>
      <c r="AM57" s="811"/>
      <c r="AN57" s="34"/>
    </row>
    <row r="58" spans="1:40" ht="14.25" x14ac:dyDescent="0.2">
      <c r="A58" s="807"/>
      <c r="B58" s="807"/>
      <c r="C58" s="807"/>
      <c r="D58" s="807"/>
      <c r="E58" s="807"/>
      <c r="F58" s="807"/>
      <c r="G58" s="807"/>
      <c r="H58" s="807"/>
      <c r="I58" s="807"/>
      <c r="J58" s="34"/>
      <c r="K58" s="811"/>
      <c r="L58" s="811"/>
      <c r="M58" s="811"/>
      <c r="N58" s="811"/>
      <c r="O58" s="811"/>
      <c r="P58" s="811"/>
      <c r="Q58" s="811"/>
      <c r="R58" s="811"/>
      <c r="S58" s="811"/>
      <c r="T58" s="34"/>
      <c r="U58" s="807"/>
      <c r="V58" s="807"/>
      <c r="W58" s="807"/>
      <c r="X58" s="807"/>
      <c r="Y58" s="807"/>
      <c r="Z58" s="807"/>
      <c r="AA58" s="807"/>
      <c r="AB58" s="807"/>
      <c r="AC58" s="807"/>
      <c r="AD58" s="34"/>
      <c r="AE58" s="811"/>
      <c r="AF58" s="811"/>
      <c r="AG58" s="811"/>
      <c r="AH58" s="811"/>
      <c r="AI58" s="811"/>
      <c r="AJ58" s="811"/>
      <c r="AK58" s="811"/>
      <c r="AL58" s="811"/>
      <c r="AM58" s="811"/>
      <c r="AN58" s="34"/>
    </row>
    <row r="59" spans="1:40" ht="14.25" x14ac:dyDescent="0.2">
      <c r="A59" s="807"/>
      <c r="B59" s="807"/>
      <c r="C59" s="807"/>
      <c r="D59" s="807"/>
      <c r="E59" s="807"/>
      <c r="F59" s="807"/>
      <c r="G59" s="807"/>
      <c r="H59" s="807"/>
      <c r="I59" s="807"/>
      <c r="J59" s="34"/>
      <c r="K59" s="811"/>
      <c r="L59" s="811"/>
      <c r="M59" s="811"/>
      <c r="N59" s="811"/>
      <c r="O59" s="811"/>
      <c r="P59" s="811"/>
      <c r="Q59" s="811"/>
      <c r="R59" s="811"/>
      <c r="S59" s="811"/>
      <c r="T59" s="34"/>
      <c r="U59" s="807"/>
      <c r="V59" s="807"/>
      <c r="W59" s="807"/>
      <c r="X59" s="807"/>
      <c r="Y59" s="807"/>
      <c r="Z59" s="807"/>
      <c r="AA59" s="807"/>
      <c r="AB59" s="807"/>
      <c r="AC59" s="807"/>
      <c r="AD59" s="34"/>
      <c r="AE59" s="811"/>
      <c r="AF59" s="811"/>
      <c r="AG59" s="811"/>
      <c r="AH59" s="811"/>
      <c r="AI59" s="811"/>
      <c r="AJ59" s="811"/>
      <c r="AK59" s="811"/>
      <c r="AL59" s="811"/>
      <c r="AM59" s="811"/>
      <c r="AN59" s="34"/>
    </row>
    <row r="60" spans="1:40" ht="14.25" x14ac:dyDescent="0.2">
      <c r="A60" s="807"/>
      <c r="B60" s="807"/>
      <c r="C60" s="807"/>
      <c r="D60" s="807"/>
      <c r="E60" s="807"/>
      <c r="F60" s="807"/>
      <c r="G60" s="807"/>
      <c r="H60" s="807"/>
      <c r="I60" s="807"/>
      <c r="J60" s="34"/>
      <c r="K60" s="811"/>
      <c r="L60" s="811"/>
      <c r="M60" s="811"/>
      <c r="N60" s="811"/>
      <c r="O60" s="811"/>
      <c r="P60" s="811"/>
      <c r="Q60" s="811"/>
      <c r="R60" s="811"/>
      <c r="S60" s="811"/>
      <c r="T60" s="34"/>
      <c r="U60" s="807"/>
      <c r="V60" s="807"/>
      <c r="W60" s="807"/>
      <c r="X60" s="807"/>
      <c r="Y60" s="807"/>
      <c r="Z60" s="807"/>
      <c r="AA60" s="807"/>
      <c r="AB60" s="807"/>
      <c r="AC60" s="807"/>
      <c r="AD60" s="34"/>
      <c r="AE60" s="811"/>
      <c r="AF60" s="811"/>
      <c r="AG60" s="811"/>
      <c r="AH60" s="811"/>
      <c r="AI60" s="811"/>
      <c r="AJ60" s="811"/>
      <c r="AK60" s="811"/>
      <c r="AL60" s="811"/>
      <c r="AM60" s="811"/>
      <c r="AN60" s="34"/>
    </row>
    <row r="61" spans="1:40" ht="14.25" x14ac:dyDescent="0.2">
      <c r="A61" s="807"/>
      <c r="B61" s="807"/>
      <c r="C61" s="807"/>
      <c r="D61" s="807"/>
      <c r="E61" s="807"/>
      <c r="F61" s="807"/>
      <c r="G61" s="807"/>
      <c r="H61" s="807"/>
      <c r="I61" s="807"/>
      <c r="J61" s="34"/>
      <c r="K61" s="811"/>
      <c r="L61" s="811"/>
      <c r="M61" s="811"/>
      <c r="N61" s="811"/>
      <c r="O61" s="811"/>
      <c r="P61" s="811"/>
      <c r="Q61" s="811"/>
      <c r="R61" s="811"/>
      <c r="S61" s="811"/>
      <c r="T61" s="34"/>
      <c r="U61" s="807"/>
      <c r="V61" s="807"/>
      <c r="W61" s="807"/>
      <c r="X61" s="807"/>
      <c r="Y61" s="807"/>
      <c r="Z61" s="807"/>
      <c r="AA61" s="807"/>
      <c r="AB61" s="807"/>
      <c r="AC61" s="807"/>
      <c r="AD61" s="34"/>
      <c r="AE61" s="811"/>
      <c r="AF61" s="811"/>
      <c r="AG61" s="811"/>
      <c r="AH61" s="811"/>
      <c r="AI61" s="811"/>
      <c r="AJ61" s="811"/>
      <c r="AK61" s="811"/>
      <c r="AL61" s="811"/>
      <c r="AM61" s="811"/>
      <c r="AN61" s="34"/>
    </row>
    <row r="62" spans="1:40" ht="14.25" x14ac:dyDescent="0.2">
      <c r="A62" s="807"/>
      <c r="B62" s="807"/>
      <c r="C62" s="807"/>
      <c r="D62" s="807"/>
      <c r="E62" s="807"/>
      <c r="F62" s="807"/>
      <c r="G62" s="807"/>
      <c r="H62" s="807"/>
      <c r="I62" s="807"/>
      <c r="J62" s="34"/>
      <c r="K62" s="811"/>
      <c r="L62" s="811"/>
      <c r="M62" s="811"/>
      <c r="N62" s="811"/>
      <c r="O62" s="811"/>
      <c r="P62" s="811"/>
      <c r="Q62" s="811"/>
      <c r="R62" s="811"/>
      <c r="S62" s="811"/>
      <c r="T62" s="34"/>
      <c r="U62" s="807"/>
      <c r="V62" s="807"/>
      <c r="W62" s="807"/>
      <c r="X62" s="807"/>
      <c r="Y62" s="807"/>
      <c r="Z62" s="807"/>
      <c r="AA62" s="807"/>
      <c r="AB62" s="807"/>
      <c r="AC62" s="807"/>
      <c r="AD62" s="34"/>
      <c r="AE62" s="811"/>
      <c r="AF62" s="811"/>
      <c r="AG62" s="811"/>
      <c r="AH62" s="811"/>
      <c r="AI62" s="811"/>
      <c r="AJ62" s="811"/>
      <c r="AK62" s="811"/>
      <c r="AL62" s="811"/>
      <c r="AM62" s="811"/>
      <c r="AN62" s="34"/>
    </row>
    <row r="63" spans="1:40" ht="14.25" x14ac:dyDescent="0.2">
      <c r="A63" s="807"/>
      <c r="B63" s="807"/>
      <c r="C63" s="807"/>
      <c r="D63" s="807"/>
      <c r="E63" s="807"/>
      <c r="F63" s="807"/>
      <c r="G63" s="807"/>
      <c r="H63" s="807"/>
      <c r="I63" s="807"/>
      <c r="J63" s="34"/>
      <c r="K63" s="811"/>
      <c r="L63" s="811"/>
      <c r="M63" s="811"/>
      <c r="N63" s="811"/>
      <c r="O63" s="811"/>
      <c r="P63" s="811"/>
      <c r="Q63" s="811"/>
      <c r="R63" s="811"/>
      <c r="S63" s="811"/>
      <c r="T63" s="34"/>
      <c r="U63" s="807"/>
      <c r="V63" s="807"/>
      <c r="W63" s="807"/>
      <c r="X63" s="807"/>
      <c r="Y63" s="807"/>
      <c r="Z63" s="807"/>
      <c r="AA63" s="807"/>
      <c r="AB63" s="807"/>
      <c r="AC63" s="807"/>
      <c r="AD63" s="34"/>
      <c r="AE63" s="811"/>
      <c r="AF63" s="811"/>
      <c r="AG63" s="811"/>
      <c r="AH63" s="811"/>
      <c r="AI63" s="811"/>
      <c r="AJ63" s="811"/>
      <c r="AK63" s="811"/>
      <c r="AL63" s="811"/>
      <c r="AM63" s="811"/>
      <c r="AN63" s="34"/>
    </row>
    <row r="64" spans="1:40" ht="14.25" x14ac:dyDescent="0.2">
      <c r="A64" s="807"/>
      <c r="B64" s="807"/>
      <c r="C64" s="807"/>
      <c r="D64" s="807"/>
      <c r="E64" s="807"/>
      <c r="F64" s="807"/>
      <c r="G64" s="807"/>
      <c r="H64" s="807"/>
      <c r="I64" s="807"/>
      <c r="J64" s="34"/>
      <c r="K64" s="811"/>
      <c r="L64" s="811"/>
      <c r="M64" s="811"/>
      <c r="N64" s="811"/>
      <c r="O64" s="811"/>
      <c r="P64" s="811"/>
      <c r="Q64" s="811"/>
      <c r="R64" s="811"/>
      <c r="S64" s="811"/>
      <c r="T64" s="34"/>
      <c r="U64" s="807"/>
      <c r="V64" s="807"/>
      <c r="W64" s="807"/>
      <c r="X64" s="807"/>
      <c r="Y64" s="807"/>
      <c r="Z64" s="807"/>
      <c r="AA64" s="807"/>
      <c r="AB64" s="807"/>
      <c r="AC64" s="807"/>
      <c r="AD64" s="34"/>
      <c r="AE64" s="811"/>
      <c r="AF64" s="811"/>
      <c r="AG64" s="811"/>
      <c r="AH64" s="811"/>
      <c r="AI64" s="811"/>
      <c r="AJ64" s="811"/>
      <c r="AK64" s="811"/>
      <c r="AL64" s="811"/>
      <c r="AM64" s="811"/>
      <c r="AN64" s="34"/>
    </row>
    <row r="65" spans="1:40" ht="14.25" x14ac:dyDescent="0.2">
      <c r="A65" s="807"/>
      <c r="B65" s="807"/>
      <c r="C65" s="807"/>
      <c r="D65" s="807"/>
      <c r="E65" s="807"/>
      <c r="F65" s="807"/>
      <c r="G65" s="807"/>
      <c r="H65" s="807"/>
      <c r="I65" s="807"/>
      <c r="J65" s="34"/>
      <c r="K65" s="811"/>
      <c r="L65" s="811"/>
      <c r="M65" s="811"/>
      <c r="N65" s="811"/>
      <c r="O65" s="811"/>
      <c r="P65" s="811"/>
      <c r="Q65" s="811"/>
      <c r="R65" s="811"/>
      <c r="S65" s="811"/>
      <c r="T65" s="34"/>
      <c r="U65" s="807"/>
      <c r="V65" s="807"/>
      <c r="W65" s="807"/>
      <c r="X65" s="807"/>
      <c r="Y65" s="807"/>
      <c r="Z65" s="807"/>
      <c r="AA65" s="807"/>
      <c r="AB65" s="807"/>
      <c r="AC65" s="807"/>
      <c r="AD65" s="34"/>
      <c r="AE65" s="811"/>
      <c r="AF65" s="811"/>
      <c r="AG65" s="811"/>
      <c r="AH65" s="811"/>
      <c r="AI65" s="811"/>
      <c r="AJ65" s="811"/>
      <c r="AK65" s="811"/>
      <c r="AL65" s="811"/>
      <c r="AM65" s="811"/>
      <c r="AN65" s="34"/>
    </row>
    <row r="66" spans="1:40" ht="14.25" x14ac:dyDescent="0.2">
      <c r="A66" s="807"/>
      <c r="B66" s="807"/>
      <c r="C66" s="807"/>
      <c r="D66" s="807"/>
      <c r="E66" s="807"/>
      <c r="F66" s="807"/>
      <c r="G66" s="807"/>
      <c r="H66" s="807"/>
      <c r="I66" s="807"/>
      <c r="J66" s="34"/>
      <c r="K66" s="811"/>
      <c r="L66" s="811"/>
      <c r="M66" s="811"/>
      <c r="N66" s="811"/>
      <c r="O66" s="811"/>
      <c r="P66" s="811"/>
      <c r="Q66" s="811"/>
      <c r="R66" s="811"/>
      <c r="S66" s="811"/>
      <c r="T66" s="34"/>
      <c r="U66" s="807"/>
      <c r="V66" s="807"/>
      <c r="W66" s="807"/>
      <c r="X66" s="807"/>
      <c r="Y66" s="807"/>
      <c r="Z66" s="807"/>
      <c r="AA66" s="807"/>
      <c r="AB66" s="807"/>
      <c r="AC66" s="807"/>
      <c r="AD66" s="34"/>
      <c r="AE66" s="811"/>
      <c r="AF66" s="811"/>
      <c r="AG66" s="811"/>
      <c r="AH66" s="811"/>
      <c r="AI66" s="811"/>
      <c r="AJ66" s="811"/>
      <c r="AK66" s="811"/>
      <c r="AL66" s="811"/>
      <c r="AM66" s="811"/>
      <c r="AN66" s="34"/>
    </row>
    <row r="67" spans="1:40" ht="5.85" customHeight="1" x14ac:dyDescent="0.2">
      <c r="A67" s="807"/>
      <c r="B67" s="807"/>
      <c r="C67" s="807"/>
      <c r="D67" s="807"/>
      <c r="E67" s="807"/>
      <c r="F67" s="807"/>
      <c r="G67" s="807"/>
      <c r="H67" s="807"/>
      <c r="I67" s="807"/>
      <c r="J67" s="34"/>
      <c r="K67" s="811"/>
      <c r="L67" s="811"/>
      <c r="M67" s="811"/>
      <c r="N67" s="811"/>
      <c r="O67" s="811"/>
      <c r="P67" s="811"/>
      <c r="Q67" s="811"/>
      <c r="R67" s="811"/>
      <c r="S67" s="811"/>
      <c r="T67" s="34"/>
      <c r="U67" s="807"/>
      <c r="V67" s="807"/>
      <c r="W67" s="807"/>
      <c r="X67" s="807"/>
      <c r="Y67" s="807"/>
      <c r="Z67" s="807"/>
      <c r="AA67" s="807"/>
      <c r="AB67" s="807"/>
      <c r="AC67" s="807"/>
      <c r="AD67" s="34"/>
      <c r="AE67" s="811"/>
      <c r="AF67" s="811"/>
      <c r="AG67" s="811"/>
      <c r="AH67" s="811"/>
      <c r="AI67" s="811"/>
      <c r="AJ67" s="811"/>
      <c r="AK67" s="811"/>
      <c r="AL67" s="811"/>
      <c r="AM67" s="811"/>
      <c r="AN67" s="34"/>
    </row>
    <row r="68" spans="1:40" ht="14.85" customHeight="1" x14ac:dyDescent="0.2">
      <c r="A68" s="807"/>
      <c r="B68" s="807"/>
      <c r="C68" s="807"/>
      <c r="D68" s="807"/>
      <c r="E68" s="807"/>
      <c r="F68" s="807"/>
      <c r="G68" s="807"/>
      <c r="H68" s="807"/>
      <c r="I68" s="807"/>
      <c r="J68" s="34"/>
      <c r="K68" s="811"/>
      <c r="L68" s="811"/>
      <c r="M68" s="811"/>
      <c r="N68" s="811"/>
      <c r="O68" s="811"/>
      <c r="P68" s="811"/>
      <c r="Q68" s="811"/>
      <c r="R68" s="811"/>
      <c r="S68" s="811"/>
      <c r="T68" s="34"/>
      <c r="U68" s="807"/>
      <c r="V68" s="807"/>
      <c r="W68" s="807"/>
      <c r="X68" s="807"/>
      <c r="Y68" s="807"/>
      <c r="Z68" s="807"/>
      <c r="AA68" s="807"/>
      <c r="AB68" s="807"/>
      <c r="AC68" s="807"/>
      <c r="AD68" s="34"/>
      <c r="AE68" s="811"/>
      <c r="AF68" s="811"/>
      <c r="AG68" s="811"/>
      <c r="AH68" s="811"/>
      <c r="AI68" s="811"/>
      <c r="AJ68" s="811"/>
      <c r="AK68" s="811"/>
      <c r="AL68" s="811"/>
      <c r="AM68" s="811"/>
      <c r="AN68" s="34"/>
    </row>
    <row r="69" spans="1:40" ht="6" customHeight="1" x14ac:dyDescent="0.2">
      <c r="A69" s="807"/>
      <c r="B69" s="807"/>
      <c r="C69" s="807"/>
      <c r="D69" s="807"/>
      <c r="E69" s="807"/>
      <c r="F69" s="807"/>
      <c r="G69" s="807"/>
      <c r="H69" s="807"/>
      <c r="I69" s="807"/>
      <c r="J69" s="34"/>
      <c r="K69" s="811"/>
      <c r="L69" s="811"/>
      <c r="M69" s="811"/>
      <c r="N69" s="811"/>
      <c r="O69" s="811"/>
      <c r="P69" s="811"/>
      <c r="Q69" s="811"/>
      <c r="R69" s="811"/>
      <c r="S69" s="811"/>
      <c r="T69" s="34"/>
      <c r="U69" s="807"/>
      <c r="V69" s="807"/>
      <c r="W69" s="807"/>
      <c r="X69" s="807"/>
      <c r="Y69" s="807"/>
      <c r="Z69" s="807"/>
      <c r="AA69" s="807"/>
      <c r="AB69" s="807"/>
      <c r="AC69" s="807"/>
      <c r="AD69" s="34"/>
      <c r="AE69" s="811"/>
      <c r="AF69" s="811"/>
      <c r="AG69" s="811"/>
      <c r="AH69" s="811"/>
      <c r="AI69" s="811"/>
      <c r="AJ69" s="811"/>
      <c r="AK69" s="811"/>
      <c r="AL69" s="811"/>
      <c r="AM69" s="811"/>
      <c r="AN69" s="34"/>
    </row>
    <row r="70" spans="1:40" ht="14.85" customHeight="1" x14ac:dyDescent="0.2">
      <c r="A70" s="807"/>
      <c r="B70" s="807"/>
      <c r="C70" s="807"/>
      <c r="D70" s="807"/>
      <c r="E70" s="807"/>
      <c r="F70" s="807"/>
      <c r="G70" s="807"/>
      <c r="H70" s="807"/>
      <c r="I70" s="807"/>
      <c r="J70" s="34"/>
      <c r="K70" s="811"/>
      <c r="L70" s="811"/>
      <c r="M70" s="811"/>
      <c r="N70" s="811"/>
      <c r="O70" s="811"/>
      <c r="P70" s="811"/>
      <c r="Q70" s="811"/>
      <c r="R70" s="811"/>
      <c r="S70" s="811"/>
      <c r="T70" s="34"/>
      <c r="U70" s="807"/>
      <c r="V70" s="807"/>
      <c r="W70" s="807"/>
      <c r="X70" s="807"/>
      <c r="Y70" s="807"/>
      <c r="Z70" s="807"/>
      <c r="AA70" s="807"/>
      <c r="AB70" s="807"/>
      <c r="AC70" s="807"/>
      <c r="AD70" s="34"/>
      <c r="AE70" s="811"/>
      <c r="AF70" s="811"/>
      <c r="AG70" s="811"/>
      <c r="AH70" s="811"/>
      <c r="AI70" s="811"/>
      <c r="AJ70" s="811"/>
      <c r="AK70" s="811"/>
      <c r="AL70" s="811"/>
      <c r="AM70" s="811"/>
      <c r="AN70" s="34"/>
    </row>
    <row r="71" spans="1:40" ht="14.25" x14ac:dyDescent="0.2">
      <c r="A71" s="807"/>
      <c r="B71" s="807"/>
      <c r="C71" s="807"/>
      <c r="D71" s="807"/>
      <c r="E71" s="807"/>
      <c r="F71" s="807"/>
      <c r="G71" s="807"/>
      <c r="H71" s="807"/>
      <c r="I71" s="807"/>
      <c r="J71" s="34"/>
      <c r="K71" s="811"/>
      <c r="L71" s="811"/>
      <c r="M71" s="811"/>
      <c r="N71" s="811"/>
      <c r="O71" s="811"/>
      <c r="P71" s="811"/>
      <c r="Q71" s="811"/>
      <c r="R71" s="811"/>
      <c r="S71" s="811"/>
      <c r="T71" s="34"/>
      <c r="U71" s="807"/>
      <c r="V71" s="807"/>
      <c r="W71" s="807"/>
      <c r="X71" s="807"/>
      <c r="Y71" s="807"/>
      <c r="Z71" s="807"/>
      <c r="AA71" s="807"/>
      <c r="AB71" s="807"/>
      <c r="AC71" s="807"/>
      <c r="AD71" s="34"/>
      <c r="AE71" s="811"/>
      <c r="AF71" s="811"/>
      <c r="AG71" s="811"/>
      <c r="AH71" s="811"/>
      <c r="AI71" s="811"/>
      <c r="AJ71" s="811"/>
      <c r="AK71" s="811"/>
      <c r="AL71" s="811"/>
      <c r="AM71" s="811"/>
      <c r="AN71" s="34"/>
    </row>
    <row r="72" spans="1:40" ht="14.25" x14ac:dyDescent="0.2">
      <c r="A72" s="807"/>
      <c r="B72" s="807"/>
      <c r="C72" s="807"/>
      <c r="D72" s="807"/>
      <c r="E72" s="807"/>
      <c r="F72" s="807"/>
      <c r="G72" s="807"/>
      <c r="H72" s="807"/>
      <c r="I72" s="807"/>
      <c r="J72" s="34"/>
      <c r="K72" s="811"/>
      <c r="L72" s="811"/>
      <c r="M72" s="811"/>
      <c r="N72" s="811"/>
      <c r="O72" s="811"/>
      <c r="P72" s="811"/>
      <c r="Q72" s="811"/>
      <c r="R72" s="811"/>
      <c r="S72" s="811"/>
      <c r="T72" s="34"/>
      <c r="U72" s="807"/>
      <c r="V72" s="807"/>
      <c r="W72" s="807"/>
      <c r="X72" s="807"/>
      <c r="Y72" s="807"/>
      <c r="Z72" s="807"/>
      <c r="AA72" s="807"/>
      <c r="AB72" s="807"/>
      <c r="AC72" s="807"/>
      <c r="AD72" s="34"/>
      <c r="AE72" s="811"/>
      <c r="AF72" s="811"/>
      <c r="AG72" s="811"/>
      <c r="AH72" s="811"/>
      <c r="AI72" s="811"/>
      <c r="AJ72" s="811"/>
      <c r="AK72" s="811"/>
      <c r="AL72" s="811"/>
      <c r="AM72" s="811"/>
      <c r="AN72" s="34"/>
    </row>
    <row r="73" spans="1:40" ht="14.25" x14ac:dyDescent="0.2">
      <c r="A73" s="807"/>
      <c r="B73" s="807"/>
      <c r="C73" s="807"/>
      <c r="D73" s="807"/>
      <c r="E73" s="807"/>
      <c r="F73" s="807"/>
      <c r="G73" s="807"/>
      <c r="H73" s="807"/>
      <c r="I73" s="807"/>
      <c r="J73" s="34"/>
      <c r="K73" s="811"/>
      <c r="L73" s="811"/>
      <c r="M73" s="811"/>
      <c r="N73" s="811"/>
      <c r="O73" s="811"/>
      <c r="P73" s="811"/>
      <c r="Q73" s="811"/>
      <c r="R73" s="811"/>
      <c r="S73" s="811"/>
      <c r="T73" s="34"/>
      <c r="U73" s="807"/>
      <c r="V73" s="807"/>
      <c r="W73" s="807"/>
      <c r="X73" s="807"/>
      <c r="Y73" s="807"/>
      <c r="Z73" s="807"/>
      <c r="AA73" s="807"/>
      <c r="AB73" s="807"/>
      <c r="AC73" s="807"/>
      <c r="AD73" s="34"/>
      <c r="AE73" s="811"/>
      <c r="AF73" s="811"/>
      <c r="AG73" s="811"/>
      <c r="AH73" s="811"/>
      <c r="AI73" s="811"/>
      <c r="AJ73" s="811"/>
      <c r="AK73" s="811"/>
      <c r="AL73" s="811"/>
      <c r="AM73" s="811"/>
      <c r="AN73" s="34"/>
    </row>
    <row r="74" spans="1:40" ht="14.25" x14ac:dyDescent="0.2">
      <c r="A74" s="807"/>
      <c r="B74" s="807"/>
      <c r="C74" s="807"/>
      <c r="D74" s="807"/>
      <c r="E74" s="807"/>
      <c r="F74" s="807"/>
      <c r="G74" s="807"/>
      <c r="H74" s="807"/>
      <c r="I74" s="807"/>
      <c r="J74" s="34"/>
      <c r="K74" s="811"/>
      <c r="L74" s="811"/>
      <c r="M74" s="811"/>
      <c r="N74" s="811"/>
      <c r="O74" s="811"/>
      <c r="P74" s="811"/>
      <c r="Q74" s="811"/>
      <c r="R74" s="811"/>
      <c r="S74" s="811"/>
      <c r="T74" s="34"/>
      <c r="U74" s="807"/>
      <c r="V74" s="807"/>
      <c r="W74" s="807"/>
      <c r="X74" s="807"/>
      <c r="Y74" s="807"/>
      <c r="Z74" s="807"/>
      <c r="AA74" s="807"/>
      <c r="AB74" s="807"/>
      <c r="AC74" s="807"/>
      <c r="AD74" s="34"/>
      <c r="AE74" s="811"/>
      <c r="AF74" s="811"/>
      <c r="AG74" s="811"/>
      <c r="AH74" s="811"/>
      <c r="AI74" s="811"/>
      <c r="AJ74" s="811"/>
      <c r="AK74" s="811"/>
      <c r="AL74" s="811"/>
      <c r="AM74" s="811"/>
      <c r="AN74" s="34"/>
    </row>
    <row r="75" spans="1:40" ht="14.25" x14ac:dyDescent="0.2">
      <c r="A75" s="807"/>
      <c r="B75" s="807"/>
      <c r="C75" s="807"/>
      <c r="D75" s="807"/>
      <c r="E75" s="807"/>
      <c r="F75" s="807"/>
      <c r="G75" s="807"/>
      <c r="H75" s="807"/>
      <c r="I75" s="807"/>
      <c r="J75" s="34"/>
      <c r="K75" s="811"/>
      <c r="L75" s="811"/>
      <c r="M75" s="811"/>
      <c r="N75" s="811"/>
      <c r="O75" s="811"/>
      <c r="P75" s="811"/>
      <c r="Q75" s="811"/>
      <c r="R75" s="811"/>
      <c r="S75" s="811"/>
      <c r="T75" s="34"/>
      <c r="U75" s="807"/>
      <c r="V75" s="807"/>
      <c r="W75" s="807"/>
      <c r="X75" s="807"/>
      <c r="Y75" s="807"/>
      <c r="Z75" s="807"/>
      <c r="AA75" s="807"/>
      <c r="AB75" s="807"/>
      <c r="AC75" s="807"/>
      <c r="AD75" s="34"/>
      <c r="AE75" s="811"/>
      <c r="AF75" s="811"/>
      <c r="AG75" s="811"/>
      <c r="AH75" s="811"/>
      <c r="AI75" s="811"/>
      <c r="AJ75" s="811"/>
      <c r="AK75" s="811"/>
      <c r="AL75" s="811"/>
      <c r="AM75" s="811"/>
      <c r="AN75" s="34"/>
    </row>
    <row r="76" spans="1:40" ht="14.25" x14ac:dyDescent="0.2">
      <c r="A76" s="807"/>
      <c r="B76" s="807"/>
      <c r="C76" s="807"/>
      <c r="D76" s="807"/>
      <c r="E76" s="807"/>
      <c r="F76" s="807"/>
      <c r="G76" s="807"/>
      <c r="H76" s="807"/>
      <c r="I76" s="807"/>
      <c r="J76" s="34"/>
      <c r="K76" s="811"/>
      <c r="L76" s="811"/>
      <c r="M76" s="811"/>
      <c r="N76" s="811"/>
      <c r="O76" s="811"/>
      <c r="P76" s="811"/>
      <c r="Q76" s="811"/>
      <c r="R76" s="811"/>
      <c r="S76" s="811"/>
      <c r="T76" s="34"/>
      <c r="U76" s="807"/>
      <c r="V76" s="807"/>
      <c r="W76" s="807"/>
      <c r="X76" s="807"/>
      <c r="Y76" s="807"/>
      <c r="Z76" s="807"/>
      <c r="AA76" s="807"/>
      <c r="AB76" s="807"/>
      <c r="AC76" s="807"/>
      <c r="AD76" s="34"/>
      <c r="AE76" s="811"/>
      <c r="AF76" s="811"/>
      <c r="AG76" s="811"/>
      <c r="AH76" s="811"/>
      <c r="AI76" s="811"/>
      <c r="AJ76" s="811"/>
      <c r="AK76" s="811"/>
      <c r="AL76" s="811"/>
      <c r="AM76" s="811"/>
      <c r="AN76" s="34"/>
    </row>
    <row r="77" spans="1:40" ht="14.25" x14ac:dyDescent="0.2">
      <c r="A77" s="807"/>
      <c r="B77" s="807"/>
      <c r="C77" s="807"/>
      <c r="D77" s="807"/>
      <c r="E77" s="807"/>
      <c r="F77" s="807"/>
      <c r="G77" s="807"/>
      <c r="H77" s="807"/>
      <c r="I77" s="807"/>
      <c r="J77" s="34"/>
      <c r="K77" s="811"/>
      <c r="L77" s="811"/>
      <c r="M77" s="811"/>
      <c r="N77" s="811"/>
      <c r="O77" s="811"/>
      <c r="P77" s="811"/>
      <c r="Q77" s="811"/>
      <c r="R77" s="811"/>
      <c r="S77" s="811"/>
      <c r="T77" s="34"/>
      <c r="U77" s="807"/>
      <c r="V77" s="807"/>
      <c r="W77" s="807"/>
      <c r="X77" s="807"/>
      <c r="Y77" s="807"/>
      <c r="Z77" s="807"/>
      <c r="AA77" s="807"/>
      <c r="AB77" s="807"/>
      <c r="AC77" s="807"/>
      <c r="AD77" s="34"/>
      <c r="AE77" s="811"/>
      <c r="AF77" s="811"/>
      <c r="AG77" s="811"/>
      <c r="AH77" s="811"/>
      <c r="AI77" s="811"/>
      <c r="AJ77" s="811"/>
      <c r="AK77" s="811"/>
      <c r="AL77" s="811"/>
      <c r="AM77" s="811"/>
      <c r="AN77" s="34"/>
    </row>
    <row r="78" spans="1:40" ht="14.25" x14ac:dyDescent="0.2">
      <c r="A78" s="807"/>
      <c r="B78" s="807"/>
      <c r="C78" s="807"/>
      <c r="D78" s="807"/>
      <c r="E78" s="807"/>
      <c r="F78" s="807"/>
      <c r="G78" s="807"/>
      <c r="H78" s="807"/>
      <c r="I78" s="807"/>
      <c r="J78" s="34"/>
      <c r="K78" s="811"/>
      <c r="L78" s="811"/>
      <c r="M78" s="811"/>
      <c r="N78" s="811"/>
      <c r="O78" s="811"/>
      <c r="P78" s="811"/>
      <c r="Q78" s="811"/>
      <c r="R78" s="811"/>
      <c r="S78" s="811"/>
      <c r="T78" s="34"/>
      <c r="U78" s="807"/>
      <c r="V78" s="807"/>
      <c r="W78" s="807"/>
      <c r="X78" s="807"/>
      <c r="Y78" s="807"/>
      <c r="Z78" s="807"/>
      <c r="AA78" s="807"/>
      <c r="AB78" s="807"/>
      <c r="AC78" s="807"/>
      <c r="AD78" s="34"/>
      <c r="AE78" s="811"/>
      <c r="AF78" s="811"/>
      <c r="AG78" s="811"/>
      <c r="AH78" s="811"/>
      <c r="AI78" s="811"/>
      <c r="AJ78" s="811"/>
      <c r="AK78" s="811"/>
      <c r="AL78" s="811"/>
      <c r="AM78" s="811"/>
      <c r="AN78" s="34"/>
    </row>
    <row r="79" spans="1:40" ht="14.25" x14ac:dyDescent="0.2">
      <c r="A79" s="807"/>
      <c r="B79" s="807"/>
      <c r="C79" s="807"/>
      <c r="D79" s="807"/>
      <c r="E79" s="807"/>
      <c r="F79" s="807"/>
      <c r="G79" s="807"/>
      <c r="H79" s="807"/>
      <c r="I79" s="807"/>
      <c r="J79" s="34"/>
      <c r="K79" s="811"/>
      <c r="L79" s="811"/>
      <c r="M79" s="811"/>
      <c r="N79" s="811"/>
      <c r="O79" s="811"/>
      <c r="P79" s="811"/>
      <c r="Q79" s="811"/>
      <c r="R79" s="811"/>
      <c r="S79" s="811"/>
      <c r="T79" s="34"/>
      <c r="U79" s="807"/>
      <c r="V79" s="807"/>
      <c r="W79" s="807"/>
      <c r="X79" s="807"/>
      <c r="Y79" s="807"/>
      <c r="Z79" s="807"/>
      <c r="AA79" s="807"/>
      <c r="AB79" s="807"/>
      <c r="AC79" s="807"/>
      <c r="AD79" s="34"/>
      <c r="AE79" s="811"/>
      <c r="AF79" s="811"/>
      <c r="AG79" s="811"/>
      <c r="AH79" s="811"/>
      <c r="AI79" s="811"/>
      <c r="AJ79" s="811"/>
      <c r="AK79" s="811"/>
      <c r="AL79" s="811"/>
      <c r="AM79" s="811"/>
      <c r="AN79" s="34"/>
    </row>
    <row r="80" spans="1:40" ht="14.25" x14ac:dyDescent="0.2">
      <c r="A80" s="807"/>
      <c r="B80" s="807"/>
      <c r="C80" s="807"/>
      <c r="D80" s="807"/>
      <c r="E80" s="807"/>
      <c r="F80" s="807"/>
      <c r="G80" s="807"/>
      <c r="H80" s="807"/>
      <c r="I80" s="807"/>
      <c r="J80" s="34"/>
      <c r="K80" s="811"/>
      <c r="L80" s="811"/>
      <c r="M80" s="811"/>
      <c r="N80" s="811"/>
      <c r="O80" s="811"/>
      <c r="P80" s="811"/>
      <c r="Q80" s="811"/>
      <c r="R80" s="811"/>
      <c r="S80" s="811"/>
      <c r="T80" s="34"/>
      <c r="U80" s="807"/>
      <c r="V80" s="807"/>
      <c r="W80" s="807"/>
      <c r="X80" s="807"/>
      <c r="Y80" s="807"/>
      <c r="Z80" s="807"/>
      <c r="AA80" s="807"/>
      <c r="AB80" s="807"/>
      <c r="AC80" s="807"/>
      <c r="AD80" s="34"/>
      <c r="AE80" s="811"/>
      <c r="AF80" s="811"/>
      <c r="AG80" s="811"/>
      <c r="AH80" s="811"/>
      <c r="AI80" s="811"/>
      <c r="AJ80" s="811"/>
      <c r="AK80" s="811"/>
      <c r="AL80" s="811"/>
      <c r="AM80" s="811"/>
      <c r="AN80" s="34"/>
    </row>
    <row r="81" spans="1:40" ht="14.25" x14ac:dyDescent="0.2">
      <c r="A81" s="807"/>
      <c r="B81" s="807"/>
      <c r="C81" s="807"/>
      <c r="D81" s="807"/>
      <c r="E81" s="807"/>
      <c r="F81" s="807"/>
      <c r="G81" s="807"/>
      <c r="H81" s="807"/>
      <c r="I81" s="807"/>
      <c r="J81" s="34"/>
      <c r="K81" s="811"/>
      <c r="L81" s="811"/>
      <c r="M81" s="811"/>
      <c r="N81" s="811"/>
      <c r="O81" s="811"/>
      <c r="P81" s="811"/>
      <c r="Q81" s="811"/>
      <c r="R81" s="811"/>
      <c r="S81" s="811"/>
      <c r="T81" s="34"/>
      <c r="U81" s="807"/>
      <c r="V81" s="807"/>
      <c r="W81" s="807"/>
      <c r="X81" s="807"/>
      <c r="Y81" s="807"/>
      <c r="Z81" s="807"/>
      <c r="AA81" s="807"/>
      <c r="AB81" s="807"/>
      <c r="AC81" s="807"/>
      <c r="AD81" s="34"/>
      <c r="AE81" s="811"/>
      <c r="AF81" s="811"/>
      <c r="AG81" s="811"/>
      <c r="AH81" s="811"/>
      <c r="AI81" s="811"/>
      <c r="AJ81" s="811"/>
      <c r="AK81" s="811"/>
      <c r="AL81" s="811"/>
      <c r="AM81" s="811"/>
      <c r="AN81" s="34"/>
    </row>
    <row r="82" spans="1:40" ht="14.25" x14ac:dyDescent="0.2">
      <c r="A82" s="807"/>
      <c r="B82" s="807"/>
      <c r="C82" s="807"/>
      <c r="D82" s="807"/>
      <c r="E82" s="807"/>
      <c r="F82" s="807"/>
      <c r="G82" s="807"/>
      <c r="H82" s="807"/>
      <c r="I82" s="807"/>
      <c r="J82" s="34"/>
      <c r="K82" s="811"/>
      <c r="L82" s="811"/>
      <c r="M82" s="811"/>
      <c r="N82" s="811"/>
      <c r="O82" s="811"/>
      <c r="P82" s="811"/>
      <c r="Q82" s="811"/>
      <c r="R82" s="811"/>
      <c r="S82" s="811"/>
      <c r="T82" s="34"/>
      <c r="U82" s="807"/>
      <c r="V82" s="807"/>
      <c r="W82" s="807"/>
      <c r="X82" s="807"/>
      <c r="Y82" s="807"/>
      <c r="Z82" s="807"/>
      <c r="AA82" s="807"/>
      <c r="AB82" s="807"/>
      <c r="AC82" s="807"/>
      <c r="AD82" s="34"/>
      <c r="AE82" s="811"/>
      <c r="AF82" s="811"/>
      <c r="AG82" s="811"/>
      <c r="AH82" s="811"/>
      <c r="AI82" s="811"/>
      <c r="AJ82" s="811"/>
      <c r="AK82" s="811"/>
      <c r="AL82" s="811"/>
      <c r="AM82" s="811"/>
      <c r="AN82" s="34"/>
    </row>
    <row r="83" spans="1:40" ht="14.25" x14ac:dyDescent="0.2">
      <c r="A83" s="807"/>
      <c r="B83" s="807"/>
      <c r="C83" s="807"/>
      <c r="D83" s="807"/>
      <c r="E83" s="807"/>
      <c r="F83" s="807"/>
      <c r="G83" s="807"/>
      <c r="H83" s="807"/>
      <c r="I83" s="807"/>
      <c r="J83" s="34"/>
      <c r="K83" s="811"/>
      <c r="L83" s="811"/>
      <c r="M83" s="811"/>
      <c r="N83" s="811"/>
      <c r="O83" s="811"/>
      <c r="P83" s="811"/>
      <c r="Q83" s="811"/>
      <c r="R83" s="811"/>
      <c r="S83" s="811"/>
      <c r="T83" s="34"/>
      <c r="U83" s="807"/>
      <c r="V83" s="807"/>
      <c r="W83" s="807"/>
      <c r="X83" s="807"/>
      <c r="Y83" s="807"/>
      <c r="Z83" s="807"/>
      <c r="AA83" s="807"/>
      <c r="AB83" s="807"/>
      <c r="AC83" s="807"/>
      <c r="AD83" s="34"/>
      <c r="AE83" s="811"/>
      <c r="AF83" s="811"/>
      <c r="AG83" s="811"/>
      <c r="AH83" s="811"/>
      <c r="AI83" s="811"/>
      <c r="AJ83" s="811"/>
      <c r="AK83" s="811"/>
      <c r="AL83" s="811"/>
      <c r="AM83" s="811"/>
      <c r="AN83" s="34"/>
    </row>
    <row r="84" spans="1:40" ht="14.25" x14ac:dyDescent="0.2">
      <c r="A84" s="807"/>
      <c r="B84" s="807"/>
      <c r="C84" s="807"/>
      <c r="D84" s="807"/>
      <c r="E84" s="807"/>
      <c r="F84" s="807"/>
      <c r="G84" s="807"/>
      <c r="H84" s="807"/>
      <c r="I84" s="807"/>
      <c r="J84" s="34"/>
      <c r="K84" s="811"/>
      <c r="L84" s="811"/>
      <c r="M84" s="811"/>
      <c r="N84" s="811"/>
      <c r="O84" s="811"/>
      <c r="P84" s="811"/>
      <c r="Q84" s="811"/>
      <c r="R84" s="811"/>
      <c r="S84" s="811"/>
      <c r="T84" s="34"/>
      <c r="U84" s="807"/>
      <c r="V84" s="807"/>
      <c r="W84" s="807"/>
      <c r="X84" s="807"/>
      <c r="Y84" s="807"/>
      <c r="Z84" s="807"/>
      <c r="AA84" s="807"/>
      <c r="AB84" s="807"/>
      <c r="AC84" s="807"/>
      <c r="AD84" s="34"/>
      <c r="AE84" s="811"/>
      <c r="AF84" s="811"/>
      <c r="AG84" s="811"/>
      <c r="AH84" s="811"/>
      <c r="AI84" s="811"/>
      <c r="AJ84" s="811"/>
      <c r="AK84" s="811"/>
      <c r="AL84" s="811"/>
      <c r="AM84" s="811"/>
      <c r="AN84" s="34"/>
    </row>
    <row r="85" spans="1:40" ht="14.25" x14ac:dyDescent="0.2">
      <c r="A85" s="807"/>
      <c r="B85" s="807"/>
      <c r="C85" s="807"/>
      <c r="D85" s="807"/>
      <c r="E85" s="807"/>
      <c r="F85" s="807"/>
      <c r="G85" s="807"/>
      <c r="H85" s="807"/>
      <c r="I85" s="807"/>
      <c r="J85" s="34"/>
      <c r="K85" s="811"/>
      <c r="L85" s="811"/>
      <c r="M85" s="811"/>
      <c r="N85" s="811"/>
      <c r="O85" s="811"/>
      <c r="P85" s="811"/>
      <c r="Q85" s="811"/>
      <c r="R85" s="811"/>
      <c r="S85" s="811"/>
      <c r="T85" s="34"/>
      <c r="U85" s="807"/>
      <c r="V85" s="807"/>
      <c r="W85" s="807"/>
      <c r="X85" s="807"/>
      <c r="Y85" s="807"/>
      <c r="Z85" s="807"/>
      <c r="AA85" s="807"/>
      <c r="AB85" s="807"/>
      <c r="AC85" s="807"/>
      <c r="AD85" s="34"/>
      <c r="AE85" s="811"/>
      <c r="AF85" s="811"/>
      <c r="AG85" s="811"/>
      <c r="AH85" s="811"/>
      <c r="AI85" s="811"/>
      <c r="AJ85" s="811"/>
      <c r="AK85" s="811"/>
      <c r="AL85" s="811"/>
      <c r="AM85" s="811"/>
      <c r="AN85" s="34"/>
    </row>
    <row r="86" spans="1:40" ht="6" customHeight="1" x14ac:dyDescent="0.2">
      <c r="A86" s="31"/>
      <c r="B86" s="31"/>
      <c r="C86" s="31"/>
      <c r="D86" s="31"/>
      <c r="E86" s="31"/>
      <c r="F86" s="31"/>
      <c r="G86" s="31"/>
      <c r="H86" s="31"/>
      <c r="I86" s="31"/>
      <c r="U86" s="31"/>
      <c r="V86" s="31"/>
      <c r="W86" s="31"/>
      <c r="X86" s="31"/>
      <c r="Y86" s="31"/>
      <c r="Z86" s="31"/>
      <c r="AA86" s="31"/>
      <c r="AB86" s="31"/>
      <c r="AC86" s="31"/>
    </row>
  </sheetData>
  <mergeCells count="17">
    <mergeCell ref="A42:I42"/>
    <mergeCell ref="K42:S42"/>
    <mergeCell ref="U42:AC42"/>
    <mergeCell ref="AE42:AM42"/>
    <mergeCell ref="A44:I85"/>
    <mergeCell ref="K44:S85"/>
    <mergeCell ref="U44:AC85"/>
    <mergeCell ref="AE44:AM85"/>
    <mergeCell ref="A5:I40"/>
    <mergeCell ref="K5:S40"/>
    <mergeCell ref="U5:AC40"/>
    <mergeCell ref="AE5:AM40"/>
    <mergeCell ref="A1:E1"/>
    <mergeCell ref="A3:I3"/>
    <mergeCell ref="K3:S3"/>
    <mergeCell ref="U3:AC3"/>
    <mergeCell ref="AE3:AM3"/>
  </mergeCells>
  <pageMargins left="0.7" right="0.7" top="0.75" bottom="0.75" header="0.3" footer="0.3"/>
  <pageSetup orientation="portrait" horizontalDpi="90" verticalDpi="9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D153F-E341-4F9F-851C-ED36D35195FD}">
  <sheetPr>
    <tabColor theme="8" tint="0.59999389629810485"/>
  </sheetPr>
  <dimension ref="A1:AS65"/>
  <sheetViews>
    <sheetView zoomScale="80" zoomScaleNormal="80" workbookViewId="0">
      <selection activeCell="I22" sqref="I22"/>
    </sheetView>
  </sheetViews>
  <sheetFormatPr defaultColWidth="8.625" defaultRowHeight="14.25" x14ac:dyDescent="0.2"/>
  <cols>
    <col min="1" max="1" width="3.625" style="145" customWidth="1"/>
    <col min="2" max="2" width="6.125" style="145" customWidth="1"/>
    <col min="3" max="5" width="18" style="145" customWidth="1"/>
    <col min="6" max="6" width="16.625" style="145" bestFit="1" customWidth="1"/>
    <col min="7" max="10" width="13.625" style="145" customWidth="1"/>
    <col min="11" max="11" width="11.125" style="145" customWidth="1"/>
    <col min="12" max="12" width="8" style="145" hidden="1" customWidth="1"/>
    <col min="13" max="13" width="6.625" style="145" hidden="1" customWidth="1"/>
    <col min="14" max="14" width="9.125" style="145" hidden="1" customWidth="1"/>
    <col min="15" max="15" width="11.125" style="145" hidden="1" customWidth="1"/>
    <col min="16" max="16" width="9.625" style="145" hidden="1" customWidth="1"/>
    <col min="17" max="17" width="12.625" style="145" bestFit="1" customWidth="1"/>
    <col min="18" max="19" width="12.625" style="145" customWidth="1"/>
    <col min="20" max="20" width="11.5" style="145" bestFit="1" customWidth="1"/>
    <col min="21" max="21" width="8.625" style="145" hidden="1" customWidth="1"/>
    <col min="22" max="22" width="14.125" style="145" customWidth="1"/>
    <col min="23" max="16384" width="8.625" style="145"/>
  </cols>
  <sheetData>
    <row r="1" spans="1:45" x14ac:dyDescent="0.2">
      <c r="A1" s="144" t="s">
        <v>795</v>
      </c>
      <c r="L1" s="145" t="s">
        <v>207</v>
      </c>
      <c r="M1" s="145" t="s">
        <v>207</v>
      </c>
      <c r="N1" s="145" t="s">
        <v>207</v>
      </c>
      <c r="O1" s="145" t="s">
        <v>207</v>
      </c>
      <c r="P1" s="145" t="s">
        <v>207</v>
      </c>
      <c r="U1" s="145" t="s">
        <v>207</v>
      </c>
    </row>
    <row r="2" spans="1:45" ht="9.75" customHeight="1" x14ac:dyDescent="0.2"/>
    <row r="3" spans="1:45" ht="34.5" customHeight="1" x14ac:dyDescent="0.5">
      <c r="B3" s="188" t="s">
        <v>867</v>
      </c>
      <c r="C3" s="147"/>
      <c r="D3" s="147"/>
      <c r="E3" s="147"/>
      <c r="F3" s="147"/>
      <c r="G3" s="147"/>
      <c r="H3" s="147"/>
      <c r="I3" s="147"/>
      <c r="J3" s="147"/>
    </row>
    <row r="4" spans="1:45" ht="29.1" customHeight="1" x14ac:dyDescent="0.2">
      <c r="B4" s="797" t="s">
        <v>210</v>
      </c>
      <c r="C4" s="797"/>
      <c r="D4" s="797"/>
      <c r="E4" s="797"/>
      <c r="F4" s="797"/>
      <c r="G4" s="797"/>
      <c r="H4" s="797"/>
      <c r="I4" s="797"/>
      <c r="J4" s="797"/>
      <c r="K4" s="797"/>
      <c r="L4" s="797"/>
      <c r="M4" s="797"/>
      <c r="N4" s="797"/>
      <c r="O4" s="797"/>
      <c r="P4" s="797"/>
    </row>
    <row r="5" spans="1:45" ht="9" customHeight="1" thickBot="1" x14ac:dyDescent="0.3">
      <c r="B5" s="148"/>
      <c r="C5" s="148"/>
      <c r="D5" s="148"/>
      <c r="E5" s="148"/>
      <c r="F5" s="148"/>
      <c r="G5" s="148"/>
      <c r="H5" s="148"/>
      <c r="I5" s="148"/>
      <c r="J5" s="148"/>
    </row>
    <row r="6" spans="1:45" s="149" customFormat="1" ht="22.35" customHeight="1" x14ac:dyDescent="0.2">
      <c r="B6" s="941" t="s">
        <v>275</v>
      </c>
      <c r="C6" s="943" t="s">
        <v>796</v>
      </c>
      <c r="D6" s="944"/>
      <c r="E6" s="944"/>
      <c r="F6" s="944"/>
      <c r="G6" s="944"/>
      <c r="H6" s="944"/>
      <c r="I6" s="944"/>
      <c r="J6" s="944"/>
      <c r="K6" s="945"/>
      <c r="L6" s="965" t="s">
        <v>797</v>
      </c>
      <c r="M6" s="965"/>
      <c r="N6" s="965"/>
      <c r="O6" s="965"/>
      <c r="P6" s="965"/>
      <c r="Q6" s="947"/>
      <c r="R6" s="947"/>
      <c r="S6" s="947"/>
      <c r="T6" s="948"/>
      <c r="U6" s="949" t="s">
        <v>219</v>
      </c>
      <c r="V6" s="941" t="s">
        <v>798</v>
      </c>
      <c r="AA6" s="150"/>
      <c r="AB6" s="150"/>
      <c r="AC6" s="150"/>
      <c r="AD6" s="150"/>
      <c r="AE6" s="150"/>
      <c r="AF6" s="150"/>
    </row>
    <row r="7" spans="1:45" s="150" customFormat="1" ht="45.75" customHeight="1" thickBot="1" x14ac:dyDescent="0.25">
      <c r="B7" s="942"/>
      <c r="C7" s="198" t="s">
        <v>799</v>
      </c>
      <c r="D7" s="205" t="s">
        <v>141</v>
      </c>
      <c r="E7" s="205" t="s">
        <v>143</v>
      </c>
      <c r="F7" s="199" t="s">
        <v>145</v>
      </c>
      <c r="G7" s="208" t="s">
        <v>868</v>
      </c>
      <c r="H7" s="208" t="s">
        <v>869</v>
      </c>
      <c r="I7" s="208" t="s">
        <v>870</v>
      </c>
      <c r="J7" s="208" t="s">
        <v>871</v>
      </c>
      <c r="K7" s="200" t="s">
        <v>155</v>
      </c>
      <c r="L7" s="205" t="s">
        <v>872</v>
      </c>
      <c r="M7" s="205" t="s">
        <v>873</v>
      </c>
      <c r="N7" s="205" t="s">
        <v>874</v>
      </c>
      <c r="O7" s="205" t="s">
        <v>875</v>
      </c>
      <c r="P7" s="205" t="s">
        <v>876</v>
      </c>
      <c r="Q7" s="199" t="s">
        <v>192</v>
      </c>
      <c r="R7" s="199" t="s">
        <v>806</v>
      </c>
      <c r="S7" s="199" t="s">
        <v>807</v>
      </c>
      <c r="T7" s="200" t="s">
        <v>808</v>
      </c>
      <c r="U7" s="949"/>
      <c r="V7" s="950"/>
    </row>
    <row r="8" spans="1:45" s="149" customFormat="1" ht="21.75" customHeight="1" x14ac:dyDescent="0.2">
      <c r="B8" s="376">
        <v>1</v>
      </c>
      <c r="C8" s="166"/>
      <c r="D8" s="168"/>
      <c r="E8" s="168"/>
      <c r="F8" s="168"/>
      <c r="G8" s="168"/>
      <c r="H8" s="168"/>
      <c r="I8" s="168"/>
      <c r="J8" s="168"/>
      <c r="K8" s="169"/>
      <c r="L8" s="552">
        <v>0.85</v>
      </c>
      <c r="M8" s="553">
        <v>0.45</v>
      </c>
      <c r="N8" s="193">
        <v>52</v>
      </c>
      <c r="O8" s="193">
        <v>0</v>
      </c>
      <c r="P8" s="319">
        <v>0</v>
      </c>
      <c r="Q8" s="180" t="str">
        <f>IFERROR(ROUND(IF($F8="Retrofit",K8*((G8*H8*L8)/1000)*SQRT(I8)*M8*J8*N8,""),2),"")</f>
        <v/>
      </c>
      <c r="R8" s="496" t="str">
        <f>IFERROR(ROUND(IF($F8="Retrofit",K8*((G8*H8*L8)/1000)*SQRT(I8)*J8*O8,""),4),"")</f>
        <v/>
      </c>
      <c r="S8" s="496" t="str">
        <f>IFERROR(ROUND(IF($F8="Retrofit",K8*((G8*H8*L8)/1000)*SQRT(I8)*J8*P8,""),4),"")</f>
        <v/>
      </c>
      <c r="T8" s="181" t="str">
        <f>IFERROR(ROUND(AVERAGE(R8:S8),4),"")</f>
        <v/>
      </c>
      <c r="U8" s="150" t="str">
        <f>IFERROR(Q8*Incentives!$C$4+T8*Incentives!$C$5,"")</f>
        <v/>
      </c>
      <c r="V8" s="191" t="str">
        <f>IFERROR(U8*'Project Summary'!$H$37/'Project Summary'!$G$37,"")</f>
        <v/>
      </c>
      <c r="W8" s="150"/>
      <c r="X8" s="150"/>
      <c r="Y8" s="949"/>
      <c r="Z8" s="949"/>
      <c r="AA8" s="949"/>
      <c r="AB8" s="949"/>
      <c r="AC8" s="949"/>
      <c r="AD8" s="949"/>
      <c r="AE8" s="150"/>
      <c r="AF8" s="150"/>
      <c r="AG8" s="150"/>
      <c r="AH8" s="150"/>
      <c r="AI8" s="150"/>
      <c r="AJ8" s="150"/>
      <c r="AK8" s="150"/>
      <c r="AL8" s="150"/>
      <c r="AM8" s="150"/>
      <c r="AN8" s="150"/>
      <c r="AO8" s="150"/>
      <c r="AP8" s="150"/>
      <c r="AQ8" s="150"/>
      <c r="AR8" s="150"/>
      <c r="AS8" s="150"/>
    </row>
    <row r="9" spans="1:45" s="149" customFormat="1" ht="21.75" customHeight="1" x14ac:dyDescent="0.2">
      <c r="B9" s="327">
        <v>2</v>
      </c>
      <c r="C9" s="170"/>
      <c r="D9" s="171"/>
      <c r="E9" s="171"/>
      <c r="F9" s="171"/>
      <c r="G9" s="171"/>
      <c r="H9" s="171"/>
      <c r="I9" s="171"/>
      <c r="J9" s="171"/>
      <c r="K9" s="172"/>
      <c r="L9" s="715">
        <v>0.85</v>
      </c>
      <c r="M9" s="554">
        <v>0.45</v>
      </c>
      <c r="N9" s="160">
        <v>52</v>
      </c>
      <c r="O9" s="160">
        <v>0</v>
      </c>
      <c r="P9" s="320">
        <v>0</v>
      </c>
      <c r="Q9" s="182" t="str">
        <f t="shared" ref="Q9:Q17" si="0">IFERROR(ROUND(IF($F9="Retrofit",K9*((G9*H9*L9)/1000)*SQRT(I9)*M9*J9*N9,""),2),"")</f>
        <v/>
      </c>
      <c r="R9" s="498" t="str">
        <f t="shared" ref="R9:R17" si="1">IFERROR(ROUND(IF($F9="Retrofit",K9*((G9*H9*L9)/1000)*SQRT(I9)*J9*O9,""),4),"")</f>
        <v/>
      </c>
      <c r="S9" s="498" t="str">
        <f t="shared" ref="S9:S17" si="2">IFERROR(ROUND(IF($F9="Retrofit",K9*((G9*H9*L9)/1000)*SQRT(I9)*J9*P9,""),4),"")</f>
        <v/>
      </c>
      <c r="T9" s="183" t="str">
        <f t="shared" ref="T9:T17" si="3">IFERROR(ROUND(AVERAGE(R9:S9),4),"")</f>
        <v/>
      </c>
      <c r="U9" s="150" t="str">
        <f>IFERROR(Q9*Incentives!$C$4+T9*Incentives!$C$5,"")</f>
        <v/>
      </c>
      <c r="V9" s="161" t="str">
        <f>IFERROR(U9*'Project Summary'!$H$37/'Project Summary'!$G$37,"")</f>
        <v/>
      </c>
      <c r="W9" s="150"/>
      <c r="X9" s="150"/>
      <c r="Y9" s="949"/>
      <c r="Z9" s="949"/>
      <c r="AA9" s="949"/>
      <c r="AB9" s="949"/>
      <c r="AC9" s="949"/>
      <c r="AD9" s="949"/>
      <c r="AE9" s="150"/>
      <c r="AF9" s="150"/>
      <c r="AG9" s="150"/>
      <c r="AH9" s="150"/>
      <c r="AI9" s="150"/>
      <c r="AJ9" s="150"/>
      <c r="AK9" s="150"/>
      <c r="AL9" s="150"/>
      <c r="AM9" s="150"/>
      <c r="AN9" s="150"/>
      <c r="AO9" s="150"/>
      <c r="AP9" s="150"/>
      <c r="AQ9" s="150"/>
      <c r="AR9" s="150"/>
      <c r="AS9" s="150"/>
    </row>
    <row r="10" spans="1:45" s="149" customFormat="1" ht="21.75" customHeight="1" x14ac:dyDescent="0.2">
      <c r="B10" s="327">
        <v>3</v>
      </c>
      <c r="C10" s="170"/>
      <c r="D10" s="171"/>
      <c r="E10" s="171"/>
      <c r="F10" s="171"/>
      <c r="G10" s="171"/>
      <c r="H10" s="171"/>
      <c r="I10" s="171"/>
      <c r="J10" s="171"/>
      <c r="K10" s="172"/>
      <c r="L10" s="715">
        <v>0.85</v>
      </c>
      <c r="M10" s="554">
        <v>0.45</v>
      </c>
      <c r="N10" s="160">
        <v>52</v>
      </c>
      <c r="O10" s="160">
        <v>0</v>
      </c>
      <c r="P10" s="320">
        <v>0</v>
      </c>
      <c r="Q10" s="182" t="str">
        <f t="shared" si="0"/>
        <v/>
      </c>
      <c r="R10" s="498" t="str">
        <f t="shared" si="1"/>
        <v/>
      </c>
      <c r="S10" s="498" t="str">
        <f t="shared" si="2"/>
        <v/>
      </c>
      <c r="T10" s="183" t="str">
        <f t="shared" si="3"/>
        <v/>
      </c>
      <c r="U10" s="150" t="str">
        <f>IFERROR(Q10*Incentives!$C$4+T10*Incentives!$C$5,"")</f>
        <v/>
      </c>
      <c r="V10" s="161" t="str">
        <f>IFERROR(U10*'Project Summary'!$H$37/'Project Summary'!$G$37,"")</f>
        <v/>
      </c>
      <c r="W10" s="150"/>
      <c r="X10" s="150"/>
      <c r="Y10" s="949"/>
      <c r="Z10" s="949"/>
      <c r="AA10" s="949"/>
      <c r="AB10" s="949"/>
      <c r="AC10" s="949"/>
      <c r="AD10" s="949"/>
      <c r="AE10" s="150"/>
      <c r="AF10" s="150"/>
      <c r="AG10" s="150"/>
      <c r="AH10" s="150"/>
      <c r="AI10" s="150"/>
      <c r="AJ10" s="150"/>
      <c r="AK10" s="150"/>
      <c r="AL10" s="150"/>
      <c r="AM10" s="150"/>
      <c r="AN10" s="150"/>
      <c r="AO10" s="150"/>
      <c r="AP10" s="150"/>
      <c r="AQ10" s="150"/>
      <c r="AR10" s="150"/>
      <c r="AS10" s="150"/>
    </row>
    <row r="11" spans="1:45" s="149" customFormat="1" ht="21.75" customHeight="1" x14ac:dyDescent="0.2">
      <c r="B11" s="327">
        <v>4</v>
      </c>
      <c r="C11" s="170"/>
      <c r="D11" s="171"/>
      <c r="E11" s="171"/>
      <c r="F11" s="171"/>
      <c r="G11" s="171"/>
      <c r="H11" s="171"/>
      <c r="I11" s="171"/>
      <c r="J11" s="171"/>
      <c r="K11" s="172"/>
      <c r="L11" s="715">
        <v>0.85</v>
      </c>
      <c r="M11" s="554">
        <v>0.45</v>
      </c>
      <c r="N11" s="160">
        <v>52</v>
      </c>
      <c r="O11" s="160">
        <v>0</v>
      </c>
      <c r="P11" s="320">
        <v>0</v>
      </c>
      <c r="Q11" s="182" t="str">
        <f t="shared" si="0"/>
        <v/>
      </c>
      <c r="R11" s="498" t="str">
        <f t="shared" si="1"/>
        <v/>
      </c>
      <c r="S11" s="498" t="str">
        <f t="shared" si="2"/>
        <v/>
      </c>
      <c r="T11" s="183" t="str">
        <f t="shared" si="3"/>
        <v/>
      </c>
      <c r="U11" s="150" t="str">
        <f>IFERROR(Q11*Incentives!$C$4+T11*Incentives!$C$5,"")</f>
        <v/>
      </c>
      <c r="V11" s="161" t="str">
        <f>IFERROR(U11*'Project Summary'!$H$37/'Project Summary'!$G$37,"")</f>
        <v/>
      </c>
      <c r="W11" s="150"/>
      <c r="X11" s="150"/>
      <c r="Y11" s="949"/>
      <c r="Z11" s="949"/>
      <c r="AA11" s="949"/>
      <c r="AB11" s="949"/>
      <c r="AC11" s="949"/>
      <c r="AD11" s="949"/>
      <c r="AE11" s="150"/>
      <c r="AF11" s="150"/>
      <c r="AG11" s="150"/>
      <c r="AH11" s="150"/>
      <c r="AI11" s="150"/>
      <c r="AJ11" s="150"/>
      <c r="AK11" s="150"/>
      <c r="AL11" s="150"/>
      <c r="AM11" s="150"/>
      <c r="AN11" s="150"/>
      <c r="AO11" s="150"/>
      <c r="AP11" s="150"/>
      <c r="AQ11" s="150"/>
      <c r="AR11" s="150"/>
      <c r="AS11" s="150"/>
    </row>
    <row r="12" spans="1:45" s="149" customFormat="1" ht="21.75" customHeight="1" x14ac:dyDescent="0.2">
      <c r="B12" s="327">
        <v>5</v>
      </c>
      <c r="C12" s="170"/>
      <c r="D12" s="171"/>
      <c r="E12" s="171"/>
      <c r="F12" s="171"/>
      <c r="G12" s="171"/>
      <c r="H12" s="171"/>
      <c r="I12" s="171"/>
      <c r="J12" s="171"/>
      <c r="K12" s="172"/>
      <c r="L12" s="715">
        <v>0.85</v>
      </c>
      <c r="M12" s="554">
        <v>0.45</v>
      </c>
      <c r="N12" s="160">
        <v>52</v>
      </c>
      <c r="O12" s="160">
        <v>0</v>
      </c>
      <c r="P12" s="320">
        <v>0</v>
      </c>
      <c r="Q12" s="182" t="str">
        <f t="shared" si="0"/>
        <v/>
      </c>
      <c r="R12" s="498" t="str">
        <f t="shared" si="1"/>
        <v/>
      </c>
      <c r="S12" s="498" t="str">
        <f t="shared" si="2"/>
        <v/>
      </c>
      <c r="T12" s="183" t="str">
        <f t="shared" si="3"/>
        <v/>
      </c>
      <c r="U12" s="150" t="str">
        <f>IFERROR(Q12*Incentives!$C$4+T12*Incentives!$C$5,"")</f>
        <v/>
      </c>
      <c r="V12" s="161" t="str">
        <f>IFERROR(U12*'Project Summary'!$H$37/'Project Summary'!$G$37,"")</f>
        <v/>
      </c>
      <c r="W12" s="150"/>
      <c r="X12" s="150"/>
      <c r="Y12" s="949"/>
      <c r="Z12" s="949"/>
      <c r="AA12" s="949"/>
      <c r="AB12" s="949"/>
      <c r="AC12" s="949"/>
      <c r="AD12" s="949"/>
      <c r="AE12" s="150"/>
      <c r="AF12" s="150"/>
      <c r="AG12" s="150"/>
      <c r="AH12" s="150"/>
      <c r="AI12" s="150"/>
      <c r="AJ12" s="150"/>
      <c r="AK12" s="150"/>
      <c r="AL12" s="150"/>
      <c r="AM12" s="150"/>
      <c r="AN12" s="150"/>
      <c r="AO12" s="150"/>
      <c r="AP12" s="150"/>
      <c r="AQ12" s="150"/>
      <c r="AR12" s="150"/>
      <c r="AS12" s="150"/>
    </row>
    <row r="13" spans="1:45" s="149" customFormat="1" ht="21.75" customHeight="1" x14ac:dyDescent="0.2">
      <c r="B13" s="327">
        <v>6</v>
      </c>
      <c r="C13" s="170"/>
      <c r="D13" s="171"/>
      <c r="E13" s="171"/>
      <c r="F13" s="171"/>
      <c r="G13" s="171"/>
      <c r="H13" s="171"/>
      <c r="I13" s="171"/>
      <c r="J13" s="171"/>
      <c r="K13" s="172"/>
      <c r="L13" s="715">
        <v>0.85</v>
      </c>
      <c r="M13" s="554">
        <v>0.45</v>
      </c>
      <c r="N13" s="160">
        <v>52</v>
      </c>
      <c r="O13" s="160">
        <v>0</v>
      </c>
      <c r="P13" s="320">
        <v>0</v>
      </c>
      <c r="Q13" s="182" t="str">
        <f t="shared" si="0"/>
        <v/>
      </c>
      <c r="R13" s="498" t="str">
        <f t="shared" si="1"/>
        <v/>
      </c>
      <c r="S13" s="498" t="str">
        <f t="shared" si="2"/>
        <v/>
      </c>
      <c r="T13" s="183" t="str">
        <f t="shared" si="3"/>
        <v/>
      </c>
      <c r="U13" s="150" t="str">
        <f>IFERROR(Q13*Incentives!$C$4+T13*Incentives!$C$5,"")</f>
        <v/>
      </c>
      <c r="V13" s="161" t="str">
        <f>IFERROR(U13*'Project Summary'!$H$37/'Project Summary'!$G$37,"")</f>
        <v/>
      </c>
      <c r="W13" s="150"/>
      <c r="X13" s="150"/>
      <c r="Y13" s="949"/>
      <c r="Z13" s="949"/>
      <c r="AA13" s="949"/>
      <c r="AB13" s="949"/>
      <c r="AC13" s="949"/>
      <c r="AD13" s="949"/>
      <c r="AE13" s="150"/>
      <c r="AF13" s="150"/>
      <c r="AG13" s="150"/>
      <c r="AH13" s="150"/>
      <c r="AI13" s="150"/>
      <c r="AJ13" s="150"/>
      <c r="AK13" s="150"/>
      <c r="AL13" s="150"/>
      <c r="AM13" s="150"/>
      <c r="AN13" s="150"/>
      <c r="AO13" s="150"/>
      <c r="AP13" s="150"/>
      <c r="AQ13" s="150"/>
      <c r="AR13" s="150"/>
      <c r="AS13" s="150"/>
    </row>
    <row r="14" spans="1:45" s="149" customFormat="1" ht="21.75" customHeight="1" x14ac:dyDescent="0.2">
      <c r="B14" s="327">
        <v>7</v>
      </c>
      <c r="C14" s="170"/>
      <c r="D14" s="171"/>
      <c r="E14" s="171"/>
      <c r="F14" s="171"/>
      <c r="G14" s="171"/>
      <c r="H14" s="171"/>
      <c r="I14" s="171"/>
      <c r="J14" s="171"/>
      <c r="K14" s="172"/>
      <c r="L14" s="715">
        <v>0.85</v>
      </c>
      <c r="M14" s="554">
        <v>0.45</v>
      </c>
      <c r="N14" s="160">
        <v>52</v>
      </c>
      <c r="O14" s="160">
        <v>0</v>
      </c>
      <c r="P14" s="320">
        <v>0</v>
      </c>
      <c r="Q14" s="182" t="str">
        <f t="shared" si="0"/>
        <v/>
      </c>
      <c r="R14" s="498" t="str">
        <f t="shared" si="1"/>
        <v/>
      </c>
      <c r="S14" s="498" t="str">
        <f t="shared" si="2"/>
        <v/>
      </c>
      <c r="T14" s="183" t="str">
        <f t="shared" si="3"/>
        <v/>
      </c>
      <c r="U14" s="150" t="str">
        <f>IFERROR(Q14*Incentives!$C$4+T14*Incentives!$C$5,"")</f>
        <v/>
      </c>
      <c r="V14" s="161" t="str">
        <f>IFERROR(U14*'Project Summary'!$H$37/'Project Summary'!$G$37,"")</f>
        <v/>
      </c>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row>
    <row r="15" spans="1:45" s="149" customFormat="1" ht="21.75" customHeight="1" x14ac:dyDescent="0.2">
      <c r="B15" s="327">
        <v>8</v>
      </c>
      <c r="C15" s="170"/>
      <c r="D15" s="171"/>
      <c r="E15" s="171"/>
      <c r="F15" s="171"/>
      <c r="G15" s="171"/>
      <c r="H15" s="171"/>
      <c r="I15" s="171"/>
      <c r="J15" s="171"/>
      <c r="K15" s="172"/>
      <c r="L15" s="715">
        <v>0.85</v>
      </c>
      <c r="M15" s="554">
        <v>0.45</v>
      </c>
      <c r="N15" s="160">
        <v>52</v>
      </c>
      <c r="O15" s="160">
        <v>0</v>
      </c>
      <c r="P15" s="320">
        <v>0</v>
      </c>
      <c r="Q15" s="182" t="str">
        <f t="shared" si="0"/>
        <v/>
      </c>
      <c r="R15" s="498" t="str">
        <f t="shared" si="1"/>
        <v/>
      </c>
      <c r="S15" s="498" t="str">
        <f t="shared" si="2"/>
        <v/>
      </c>
      <c r="T15" s="183" t="str">
        <f t="shared" si="3"/>
        <v/>
      </c>
      <c r="U15" s="150" t="str">
        <f>IFERROR(Q15*Incentives!$C$4+T15*Incentives!$C$5,"")</f>
        <v/>
      </c>
      <c r="V15" s="161" t="str">
        <f>IFERROR(U15*'Project Summary'!$H$37/'Project Summary'!$G$37,"")</f>
        <v/>
      </c>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row>
    <row r="16" spans="1:45" s="149" customFormat="1" ht="21.75" customHeight="1" x14ac:dyDescent="0.2">
      <c r="B16" s="327">
        <v>9</v>
      </c>
      <c r="C16" s="170"/>
      <c r="D16" s="171"/>
      <c r="E16" s="171"/>
      <c r="F16" s="171"/>
      <c r="G16" s="171"/>
      <c r="H16" s="171"/>
      <c r="I16" s="171"/>
      <c r="J16" s="171"/>
      <c r="K16" s="172"/>
      <c r="L16" s="715">
        <v>0.85</v>
      </c>
      <c r="M16" s="554">
        <v>0.45</v>
      </c>
      <c r="N16" s="160">
        <v>52</v>
      </c>
      <c r="O16" s="160">
        <v>0</v>
      </c>
      <c r="P16" s="320">
        <v>0</v>
      </c>
      <c r="Q16" s="182" t="str">
        <f t="shared" si="0"/>
        <v/>
      </c>
      <c r="R16" s="498" t="str">
        <f t="shared" si="1"/>
        <v/>
      </c>
      <c r="S16" s="498" t="str">
        <f t="shared" si="2"/>
        <v/>
      </c>
      <c r="T16" s="183" t="str">
        <f t="shared" si="3"/>
        <v/>
      </c>
      <c r="U16" s="150" t="str">
        <f>IFERROR(Q16*Incentives!$C$4+T16*Incentives!$C$5,"")</f>
        <v/>
      </c>
      <c r="V16" s="161" t="str">
        <f>IFERROR(U16*'Project Summary'!$H$37/'Project Summary'!$G$37,"")</f>
        <v/>
      </c>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row>
    <row r="17" spans="2:45" s="149" customFormat="1" ht="21.75" customHeight="1" thickBot="1" x14ac:dyDescent="0.25">
      <c r="B17" s="328">
        <v>10</v>
      </c>
      <c r="C17" s="174"/>
      <c r="D17" s="177"/>
      <c r="E17" s="177"/>
      <c r="F17" s="177"/>
      <c r="G17" s="177"/>
      <c r="H17" s="177"/>
      <c r="I17" s="177"/>
      <c r="J17" s="177"/>
      <c r="K17" s="178"/>
      <c r="L17" s="555">
        <v>0.85</v>
      </c>
      <c r="M17" s="556">
        <v>0.45</v>
      </c>
      <c r="N17" s="164">
        <v>52</v>
      </c>
      <c r="O17" s="164">
        <v>0</v>
      </c>
      <c r="P17" s="321">
        <v>0</v>
      </c>
      <c r="Q17" s="184" t="str">
        <f t="shared" si="0"/>
        <v/>
      </c>
      <c r="R17" s="499" t="str">
        <f t="shared" si="1"/>
        <v/>
      </c>
      <c r="S17" s="499" t="str">
        <f t="shared" si="2"/>
        <v/>
      </c>
      <c r="T17" s="185" t="str">
        <f t="shared" si="3"/>
        <v/>
      </c>
      <c r="U17" s="150" t="str">
        <f>IFERROR(Q17*Incentives!$C$4+T17*Incentives!$C$5,"")</f>
        <v/>
      </c>
      <c r="V17" s="165" t="str">
        <f>IFERROR(U17*'Project Summary'!$H$37/'Project Summary'!$G$37,"")</f>
        <v/>
      </c>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row>
    <row r="18" spans="2:45" s="149" customFormat="1" ht="22.35" customHeight="1" x14ac:dyDescent="0.2">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row>
    <row r="19" spans="2:45" s="149" customFormat="1" ht="22.35" customHeight="1" x14ac:dyDescent="0.2">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row>
    <row r="20" spans="2:45" ht="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row>
    <row r="21" spans="2:45"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row>
    <row r="22" spans="2:45"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row>
    <row r="23" spans="2:45" x14ac:dyDescent="0.2">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row>
    <row r="24" spans="2:45" x14ac:dyDescent="0.2">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row>
    <row r="25" spans="2:45" x14ac:dyDescent="0.2">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row>
    <row r="26" spans="2:45" x14ac:dyDescent="0.2">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row>
    <row r="27" spans="2:45" x14ac:dyDescent="0.2">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row>
    <row r="28" spans="2:45" x14ac:dyDescent="0.2">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row>
    <row r="29" spans="2:45" x14ac:dyDescent="0.2">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row>
    <row r="30" spans="2:45" x14ac:dyDescent="0.2">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row>
    <row r="31" spans="2:45" x14ac:dyDescent="0.2">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row>
    <row r="32" spans="2:45" x14ac:dyDescent="0.2">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row>
    <row r="33" spans="2:45" x14ac:dyDescent="0.2">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row>
    <row r="34" spans="2:45" x14ac:dyDescent="0.2">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row>
    <row r="35" spans="2:45" x14ac:dyDescent="0.2">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row>
    <row r="36" spans="2:45" x14ac:dyDescent="0.2">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row>
    <row r="37" spans="2:45" x14ac:dyDescent="0.2">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row>
    <row r="38" spans="2:45" x14ac:dyDescent="0.2">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row>
    <row r="39" spans="2:45" x14ac:dyDescent="0.2">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row>
    <row r="40" spans="2:45" x14ac:dyDescent="0.2">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row>
    <row r="41" spans="2:45" x14ac:dyDescent="0.2">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row>
    <row r="42" spans="2:45" x14ac:dyDescent="0.2">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row>
    <row r="43" spans="2:45" x14ac:dyDescent="0.2">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row>
    <row r="44" spans="2:45" x14ac:dyDescent="0.2">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row>
    <row r="45" spans="2:45" x14ac:dyDescent="0.2">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row>
    <row r="46" spans="2:45" x14ac:dyDescent="0.2">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row>
    <row r="47" spans="2:45" x14ac:dyDescent="0.2">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row>
    <row r="48" spans="2:45" x14ac:dyDescent="0.2">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row>
    <row r="49" spans="2:45" x14ac:dyDescent="0.2">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row>
    <row r="50" spans="2:45" x14ac:dyDescent="0.2">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row>
    <row r="51" spans="2:45" x14ac:dyDescent="0.2">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row>
    <row r="52" spans="2:45" x14ac:dyDescent="0.2">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row>
    <row r="53" spans="2:45" x14ac:dyDescent="0.2">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row>
    <row r="54" spans="2:45" x14ac:dyDescent="0.2">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row>
    <row r="55" spans="2:45" x14ac:dyDescent="0.2">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row>
    <row r="56" spans="2:45" x14ac:dyDescent="0.2">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row>
    <row r="57" spans="2:45" x14ac:dyDescent="0.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row>
    <row r="58" spans="2:45" x14ac:dyDescent="0.2">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row>
    <row r="59" spans="2:45" x14ac:dyDescent="0.2">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row>
    <row r="60" spans="2:45" x14ac:dyDescent="0.2">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row>
    <row r="61" spans="2:45" x14ac:dyDescent="0.2">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row>
    <row r="62" spans="2:45" x14ac:dyDescent="0.2">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row>
    <row r="63" spans="2:45" x14ac:dyDescent="0.2">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row>
    <row r="64" spans="2:45" x14ac:dyDescent="0.2">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row>
    <row r="65" spans="2:45" x14ac:dyDescent="0.2">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row>
  </sheetData>
  <sheetProtection formatColumns="0"/>
  <mergeCells count="7">
    <mergeCell ref="Y8:AD13"/>
    <mergeCell ref="B4:P4"/>
    <mergeCell ref="B6:B7"/>
    <mergeCell ref="C6:K6"/>
    <mergeCell ref="L6:T6"/>
    <mergeCell ref="U6:U7"/>
    <mergeCell ref="V6:V7"/>
  </mergeCells>
  <conditionalFormatting sqref="F8:F17">
    <cfRule type="expression" dxfId="2" priority="1">
      <formula>$F8="New Construction"</formula>
    </cfRule>
  </conditionalFormatting>
  <dataValidations count="1">
    <dataValidation allowBlank="1" showErrorMessage="1" promptTitle="Retrofit Only" prompt="This measure is for retrofit projects only. If new Construction, please contact CLEAResult for further assistance._x000a_" sqref="G8:H17 J8:J17" xr:uid="{0DA6E36E-BEAB-4FFC-8426-8D06D1659D45}"/>
  </dataValidations>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Retrofit Only" prompt="This measure is for retrofit projects only. If new Construction, please contact CLEAResult for further assistance._x000a_" xr:uid="{F9350A73-09AF-4660-BB4C-64C1731D6739}">
          <x14:formula1>
            <xm:f>'Look Up Tables'!$F$33:$F$34</xm:f>
          </x14:formula1>
          <xm:sqref>F8:F17</xm:sqref>
        </x14:dataValidation>
        <x14:dataValidation type="list" allowBlank="1" showErrorMessage="1" promptTitle="Retrofit Only" prompt="This measure is for retrofit projects only. If new Construction, please contact CLEAResult for further assistance._x000a_" xr:uid="{15124714-60DE-4ECD-A6AD-98ED7AAA915C}">
          <x14:formula1>
            <xm:f>'Look Up Tables'!$F$9:$F$10</xm:f>
          </x14:formula1>
          <xm:sqref>I8:I17</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C2819-36C9-465D-AA26-2CA4E7224CDD}">
  <sheetPr codeName="Sheet20">
    <tabColor theme="8" tint="0.59999389629810485"/>
  </sheetPr>
  <dimension ref="A1:W26"/>
  <sheetViews>
    <sheetView topLeftCell="A5" zoomScale="85" zoomScaleNormal="85" workbookViewId="0">
      <selection activeCell="O16" sqref="O16"/>
    </sheetView>
  </sheetViews>
  <sheetFormatPr defaultColWidth="9" defaultRowHeight="14.25" x14ac:dyDescent="0.2"/>
  <cols>
    <col min="1" max="1" width="3" style="145" customWidth="1"/>
    <col min="2" max="2" width="6.625" style="145" customWidth="1"/>
    <col min="3" max="3" width="12.125" style="145" customWidth="1"/>
    <col min="4" max="4" width="26.125" style="145" customWidth="1"/>
    <col min="5" max="5" width="18.5" style="145" customWidth="1"/>
    <col min="6" max="6" width="20" style="145" customWidth="1"/>
    <col min="7" max="7" width="10.125" style="145" customWidth="1"/>
    <col min="8" max="8" width="9" style="145"/>
    <col min="9" max="9" width="11.125" style="145" hidden="1" customWidth="1"/>
    <col min="10" max="10" width="12.625" style="145" bestFit="1" customWidth="1"/>
    <col min="11" max="11" width="11.125" style="145" bestFit="1" customWidth="1"/>
    <col min="12" max="12" width="9" style="145" hidden="1" customWidth="1"/>
    <col min="13" max="13" width="9" style="145" customWidth="1"/>
    <col min="14" max="16384" width="9" style="145"/>
  </cols>
  <sheetData>
    <row r="1" spans="1:23" x14ac:dyDescent="0.2">
      <c r="A1" s="144" t="s">
        <v>795</v>
      </c>
      <c r="I1" s="145" t="s">
        <v>207</v>
      </c>
      <c r="L1" s="145" t="s">
        <v>207</v>
      </c>
    </row>
    <row r="3" spans="1:23" ht="34.5" x14ac:dyDescent="0.5">
      <c r="B3" s="188" t="s">
        <v>371</v>
      </c>
      <c r="C3" s="147"/>
      <c r="D3" s="147"/>
      <c r="E3" s="147"/>
      <c r="F3" s="147"/>
      <c r="G3" s="147"/>
    </row>
    <row r="4" spans="1:23" x14ac:dyDescent="0.2">
      <c r="B4" s="797" t="s">
        <v>210</v>
      </c>
      <c r="C4" s="797"/>
      <c r="D4" s="797"/>
      <c r="E4" s="797"/>
      <c r="F4" s="797"/>
      <c r="G4" s="797"/>
      <c r="H4" s="797"/>
      <c r="I4" s="797"/>
      <c r="J4" s="207"/>
    </row>
    <row r="5" spans="1:23" ht="15.75" thickBot="1" x14ac:dyDescent="0.3">
      <c r="B5" s="148"/>
      <c r="C5" s="148"/>
      <c r="D5" s="148"/>
      <c r="E5" s="148"/>
      <c r="F5" s="148"/>
      <c r="G5" s="148"/>
      <c r="P5" s="935"/>
      <c r="Q5" s="935"/>
      <c r="R5" s="935"/>
      <c r="S5" s="935"/>
      <c r="T5" s="935"/>
      <c r="U5" s="935"/>
      <c r="V5" s="935"/>
      <c r="W5" s="935"/>
    </row>
    <row r="6" spans="1:23" ht="21.6" customHeight="1" x14ac:dyDescent="0.2">
      <c r="A6" s="149"/>
      <c r="B6" s="941" t="s">
        <v>275</v>
      </c>
      <c r="C6" s="943" t="s">
        <v>796</v>
      </c>
      <c r="D6" s="944"/>
      <c r="E6" s="944"/>
      <c r="F6" s="944"/>
      <c r="G6" s="944"/>
      <c r="H6" s="945"/>
      <c r="I6" s="953" t="s">
        <v>797</v>
      </c>
      <c r="J6" s="954"/>
      <c r="K6" s="955"/>
      <c r="L6" s="966" t="s">
        <v>219</v>
      </c>
      <c r="M6" s="941" t="s">
        <v>798</v>
      </c>
      <c r="N6" s="149"/>
      <c r="P6" s="935"/>
      <c r="Q6" s="935"/>
      <c r="R6" s="935"/>
      <c r="S6" s="935"/>
      <c r="T6" s="935"/>
      <c r="U6" s="935"/>
      <c r="V6" s="935"/>
      <c r="W6" s="935"/>
    </row>
    <row r="7" spans="1:23" ht="33.6" customHeight="1" thickBot="1" x14ac:dyDescent="0.25">
      <c r="A7" s="150"/>
      <c r="B7" s="942"/>
      <c r="C7" s="151" t="s">
        <v>799</v>
      </c>
      <c r="D7" s="152" t="s">
        <v>141</v>
      </c>
      <c r="E7" s="152" t="s">
        <v>143</v>
      </c>
      <c r="F7" s="153" t="s">
        <v>145</v>
      </c>
      <c r="G7" s="179" t="s">
        <v>173</v>
      </c>
      <c r="H7" s="154" t="s">
        <v>155</v>
      </c>
      <c r="I7" s="198" t="s">
        <v>652</v>
      </c>
      <c r="J7" s="199" t="s">
        <v>192</v>
      </c>
      <c r="K7" s="200" t="s">
        <v>848</v>
      </c>
      <c r="L7" s="967"/>
      <c r="M7" s="950"/>
      <c r="N7" s="150"/>
      <c r="P7" s="935"/>
      <c r="Q7" s="935"/>
      <c r="R7" s="935"/>
      <c r="S7" s="935"/>
      <c r="T7" s="935"/>
      <c r="U7" s="935"/>
      <c r="V7" s="935"/>
      <c r="W7" s="935"/>
    </row>
    <row r="8" spans="1:23" ht="21.6" customHeight="1" x14ac:dyDescent="0.2">
      <c r="A8" s="149"/>
      <c r="B8" s="155">
        <v>1</v>
      </c>
      <c r="C8" s="195"/>
      <c r="D8" s="196"/>
      <c r="E8" s="196"/>
      <c r="F8" s="173"/>
      <c r="G8" s="203"/>
      <c r="H8" s="197"/>
      <c r="I8" s="326" t="str">
        <f>'Project Summary'!$C$10</f>
        <v/>
      </c>
      <c r="J8" s="180">
        <f>IF(F8="Retrofit",ROUND(IF(H8="",0,IFERROR(VLOOKUP($I$8,'Look Up Tables'!$B$142:$D$150,2,0)*G8*H8,0)),2),0)</f>
        <v>0</v>
      </c>
      <c r="K8" s="181">
        <f>IF(F8="Retrofit",ROUND(IF(H8="",0,IFERROR(VLOOKUP($I$8,'Look Up Tables'!$B$142:$D$150,3,0)*G8*H8,0)),4),0)</f>
        <v>0</v>
      </c>
      <c r="L8" s="383">
        <f>IFERROR(J8*Incentives!$C$4+K8*Incentives!$C$5,"")</f>
        <v>0</v>
      </c>
      <c r="M8" s="191" t="str">
        <f>IFERROR(L8*'Project Summary'!$H$37/'Project Summary'!$G$37,"")</f>
        <v/>
      </c>
      <c r="N8" s="150"/>
      <c r="P8" s="935"/>
      <c r="Q8" s="935"/>
      <c r="R8" s="935"/>
      <c r="S8" s="935"/>
      <c r="T8" s="935"/>
      <c r="U8" s="935"/>
      <c r="V8" s="935"/>
      <c r="W8" s="935"/>
    </row>
    <row r="9" spans="1:23" ht="21.6" customHeight="1" x14ac:dyDescent="0.2">
      <c r="A9" s="149"/>
      <c r="B9" s="158">
        <v>2</v>
      </c>
      <c r="C9" s="170"/>
      <c r="D9" s="708"/>
      <c r="E9" s="708"/>
      <c r="F9" s="173"/>
      <c r="G9" s="203"/>
      <c r="H9" s="172"/>
      <c r="I9" s="327" t="str">
        <f>'Project Summary'!$C$10</f>
        <v/>
      </c>
      <c r="J9" s="182">
        <f>IF(F9="Retrofit",ROUND(IF(H9="",0,IFERROR(VLOOKUP($I$8,'Look Up Tables'!$B$142:$D$150,2,0)*G9*H9,0)),2),0)</f>
        <v>0</v>
      </c>
      <c r="K9" s="183">
        <f>IF(F9="Retrofit",ROUND(IF(H9="",0,IFERROR(VLOOKUP($I$8,'Look Up Tables'!$B$142:$D$150,3,0)*G9*H9,0)),4),0)</f>
        <v>0</v>
      </c>
      <c r="L9" s="383">
        <f>IFERROR(J9*Incentives!$C$4+K9*Incentives!$C$5,"")</f>
        <v>0</v>
      </c>
      <c r="M9" s="161" t="str">
        <f>IFERROR(L9*'Project Summary'!$H$37/'Project Summary'!$G$37,"")</f>
        <v/>
      </c>
      <c r="N9" s="150"/>
      <c r="P9" s="935"/>
      <c r="Q9" s="935"/>
      <c r="R9" s="935"/>
      <c r="S9" s="935"/>
      <c r="T9" s="935"/>
      <c r="U9" s="935"/>
      <c r="V9" s="935"/>
      <c r="W9" s="935"/>
    </row>
    <row r="10" spans="1:23" ht="21.6" customHeight="1" x14ac:dyDescent="0.2">
      <c r="A10" s="149"/>
      <c r="B10" s="158">
        <v>3</v>
      </c>
      <c r="C10" s="170"/>
      <c r="D10" s="708"/>
      <c r="E10" s="708"/>
      <c r="F10" s="171"/>
      <c r="G10" s="187"/>
      <c r="H10" s="172"/>
      <c r="I10" s="327" t="str">
        <f>'Project Summary'!$C$10</f>
        <v/>
      </c>
      <c r="J10" s="182">
        <f>IF(F10="Retrofit",ROUND(IF(H10="",0,IFERROR(VLOOKUP($I$8,'Look Up Tables'!$B$142:$D$150,2,0)*G10*H10,0)),2),0)</f>
        <v>0</v>
      </c>
      <c r="K10" s="183">
        <f>IF(F10="Retrofit",ROUND(IF(H10="",0,IFERROR(VLOOKUP($I$8,'Look Up Tables'!$B$142:$D$150,3,0)*G10*H10,0)),4),0)</f>
        <v>0</v>
      </c>
      <c r="L10" s="383">
        <f>IFERROR(J10*Incentives!$C$4+K10*Incentives!$C$5,"")</f>
        <v>0</v>
      </c>
      <c r="M10" s="161" t="str">
        <f>IFERROR(L10*'Project Summary'!$H$37/'Project Summary'!$G$37,"")</f>
        <v/>
      </c>
      <c r="N10" s="150"/>
      <c r="P10" s="935"/>
      <c r="Q10" s="935"/>
      <c r="R10" s="935"/>
      <c r="S10" s="935"/>
      <c r="T10" s="935"/>
      <c r="U10" s="935"/>
      <c r="V10" s="935"/>
      <c r="W10" s="935"/>
    </row>
    <row r="11" spans="1:23" ht="21.6" customHeight="1" x14ac:dyDescent="0.2">
      <c r="A11" s="149"/>
      <c r="B11" s="158">
        <v>4</v>
      </c>
      <c r="C11" s="170"/>
      <c r="D11" s="708"/>
      <c r="E11" s="708"/>
      <c r="F11" s="173"/>
      <c r="G11" s="187"/>
      <c r="H11" s="172"/>
      <c r="I11" s="327" t="str">
        <f>'Project Summary'!$C$10</f>
        <v/>
      </c>
      <c r="J11" s="182">
        <f>IF(F11="Retrofit",ROUND(IF(H11="",0,IFERROR(VLOOKUP($I$8,'Look Up Tables'!$B$142:$D$150,2,0)*G11*H11,0)),2),0)</f>
        <v>0</v>
      </c>
      <c r="K11" s="183">
        <f>IF(F11="Retrofit",ROUND(IF(H11="",0,IFERROR(VLOOKUP($I$8,'Look Up Tables'!$B$142:$D$150,3,0)*G11*H11,0)),4),0)</f>
        <v>0</v>
      </c>
      <c r="L11" s="383">
        <f>IFERROR(J11*Incentives!$C$4+K11*Incentives!$C$5,"")</f>
        <v>0</v>
      </c>
      <c r="M11" s="161" t="str">
        <f>IFERROR(L11*'Project Summary'!$H$37/'Project Summary'!$G$37,"")</f>
        <v/>
      </c>
      <c r="N11" s="150"/>
      <c r="P11" s="935"/>
      <c r="Q11" s="935"/>
      <c r="R11" s="935"/>
      <c r="S11" s="935"/>
      <c r="T11" s="935"/>
      <c r="U11" s="935"/>
      <c r="V11" s="935"/>
      <c r="W11" s="935"/>
    </row>
    <row r="12" spans="1:23" ht="21.6" customHeight="1" x14ac:dyDescent="0.2">
      <c r="A12" s="149"/>
      <c r="B12" s="158">
        <v>5</v>
      </c>
      <c r="C12" s="170"/>
      <c r="D12" s="708"/>
      <c r="E12" s="708"/>
      <c r="F12" s="171"/>
      <c r="G12" s="187"/>
      <c r="H12" s="172"/>
      <c r="I12" s="327" t="str">
        <f>'Project Summary'!$C$10</f>
        <v/>
      </c>
      <c r="J12" s="182">
        <f>IF(F12="Retrofit",ROUND(IF(H12="",0,IFERROR(VLOOKUP($I$8,'Look Up Tables'!$B$142:$D$150,2,0)*G12*H12,0)),2),0)</f>
        <v>0</v>
      </c>
      <c r="K12" s="183">
        <f>IF(F12="Retrofit",ROUND(IF(H12="",0,IFERROR(VLOOKUP($I$8,'Look Up Tables'!$B$142:$D$150,3,0)*G12*H12,0)),4),0)</f>
        <v>0</v>
      </c>
      <c r="L12" s="383">
        <f>IFERROR(J12*Incentives!$C$4+K12*Incentives!$C$5,"")</f>
        <v>0</v>
      </c>
      <c r="M12" s="161" t="str">
        <f>IFERROR(L12*'Project Summary'!$H$37/'Project Summary'!$G$37,"")</f>
        <v/>
      </c>
      <c r="N12" s="150"/>
      <c r="P12" s="935"/>
      <c r="Q12" s="935"/>
      <c r="R12" s="935"/>
      <c r="S12" s="935"/>
      <c r="T12" s="935"/>
      <c r="U12" s="935"/>
      <c r="V12" s="935"/>
      <c r="W12" s="935"/>
    </row>
    <row r="13" spans="1:23" ht="21.6" customHeight="1" x14ac:dyDescent="0.2">
      <c r="A13" s="149"/>
      <c r="B13" s="158">
        <v>6</v>
      </c>
      <c r="C13" s="170"/>
      <c r="D13" s="708"/>
      <c r="E13" s="708"/>
      <c r="F13" s="173"/>
      <c r="G13" s="187"/>
      <c r="H13" s="172"/>
      <c r="I13" s="327" t="str">
        <f>'Project Summary'!$C$10</f>
        <v/>
      </c>
      <c r="J13" s="182">
        <f>IF(F13="Retrofit",ROUND(IF(H13="",0,IFERROR(VLOOKUP($I$8,'Look Up Tables'!$B$142:$D$150,2,0)*G13*H13,0)),2),0)</f>
        <v>0</v>
      </c>
      <c r="K13" s="183">
        <f>IF(F13="Retrofit",ROUND(IF(H13="",0,IFERROR(VLOOKUP($I$8,'Look Up Tables'!$B$142:$D$150,3,0)*G13*H13,0)),4),0)</f>
        <v>0</v>
      </c>
      <c r="L13" s="383">
        <f>IFERROR(J13*Incentives!$C$4+K13*Incentives!$C$5,"")</f>
        <v>0</v>
      </c>
      <c r="M13" s="161" t="str">
        <f>IFERROR(L13*'Project Summary'!$H$37/'Project Summary'!$G$37,"")</f>
        <v/>
      </c>
      <c r="N13" s="150"/>
      <c r="P13" s="935"/>
      <c r="Q13" s="935"/>
      <c r="R13" s="935"/>
      <c r="S13" s="935"/>
      <c r="T13" s="935"/>
      <c r="U13" s="935"/>
      <c r="V13" s="935"/>
      <c r="W13" s="935"/>
    </row>
    <row r="14" spans="1:23" ht="21.6" customHeight="1" x14ac:dyDescent="0.2">
      <c r="A14" s="149"/>
      <c r="B14" s="158">
        <v>7</v>
      </c>
      <c r="C14" s="170"/>
      <c r="D14" s="708"/>
      <c r="E14" s="708"/>
      <c r="F14" s="171"/>
      <c r="G14" s="187"/>
      <c r="H14" s="172"/>
      <c r="I14" s="327" t="str">
        <f>'Project Summary'!$C$10</f>
        <v/>
      </c>
      <c r="J14" s="182">
        <f>IF(F14="Retrofit",ROUND(IF(H14="",0,IFERROR(VLOOKUP($I$8,'Look Up Tables'!$B$142:$D$150,2,0)*G14*H14,0)),2),0)</f>
        <v>0</v>
      </c>
      <c r="K14" s="183">
        <f>IF(F14="Retrofit",ROUND(IF(H14="",0,IFERROR(VLOOKUP($I$8,'Look Up Tables'!$B$142:$D$150,3,0)*G14*H14,0)),4),0)</f>
        <v>0</v>
      </c>
      <c r="L14" s="383">
        <f>IFERROR(J14*Incentives!$C$4+K14*Incentives!$C$5,"")</f>
        <v>0</v>
      </c>
      <c r="M14" s="161" t="str">
        <f>IFERROR(L14*'Project Summary'!$H$37/'Project Summary'!$G$37,"")</f>
        <v/>
      </c>
      <c r="N14" s="150"/>
      <c r="P14" s="935"/>
      <c r="Q14" s="935"/>
      <c r="R14" s="935"/>
      <c r="S14" s="935"/>
      <c r="T14" s="935"/>
      <c r="U14" s="935"/>
      <c r="V14" s="935"/>
      <c r="W14" s="935"/>
    </row>
    <row r="15" spans="1:23" ht="21.6" customHeight="1" x14ac:dyDescent="0.2">
      <c r="A15" s="149"/>
      <c r="B15" s="158">
        <v>8</v>
      </c>
      <c r="C15" s="170"/>
      <c r="D15" s="708"/>
      <c r="E15" s="708"/>
      <c r="F15" s="173"/>
      <c r="G15" s="187"/>
      <c r="H15" s="172"/>
      <c r="I15" s="327" t="str">
        <f>'Project Summary'!$C$10</f>
        <v/>
      </c>
      <c r="J15" s="182">
        <f>IF(F15="Retrofit",ROUND(IF(H15="",0,IFERROR(VLOOKUP($I$8,'Look Up Tables'!$B$142:$D$150,2,0)*G15*H15,0)),2),0)</f>
        <v>0</v>
      </c>
      <c r="K15" s="183">
        <f>IF(F15="Retrofit",ROUND(IF(H15="",0,IFERROR(VLOOKUP($I$8,'Look Up Tables'!$B$142:$D$150,3,0)*G15*H15,0)),4),0)</f>
        <v>0</v>
      </c>
      <c r="L15" s="383">
        <f>IFERROR(J15*Incentives!$C$4+K15*Incentives!$C$5,"")</f>
        <v>0</v>
      </c>
      <c r="M15" s="161" t="str">
        <f>IFERROR(L15*'Project Summary'!$H$37/'Project Summary'!$G$37,"")</f>
        <v/>
      </c>
      <c r="N15" s="150"/>
      <c r="P15" s="935"/>
      <c r="Q15" s="935"/>
      <c r="R15" s="935"/>
      <c r="S15" s="935"/>
      <c r="T15" s="935"/>
      <c r="U15" s="935"/>
      <c r="V15" s="935"/>
      <c r="W15" s="935"/>
    </row>
    <row r="16" spans="1:23" ht="21.6" customHeight="1" x14ac:dyDescent="0.2">
      <c r="A16" s="149"/>
      <c r="B16" s="158">
        <v>9</v>
      </c>
      <c r="C16" s="170"/>
      <c r="D16" s="708"/>
      <c r="E16" s="708"/>
      <c r="F16" s="171"/>
      <c r="G16" s="187"/>
      <c r="H16" s="172"/>
      <c r="I16" s="327" t="str">
        <f>'Project Summary'!$C$10</f>
        <v/>
      </c>
      <c r="J16" s="182">
        <f>IF(F16="Retrofit",ROUND(IF(H16="",0,IFERROR(VLOOKUP($I$8,'Look Up Tables'!$B$142:$D$150,2,0)*G16*H16,0)),2),0)</f>
        <v>0</v>
      </c>
      <c r="K16" s="183">
        <f>IF(F16="Retrofit",ROUND(IF(H16="",0,IFERROR(VLOOKUP($I$8,'Look Up Tables'!$B$142:$D$150,3,0)*G16*H16,0)),4),0)</f>
        <v>0</v>
      </c>
      <c r="L16" s="383">
        <f>IFERROR(J16*Incentives!$C$4+K16*Incentives!$C$5,"")</f>
        <v>0</v>
      </c>
      <c r="M16" s="161" t="str">
        <f>IFERROR(L16*'Project Summary'!$H$37/'Project Summary'!$G$37,"")</f>
        <v/>
      </c>
      <c r="N16" s="150"/>
    </row>
    <row r="17" spans="1:14" ht="21.6" customHeight="1" thickBot="1" x14ac:dyDescent="0.25">
      <c r="A17" s="149"/>
      <c r="B17" s="162">
        <v>10</v>
      </c>
      <c r="C17" s="174"/>
      <c r="D17" s="175"/>
      <c r="E17" s="175"/>
      <c r="F17" s="177"/>
      <c r="G17" s="204"/>
      <c r="H17" s="178"/>
      <c r="I17" s="328" t="str">
        <f>'Project Summary'!$C$10</f>
        <v/>
      </c>
      <c r="J17" s="184">
        <f>IF(F17="Retrofit",ROUND(IF(H17="",0,IFERROR(VLOOKUP($I$8,'Look Up Tables'!$B$142:$D$150,2,0)*G17*H17,0)),2),0)</f>
        <v>0</v>
      </c>
      <c r="K17" s="185">
        <f>IF(F17="Retrofit",ROUND(IF(H17="",0,IFERROR(VLOOKUP($I$8,'Look Up Tables'!$B$142:$D$150,3,0)*G17*H17,0)),4),0)</f>
        <v>0</v>
      </c>
      <c r="L17" s="384">
        <f>IFERROR(J17*Incentives!$C$4+K17*Incentives!$C$5,"")</f>
        <v>0</v>
      </c>
      <c r="M17" s="165" t="str">
        <f>IFERROR(L17*'Project Summary'!$H$37/'Project Summary'!$G$37,"")</f>
        <v/>
      </c>
      <c r="N17" s="150"/>
    </row>
    <row r="18" spans="1:14" x14ac:dyDescent="0.2">
      <c r="A18" s="149"/>
      <c r="B18" s="150"/>
      <c r="C18" s="150"/>
      <c r="D18" s="150"/>
      <c r="E18" s="150"/>
      <c r="F18" s="150"/>
      <c r="G18" s="150"/>
      <c r="H18" s="150"/>
      <c r="I18" s="150"/>
      <c r="J18" s="150"/>
      <c r="K18" s="150"/>
      <c r="L18" s="150"/>
      <c r="M18" s="150"/>
      <c r="N18" s="150"/>
    </row>
    <row r="19" spans="1:14" x14ac:dyDescent="0.2">
      <c r="A19" s="149"/>
      <c r="B19" s="150"/>
      <c r="C19" s="150"/>
      <c r="D19" s="150"/>
      <c r="E19" s="150"/>
      <c r="F19" s="150"/>
      <c r="G19" s="150"/>
      <c r="H19" s="150"/>
      <c r="I19" s="150"/>
      <c r="J19" s="150"/>
      <c r="K19" s="150"/>
      <c r="L19" s="150"/>
      <c r="M19" s="150"/>
      <c r="N19" s="150"/>
    </row>
    <row r="20" spans="1:14" x14ac:dyDescent="0.2">
      <c r="B20" s="150"/>
      <c r="C20" s="150"/>
      <c r="D20" s="150"/>
      <c r="E20" s="150"/>
      <c r="F20" s="150"/>
      <c r="G20" s="150"/>
      <c r="H20" s="150"/>
      <c r="I20" s="150"/>
      <c r="J20" s="150"/>
      <c r="K20" s="150"/>
      <c r="L20" s="150"/>
      <c r="M20" s="150"/>
      <c r="N20" s="150"/>
    </row>
    <row r="21" spans="1:14" x14ac:dyDescent="0.2">
      <c r="B21" s="150"/>
      <c r="C21" s="150"/>
      <c r="D21" s="150"/>
      <c r="E21" s="150"/>
      <c r="F21" s="150"/>
      <c r="G21" s="150"/>
      <c r="H21" s="150"/>
      <c r="I21" s="150"/>
      <c r="J21" s="150"/>
      <c r="K21" s="150"/>
      <c r="L21" s="150"/>
      <c r="M21" s="150"/>
      <c r="N21" s="150"/>
    </row>
    <row r="22" spans="1:14" x14ac:dyDescent="0.2">
      <c r="B22" s="150"/>
      <c r="C22" s="150"/>
      <c r="D22" s="150"/>
      <c r="E22" s="150"/>
      <c r="F22" s="150"/>
      <c r="G22" s="150"/>
      <c r="H22" s="150"/>
      <c r="I22" s="150"/>
      <c r="J22" s="150"/>
      <c r="K22" s="150"/>
      <c r="L22" s="150"/>
      <c r="M22" s="150"/>
      <c r="N22" s="150"/>
    </row>
    <row r="23" spans="1:14" x14ac:dyDescent="0.2">
      <c r="B23" s="150"/>
      <c r="C23" s="150"/>
      <c r="D23" s="150"/>
      <c r="E23" s="150"/>
      <c r="F23" s="150"/>
      <c r="G23" s="150"/>
      <c r="H23" s="150"/>
      <c r="I23" s="150"/>
      <c r="J23" s="150"/>
      <c r="K23" s="150"/>
      <c r="L23" s="150"/>
      <c r="M23" s="150"/>
      <c r="N23" s="150"/>
    </row>
    <row r="24" spans="1:14" x14ac:dyDescent="0.2">
      <c r="B24" s="150"/>
      <c r="C24" s="150"/>
      <c r="D24" s="150"/>
      <c r="E24" s="150"/>
      <c r="F24" s="150"/>
      <c r="G24" s="150"/>
      <c r="H24" s="150"/>
      <c r="I24" s="150"/>
      <c r="J24" s="150"/>
      <c r="K24" s="150"/>
      <c r="L24" s="150"/>
      <c r="M24" s="150"/>
      <c r="N24" s="150"/>
    </row>
    <row r="25" spans="1:14" x14ac:dyDescent="0.2">
      <c r="B25" s="150"/>
      <c r="C25" s="150"/>
      <c r="D25" s="150"/>
      <c r="E25" s="150"/>
      <c r="F25" s="150"/>
      <c r="G25" s="150"/>
      <c r="H25" s="150"/>
      <c r="I25" s="150"/>
      <c r="J25" s="150"/>
      <c r="K25" s="150"/>
      <c r="L25" s="150"/>
      <c r="M25" s="150"/>
      <c r="N25" s="150"/>
    </row>
    <row r="26" spans="1:14" x14ac:dyDescent="0.2">
      <c r="B26" s="150"/>
      <c r="C26" s="150"/>
      <c r="D26" s="150"/>
      <c r="E26" s="150"/>
      <c r="F26" s="150"/>
      <c r="G26" s="150"/>
      <c r="H26" s="150"/>
      <c r="I26" s="150"/>
      <c r="J26" s="150"/>
      <c r="K26" s="150"/>
      <c r="L26" s="150"/>
      <c r="M26" s="150"/>
      <c r="N26" s="150"/>
    </row>
  </sheetData>
  <sheetProtection algorithmName="SHA-512" hashValue="mIUusZS1f/qGG6YZtT5NIC/k4YBbjTwIyZAi8NfXbQKN8TN29Az7v7ew5byrbKYlG4lk2FTo0j3WlN/1KRyxmQ==" saltValue="0QG/tnXz3jleBRfZDuEJuA==" spinCount="100000" sheet="1" objects="1" formatColumns="0"/>
  <mergeCells count="7">
    <mergeCell ref="P5:W15"/>
    <mergeCell ref="B4:I4"/>
    <mergeCell ref="C6:H6"/>
    <mergeCell ref="I6:K6"/>
    <mergeCell ref="L6:L7"/>
    <mergeCell ref="M6:M7"/>
    <mergeCell ref="B6:B7"/>
  </mergeCells>
  <conditionalFormatting sqref="F8:F17">
    <cfRule type="expression" dxfId="1" priority="1">
      <formula>$F8="New Construction"</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xWindow="577" yWindow="534" count="1">
        <x14:dataValidation type="list" allowBlank="1" showInputMessage="1" showErrorMessage="1" promptTitle="Retrofit Only" prompt="This measure is for retrofit projects only. If new Construction, please contact CLEAResult for further assistance._x000a_" xr:uid="{F13A6349-60FE-4AB0-9DC1-5A5124668533}">
          <x14:formula1>
            <xm:f>'Look Up Tables'!$F$33:$F$34</xm:f>
          </x14:formula1>
          <xm:sqref>F8:F17</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A8B06-196B-4373-BAB6-F623C874277E}">
  <sheetPr codeName="Sheet21">
    <tabColor theme="8" tint="0.59999389629810485"/>
  </sheetPr>
  <dimension ref="A1:AH22"/>
  <sheetViews>
    <sheetView zoomScale="80" zoomScaleNormal="80" workbookViewId="0">
      <selection activeCell="F8" sqref="F8:K17"/>
    </sheetView>
  </sheetViews>
  <sheetFormatPr defaultColWidth="9" defaultRowHeight="14.25" x14ac:dyDescent="0.2"/>
  <cols>
    <col min="1" max="1" width="3.125" style="145" customWidth="1"/>
    <col min="2" max="2" width="5.125" style="145" customWidth="1"/>
    <col min="3" max="3" width="19.125" style="145" customWidth="1"/>
    <col min="4" max="4" width="17.5" style="145" customWidth="1"/>
    <col min="5" max="5" width="19.625" style="145" customWidth="1"/>
    <col min="6" max="6" width="18.125" style="145" customWidth="1"/>
    <col min="7" max="7" width="17" style="145" customWidth="1"/>
    <col min="8" max="8" width="28.625" style="145" customWidth="1"/>
    <col min="9" max="10" width="19.125" style="145" customWidth="1"/>
    <col min="11" max="11" width="9" style="145" customWidth="1"/>
    <col min="12" max="12" width="14.5" style="145" hidden="1" customWidth="1"/>
    <col min="13" max="13" width="5.625" style="145" hidden="1" customWidth="1"/>
    <col min="14" max="14" width="8.625" style="145" hidden="1" customWidth="1"/>
    <col min="15" max="15" width="8" style="145" hidden="1" customWidth="1"/>
    <col min="16" max="16" width="8.625" style="145" hidden="1" customWidth="1"/>
    <col min="17" max="17" width="5.625" style="145" hidden="1" customWidth="1"/>
    <col min="18" max="18" width="9" style="145" hidden="1" customWidth="1"/>
    <col min="19" max="19" width="8.5" style="145" hidden="1" customWidth="1"/>
    <col min="20" max="20" width="6.125" style="145" hidden="1" customWidth="1"/>
    <col min="21" max="21" width="12.125" style="145" hidden="1" customWidth="1"/>
    <col min="22" max="22" width="8.125" style="145" hidden="1" customWidth="1"/>
    <col min="23" max="23" width="12.625" style="145" bestFit="1" customWidth="1"/>
    <col min="24" max="24" width="11.5" style="145" bestFit="1" customWidth="1"/>
    <col min="25" max="25" width="9" style="145" hidden="1" customWidth="1"/>
    <col min="26" max="26" width="14.125" style="145" customWidth="1"/>
    <col min="27" max="16384" width="9" style="145"/>
  </cols>
  <sheetData>
    <row r="1" spans="1:34" x14ac:dyDescent="0.2">
      <c r="A1" s="144" t="s">
        <v>795</v>
      </c>
      <c r="L1" s="145" t="s">
        <v>207</v>
      </c>
      <c r="M1" s="145" t="s">
        <v>207</v>
      </c>
      <c r="N1" s="145" t="s">
        <v>207</v>
      </c>
      <c r="O1" s="145" t="s">
        <v>207</v>
      </c>
      <c r="P1" s="145" t="s">
        <v>207</v>
      </c>
      <c r="Q1" s="145" t="s">
        <v>207</v>
      </c>
      <c r="R1" s="145" t="s">
        <v>207</v>
      </c>
      <c r="S1" s="145" t="s">
        <v>207</v>
      </c>
      <c r="T1" s="145" t="s">
        <v>207</v>
      </c>
      <c r="U1" s="145" t="s">
        <v>207</v>
      </c>
      <c r="V1" s="145" t="s">
        <v>207</v>
      </c>
      <c r="Y1" s="145" t="s">
        <v>207</v>
      </c>
    </row>
    <row r="3" spans="1:34" ht="34.5" x14ac:dyDescent="0.5">
      <c r="B3" s="146" t="s">
        <v>231</v>
      </c>
      <c r="C3" s="147"/>
      <c r="D3" s="147"/>
      <c r="E3" s="147"/>
      <c r="F3" s="147"/>
    </row>
    <row r="4" spans="1:34" x14ac:dyDescent="0.2">
      <c r="B4" s="797" t="s">
        <v>210</v>
      </c>
      <c r="C4" s="797"/>
      <c r="D4" s="797"/>
      <c r="E4" s="797"/>
      <c r="F4" s="797"/>
      <c r="G4" s="797"/>
      <c r="H4" s="797"/>
      <c r="I4" s="797"/>
      <c r="J4" s="797"/>
      <c r="K4" s="797"/>
      <c r="L4" s="797"/>
      <c r="M4" s="797"/>
      <c r="N4" s="797"/>
      <c r="O4" s="797"/>
    </row>
    <row r="5" spans="1:34" ht="15.75" thickBot="1" x14ac:dyDescent="0.3">
      <c r="B5" s="148"/>
      <c r="C5" s="148"/>
      <c r="D5" s="148"/>
      <c r="E5" s="148"/>
      <c r="F5" s="148"/>
    </row>
    <row r="6" spans="1:34" ht="22.35" customHeight="1" thickBot="1" x14ac:dyDescent="0.25">
      <c r="A6" s="149"/>
      <c r="B6" s="941" t="s">
        <v>275</v>
      </c>
      <c r="C6" s="943" t="s">
        <v>796</v>
      </c>
      <c r="D6" s="944"/>
      <c r="E6" s="944"/>
      <c r="F6" s="944"/>
      <c r="G6" s="944"/>
      <c r="H6" s="944"/>
      <c r="I6" s="944"/>
      <c r="J6" s="944"/>
      <c r="K6" s="945"/>
      <c r="L6" s="968" t="s">
        <v>797</v>
      </c>
      <c r="M6" s="969"/>
      <c r="N6" s="969"/>
      <c r="O6" s="969"/>
      <c r="P6" s="969"/>
      <c r="Q6" s="969"/>
      <c r="R6" s="969"/>
      <c r="S6" s="969"/>
      <c r="T6" s="969"/>
      <c r="U6" s="969"/>
      <c r="V6" s="969"/>
      <c r="W6" s="969"/>
      <c r="X6" s="970"/>
      <c r="Y6" s="960" t="s">
        <v>219</v>
      </c>
      <c r="Z6" s="941" t="s">
        <v>798</v>
      </c>
      <c r="AC6" s="379"/>
      <c r="AD6" s="379"/>
      <c r="AE6" s="379"/>
      <c r="AF6" s="379"/>
      <c r="AG6" s="379"/>
      <c r="AH6" s="379"/>
    </row>
    <row r="7" spans="1:34" ht="34.35" customHeight="1" thickBot="1" x14ac:dyDescent="0.25">
      <c r="A7" s="150"/>
      <c r="B7" s="942"/>
      <c r="C7" s="198" t="s">
        <v>799</v>
      </c>
      <c r="D7" s="205" t="s">
        <v>141</v>
      </c>
      <c r="E7" s="205" t="s">
        <v>143</v>
      </c>
      <c r="F7" s="199" t="s">
        <v>145</v>
      </c>
      <c r="G7" s="199" t="s">
        <v>877</v>
      </c>
      <c r="H7" s="208" t="s">
        <v>878</v>
      </c>
      <c r="I7" s="208" t="s">
        <v>838</v>
      </c>
      <c r="J7" s="208" t="s">
        <v>879</v>
      </c>
      <c r="K7" s="200" t="s">
        <v>155</v>
      </c>
      <c r="L7" s="209" t="s">
        <v>652</v>
      </c>
      <c r="M7" s="210" t="s">
        <v>880</v>
      </c>
      <c r="N7" s="210" t="s">
        <v>881</v>
      </c>
      <c r="O7" s="210" t="s">
        <v>882</v>
      </c>
      <c r="P7" s="210" t="s">
        <v>883</v>
      </c>
      <c r="Q7" s="210" t="s">
        <v>884</v>
      </c>
      <c r="R7" s="210" t="s">
        <v>885</v>
      </c>
      <c r="S7" s="210" t="s">
        <v>886</v>
      </c>
      <c r="T7" s="210" t="s">
        <v>719</v>
      </c>
      <c r="U7" s="210" t="s">
        <v>887</v>
      </c>
      <c r="V7" s="210" t="s">
        <v>888</v>
      </c>
      <c r="W7" s="211" t="s">
        <v>192</v>
      </c>
      <c r="X7" s="211" t="s">
        <v>848</v>
      </c>
      <c r="Y7" s="960"/>
      <c r="Z7" s="950"/>
      <c r="AB7" s="379"/>
      <c r="AC7" s="379"/>
      <c r="AD7" s="379"/>
      <c r="AE7" s="379"/>
      <c r="AF7" s="379"/>
      <c r="AG7" s="379"/>
      <c r="AH7" s="379"/>
    </row>
    <row r="8" spans="1:34" ht="22.35" customHeight="1" x14ac:dyDescent="0.2">
      <c r="A8" s="149"/>
      <c r="B8" s="155">
        <v>1</v>
      </c>
      <c r="C8" s="166"/>
      <c r="D8" s="167"/>
      <c r="E8" s="167"/>
      <c r="F8" s="168"/>
      <c r="G8" s="168"/>
      <c r="H8" s="168"/>
      <c r="I8" s="186"/>
      <c r="J8" s="215"/>
      <c r="K8" s="169"/>
      <c r="L8" s="192" t="str">
        <f>'Project Summary'!$C$10</f>
        <v/>
      </c>
      <c r="M8" s="193">
        <f>IF(H8='Look Up Tables'!$H$156,VLOOKUP('Refrigeration Economizer'!L8,'Look Up Tables'!$B$155:$F$163,3,FALSE),IF(H8='Look Up Tables'!$H$157,VLOOKUP('Refrigeration Economizer'!L8,'Look Up Tables'!$B$155:$F$163,4,FALSE),IF(H8='Look Up Tables'!$H$158,VLOOKUP('Refrigeration Economizer'!L8,'Look Up Tables'!$B$155:$F$163,5,FALSE),0)))</f>
        <v>0</v>
      </c>
      <c r="N8" s="193">
        <v>0.123</v>
      </c>
      <c r="O8" s="193">
        <v>3.5000000000000003E-2</v>
      </c>
      <c r="P8" s="193">
        <v>0.22700000000000001</v>
      </c>
      <c r="Q8" s="193">
        <v>1.29</v>
      </c>
      <c r="R8" s="212">
        <v>0.5</v>
      </c>
      <c r="S8" s="212">
        <v>0.63</v>
      </c>
      <c r="T8" s="193">
        <f>IF(K8="",0,VLOOKUP(L8,'Look Up Tables'!$B$155:$F$163,2,FALSE))</f>
        <v>0</v>
      </c>
      <c r="U8" s="193">
        <f>IF(K8="",0,((G8*M8)+((N8*I8)-O8)*T8*R8*Q8)-(P8*S8*T8)*K8)</f>
        <v>0</v>
      </c>
      <c r="V8" s="319">
        <f>IF(K8="",0,(G8*M8)-(P8*S8*T8)*K8)</f>
        <v>0</v>
      </c>
      <c r="W8" s="329">
        <f>IFERROR(IF(F8="Retrofit",ROUND(IF(J8="YES",U8,V8),2),0),"")</f>
        <v>0</v>
      </c>
      <c r="X8" s="315">
        <v>0</v>
      </c>
      <c r="Y8" s="150">
        <f>IFERROR(W8*Incentives!$C$4+X8*Incentives!$C$5,"")</f>
        <v>0</v>
      </c>
      <c r="Z8" s="191" t="str">
        <f>IFERROR(Y8*'Project Summary'!$H$37/'Project Summary'!$G$37,"")</f>
        <v/>
      </c>
      <c r="AB8" s="379"/>
      <c r="AC8" s="379"/>
      <c r="AD8" s="379"/>
      <c r="AE8" s="379"/>
      <c r="AF8" s="379"/>
      <c r="AG8" s="379"/>
      <c r="AH8" s="379"/>
    </row>
    <row r="9" spans="1:34" ht="22.35" customHeight="1" x14ac:dyDescent="0.2">
      <c r="A9" s="149"/>
      <c r="B9" s="158">
        <v>2</v>
      </c>
      <c r="C9" s="170"/>
      <c r="D9" s="708"/>
      <c r="E9" s="708"/>
      <c r="F9" s="216"/>
      <c r="G9" s="217"/>
      <c r="H9" s="217"/>
      <c r="I9" s="218"/>
      <c r="J9" s="171"/>
      <c r="K9" s="219"/>
      <c r="L9" s="159" t="str">
        <f>'Project Summary'!$C$10</f>
        <v/>
      </c>
      <c r="M9" s="160">
        <f>IF(H9='Look Up Tables'!$H$156,VLOOKUP('Refrigeration Economizer'!L9,'Look Up Tables'!$B$155:$F$163,3,FALSE),IF(H9='Look Up Tables'!$H$157,VLOOKUP('Refrigeration Economizer'!L9,'Look Up Tables'!$B$155:$F$163,4,FALSE),IF(H9='Look Up Tables'!$H$158,VLOOKUP('Refrigeration Economizer'!L9,'Look Up Tables'!$B$155:$F$163,5,FALSE),0)))</f>
        <v>0</v>
      </c>
      <c r="N9" s="160">
        <v>0.123</v>
      </c>
      <c r="O9" s="160">
        <v>3.5000000000000003E-2</v>
      </c>
      <c r="P9" s="160">
        <v>0.22700000000000001</v>
      </c>
      <c r="Q9" s="160">
        <v>1.29</v>
      </c>
      <c r="R9" s="213">
        <v>0.5</v>
      </c>
      <c r="S9" s="213">
        <v>0.63</v>
      </c>
      <c r="T9" s="160">
        <f>IF(K9="",0,VLOOKUP(L9,'Look Up Tables'!$B$155:$F$163,2,FALSE))</f>
        <v>0</v>
      </c>
      <c r="U9" s="160">
        <f t="shared" ref="U9:U17" si="0">IF(K9="",0,((G9*M9)+((N9*I9)-O9)*T9*R9*Q9)-(P9*S9*T9)*K9)</f>
        <v>0</v>
      </c>
      <c r="V9" s="320">
        <f t="shared" ref="V9:V17" si="1">IF(K9="",0,(G9*M9)-(P9*S9*T9)*K9)</f>
        <v>0</v>
      </c>
      <c r="W9" s="330">
        <f t="shared" ref="W9:W17" si="2">IFERROR(IF(F9="Retrofit",ROUND(IF(J9="YES",U9,V9),2),0),"")</f>
        <v>0</v>
      </c>
      <c r="X9" s="316">
        <v>0</v>
      </c>
      <c r="Y9" s="150">
        <f>IFERROR(W9*Incentives!$C$4+X9*Incentives!$C$5,"")</f>
        <v>0</v>
      </c>
      <c r="Z9" s="161" t="str">
        <f>IFERROR(Y9*'Project Summary'!$H$37/'Project Summary'!$G$37,"")</f>
        <v/>
      </c>
      <c r="AB9" s="379"/>
      <c r="AC9" s="379"/>
      <c r="AD9" s="379"/>
      <c r="AE9" s="379"/>
      <c r="AF9" s="379"/>
      <c r="AG9" s="379"/>
      <c r="AH9" s="379"/>
    </row>
    <row r="10" spans="1:34" ht="22.35" customHeight="1" x14ac:dyDescent="0.2">
      <c r="A10" s="149"/>
      <c r="B10" s="158">
        <v>3</v>
      </c>
      <c r="C10" s="170"/>
      <c r="D10" s="708"/>
      <c r="E10" s="708"/>
      <c r="F10" s="171"/>
      <c r="G10" s="171"/>
      <c r="H10" s="171"/>
      <c r="I10" s="171"/>
      <c r="J10" s="171"/>
      <c r="K10" s="172"/>
      <c r="L10" s="159" t="str">
        <f>'Project Summary'!$C$10</f>
        <v/>
      </c>
      <c r="M10" s="160">
        <f>IF(H10='Look Up Tables'!$H$156,VLOOKUP('Refrigeration Economizer'!L10,'Look Up Tables'!$B$155:$F$163,3,FALSE),IF(H10='Look Up Tables'!$H$157,VLOOKUP('Refrigeration Economizer'!L10,'Look Up Tables'!$B$155:$F$163,4,FALSE),IF(H10='Look Up Tables'!$H$158,VLOOKUP('Refrigeration Economizer'!L10,'Look Up Tables'!$B$155:$F$163,5,FALSE),0)))</f>
        <v>0</v>
      </c>
      <c r="N10" s="160">
        <v>0.123</v>
      </c>
      <c r="O10" s="160">
        <v>3.5000000000000003E-2</v>
      </c>
      <c r="P10" s="160">
        <v>0.22700000000000001</v>
      </c>
      <c r="Q10" s="160">
        <v>1.29</v>
      </c>
      <c r="R10" s="213">
        <v>0.5</v>
      </c>
      <c r="S10" s="213">
        <v>0.63</v>
      </c>
      <c r="T10" s="160">
        <f>IF(K10="",0,VLOOKUP(L10,'Look Up Tables'!$B$155:$F$163,2,FALSE))</f>
        <v>0</v>
      </c>
      <c r="U10" s="160">
        <f t="shared" si="0"/>
        <v>0</v>
      </c>
      <c r="V10" s="320">
        <f t="shared" si="1"/>
        <v>0</v>
      </c>
      <c r="W10" s="330">
        <f t="shared" si="2"/>
        <v>0</v>
      </c>
      <c r="X10" s="316">
        <v>0</v>
      </c>
      <c r="Y10" s="150">
        <f>IFERROR(W10*Incentives!$C$4+X10*Incentives!$C$5,"")</f>
        <v>0</v>
      </c>
      <c r="Z10" s="161" t="str">
        <f>IFERROR(Y10*'Project Summary'!$H$37/'Project Summary'!$G$37,"")</f>
        <v/>
      </c>
      <c r="AB10" s="379"/>
      <c r="AC10" s="379"/>
      <c r="AD10" s="379"/>
      <c r="AE10" s="379"/>
      <c r="AF10" s="379"/>
      <c r="AG10" s="379"/>
      <c r="AH10" s="379"/>
    </row>
    <row r="11" spans="1:34" ht="22.35" customHeight="1" x14ac:dyDescent="0.2">
      <c r="A11" s="149"/>
      <c r="B11" s="158">
        <v>4</v>
      </c>
      <c r="C11" s="170"/>
      <c r="D11" s="708"/>
      <c r="E11" s="708"/>
      <c r="F11" s="216"/>
      <c r="G11" s="171"/>
      <c r="H11" s="171"/>
      <c r="I11" s="171"/>
      <c r="J11" s="171"/>
      <c r="K11" s="172"/>
      <c r="L11" s="159" t="str">
        <f>'Project Summary'!$C$10</f>
        <v/>
      </c>
      <c r="M11" s="160">
        <f>IF(H11='Look Up Tables'!$H$156,VLOOKUP('Refrigeration Economizer'!L11,'Look Up Tables'!$B$155:$F$163,3,FALSE),IF(H11='Look Up Tables'!$H$157,VLOOKUP('Refrigeration Economizer'!L11,'Look Up Tables'!$B$155:$F$163,4,FALSE),IF(H11='Look Up Tables'!$H$158,VLOOKUP('Refrigeration Economizer'!L11,'Look Up Tables'!$B$155:$F$163,5,FALSE),0)))</f>
        <v>0</v>
      </c>
      <c r="N11" s="160">
        <v>0.123</v>
      </c>
      <c r="O11" s="160">
        <v>3.5000000000000003E-2</v>
      </c>
      <c r="P11" s="160">
        <v>0.22700000000000001</v>
      </c>
      <c r="Q11" s="160">
        <v>1.29</v>
      </c>
      <c r="R11" s="213">
        <v>0.5</v>
      </c>
      <c r="S11" s="213">
        <v>0.63</v>
      </c>
      <c r="T11" s="160">
        <f>IF(K11="",0,VLOOKUP(L11,'Look Up Tables'!$B$155:$F$163,2,FALSE))</f>
        <v>0</v>
      </c>
      <c r="U11" s="160">
        <f t="shared" si="0"/>
        <v>0</v>
      </c>
      <c r="V11" s="320">
        <f t="shared" si="1"/>
        <v>0</v>
      </c>
      <c r="W11" s="330">
        <f t="shared" si="2"/>
        <v>0</v>
      </c>
      <c r="X11" s="316">
        <v>0</v>
      </c>
      <c r="Y11" s="150">
        <f>IFERROR(W11*Incentives!$C$4+X11*Incentives!$C$5,"")</f>
        <v>0</v>
      </c>
      <c r="Z11" s="161" t="str">
        <f>IFERROR(Y11*'Project Summary'!$H$37/'Project Summary'!$G$37,"")</f>
        <v/>
      </c>
      <c r="AB11" s="379"/>
      <c r="AC11" s="379"/>
      <c r="AD11" s="379"/>
      <c r="AE11" s="379"/>
      <c r="AF11" s="379"/>
      <c r="AG11" s="379"/>
      <c r="AH11" s="379"/>
    </row>
    <row r="12" spans="1:34" ht="22.35" customHeight="1" x14ac:dyDescent="0.2">
      <c r="A12" s="149"/>
      <c r="B12" s="158">
        <v>5</v>
      </c>
      <c r="C12" s="170"/>
      <c r="D12" s="708"/>
      <c r="E12" s="708"/>
      <c r="F12" s="171"/>
      <c r="G12" s="171"/>
      <c r="H12" s="171"/>
      <c r="I12" s="171"/>
      <c r="J12" s="171"/>
      <c r="K12" s="172"/>
      <c r="L12" s="159" t="str">
        <f>'Project Summary'!$C$10</f>
        <v/>
      </c>
      <c r="M12" s="160">
        <f>IF(H12='Look Up Tables'!$H$156,VLOOKUP('Refrigeration Economizer'!L12,'Look Up Tables'!$B$155:$F$163,3,FALSE),IF(H12='Look Up Tables'!$H$157,VLOOKUP('Refrigeration Economizer'!L12,'Look Up Tables'!$B$155:$F$163,4,FALSE),IF(H12='Look Up Tables'!$H$158,VLOOKUP('Refrigeration Economizer'!L12,'Look Up Tables'!$B$155:$F$163,5,FALSE),0)))</f>
        <v>0</v>
      </c>
      <c r="N12" s="160">
        <v>0.123</v>
      </c>
      <c r="O12" s="160">
        <v>3.5000000000000003E-2</v>
      </c>
      <c r="P12" s="160">
        <v>0.22700000000000001</v>
      </c>
      <c r="Q12" s="160">
        <v>1.29</v>
      </c>
      <c r="R12" s="213">
        <v>0.5</v>
      </c>
      <c r="S12" s="213">
        <v>0.63</v>
      </c>
      <c r="T12" s="160">
        <f>IF(K12="",0,VLOOKUP(L12,'Look Up Tables'!$B$155:$F$163,2,FALSE))</f>
        <v>0</v>
      </c>
      <c r="U12" s="160">
        <f t="shared" si="0"/>
        <v>0</v>
      </c>
      <c r="V12" s="320">
        <f t="shared" si="1"/>
        <v>0</v>
      </c>
      <c r="W12" s="330">
        <f t="shared" si="2"/>
        <v>0</v>
      </c>
      <c r="X12" s="316">
        <v>0</v>
      </c>
      <c r="Y12" s="150">
        <f>IFERROR(W12*Incentives!$C$4+X12*Incentives!$C$5,"")</f>
        <v>0</v>
      </c>
      <c r="Z12" s="161" t="str">
        <f>IFERROR(Y12*'Project Summary'!$H$37/'Project Summary'!$G$37,"")</f>
        <v/>
      </c>
      <c r="AB12" s="379"/>
      <c r="AC12" s="379"/>
      <c r="AD12" s="379"/>
      <c r="AE12" s="379"/>
      <c r="AF12" s="379"/>
      <c r="AG12" s="379"/>
      <c r="AH12" s="379"/>
    </row>
    <row r="13" spans="1:34" ht="22.35" customHeight="1" x14ac:dyDescent="0.2">
      <c r="A13" s="149"/>
      <c r="B13" s="158">
        <v>6</v>
      </c>
      <c r="C13" s="170"/>
      <c r="D13" s="708"/>
      <c r="E13" s="708"/>
      <c r="F13" s="216"/>
      <c r="G13" s="171"/>
      <c r="H13" s="171"/>
      <c r="I13" s="171"/>
      <c r="J13" s="171"/>
      <c r="K13" s="172"/>
      <c r="L13" s="159" t="str">
        <f>'Project Summary'!$C$10</f>
        <v/>
      </c>
      <c r="M13" s="160">
        <f>IF(H13='Look Up Tables'!$H$156,VLOOKUP('Refrigeration Economizer'!L13,'Look Up Tables'!$B$155:$F$163,3,FALSE),IF(H13='Look Up Tables'!$H$157,VLOOKUP('Refrigeration Economizer'!L13,'Look Up Tables'!$B$155:$F$163,4,FALSE),IF(H13='Look Up Tables'!$H$158,VLOOKUP('Refrigeration Economizer'!L13,'Look Up Tables'!$B$155:$F$163,5,FALSE),0)))</f>
        <v>0</v>
      </c>
      <c r="N13" s="160">
        <v>0.123</v>
      </c>
      <c r="O13" s="160">
        <v>3.5000000000000003E-2</v>
      </c>
      <c r="P13" s="160">
        <v>0.22700000000000001</v>
      </c>
      <c r="Q13" s="160">
        <v>1.29</v>
      </c>
      <c r="R13" s="213">
        <v>0.5</v>
      </c>
      <c r="S13" s="213">
        <v>0.63</v>
      </c>
      <c r="T13" s="160">
        <f>IF(K13="",0,VLOOKUP(L13,'Look Up Tables'!$B$155:$F$163,2,FALSE))</f>
        <v>0</v>
      </c>
      <c r="U13" s="160">
        <f t="shared" si="0"/>
        <v>0</v>
      </c>
      <c r="V13" s="320">
        <f t="shared" si="1"/>
        <v>0</v>
      </c>
      <c r="W13" s="330">
        <f t="shared" si="2"/>
        <v>0</v>
      </c>
      <c r="X13" s="316">
        <v>0</v>
      </c>
      <c r="Y13" s="150">
        <f>IFERROR(W13*Incentives!$C$4+X13*Incentives!$C$5,"")</f>
        <v>0</v>
      </c>
      <c r="Z13" s="161" t="str">
        <f>IFERROR(Y13*'Project Summary'!$H$37/'Project Summary'!$G$37,"")</f>
        <v/>
      </c>
      <c r="AC13" s="379"/>
      <c r="AD13" s="379"/>
      <c r="AE13" s="379"/>
      <c r="AF13" s="379"/>
      <c r="AG13" s="379"/>
      <c r="AH13" s="379"/>
    </row>
    <row r="14" spans="1:34" ht="22.35" customHeight="1" x14ac:dyDescent="0.2">
      <c r="A14" s="149"/>
      <c r="B14" s="158">
        <v>7</v>
      </c>
      <c r="C14" s="170"/>
      <c r="D14" s="708"/>
      <c r="E14" s="708"/>
      <c r="F14" s="171"/>
      <c r="G14" s="171"/>
      <c r="H14" s="171"/>
      <c r="I14" s="187"/>
      <c r="J14" s="171"/>
      <c r="K14" s="172"/>
      <c r="L14" s="159" t="str">
        <f>'Project Summary'!$C$10</f>
        <v/>
      </c>
      <c r="M14" s="160">
        <f>IF(H14='Look Up Tables'!$H$156,VLOOKUP('Refrigeration Economizer'!L14,'Look Up Tables'!$B$155:$F$163,3,FALSE),IF(H14='Look Up Tables'!$H$157,VLOOKUP('Refrigeration Economizer'!L14,'Look Up Tables'!$B$155:$F$163,4,FALSE),IF(H14='Look Up Tables'!$H$158,VLOOKUP('Refrigeration Economizer'!L14,'Look Up Tables'!$B$155:$F$163,5,FALSE),0)))</f>
        <v>0</v>
      </c>
      <c r="N14" s="160">
        <v>0.123</v>
      </c>
      <c r="O14" s="160">
        <v>3.5000000000000003E-2</v>
      </c>
      <c r="P14" s="160">
        <v>0.22700000000000001</v>
      </c>
      <c r="Q14" s="160">
        <v>1.29</v>
      </c>
      <c r="R14" s="213">
        <v>0.5</v>
      </c>
      <c r="S14" s="213">
        <v>0.63</v>
      </c>
      <c r="T14" s="160">
        <f>IF(K14="",0,VLOOKUP(L14,'Look Up Tables'!$B$155:$F$163,2,FALSE))</f>
        <v>0</v>
      </c>
      <c r="U14" s="160">
        <f t="shared" si="0"/>
        <v>0</v>
      </c>
      <c r="V14" s="320">
        <f t="shared" si="1"/>
        <v>0</v>
      </c>
      <c r="W14" s="330">
        <f t="shared" si="2"/>
        <v>0</v>
      </c>
      <c r="X14" s="316">
        <v>0</v>
      </c>
      <c r="Y14" s="150">
        <f>IFERROR(W14*Incentives!$C$4+X14*Incentives!$C$5,"")</f>
        <v>0</v>
      </c>
      <c r="Z14" s="161" t="str">
        <f>IFERROR(Y14*'Project Summary'!$H$37/'Project Summary'!$G$37,"")</f>
        <v/>
      </c>
      <c r="AC14" s="379"/>
      <c r="AD14" s="379"/>
      <c r="AE14" s="379"/>
      <c r="AF14" s="379"/>
      <c r="AG14" s="379"/>
      <c r="AH14" s="379"/>
    </row>
    <row r="15" spans="1:34" ht="22.35" customHeight="1" x14ac:dyDescent="0.2">
      <c r="A15" s="149"/>
      <c r="B15" s="158">
        <v>8</v>
      </c>
      <c r="C15" s="170"/>
      <c r="D15" s="708"/>
      <c r="E15" s="708"/>
      <c r="F15" s="171"/>
      <c r="G15" s="171"/>
      <c r="H15" s="171"/>
      <c r="I15" s="187"/>
      <c r="J15" s="171"/>
      <c r="K15" s="172"/>
      <c r="L15" s="159" t="str">
        <f>'Project Summary'!$C$10</f>
        <v/>
      </c>
      <c r="M15" s="160">
        <f>IF(H15='Look Up Tables'!$H$156,VLOOKUP('Refrigeration Economizer'!L15,'Look Up Tables'!$B$155:$F$163,3,FALSE),IF(H15='Look Up Tables'!$H$157,VLOOKUP('Refrigeration Economizer'!L15,'Look Up Tables'!$B$155:$F$163,4,FALSE),IF(H15='Look Up Tables'!$H$158,VLOOKUP('Refrigeration Economizer'!L15,'Look Up Tables'!$B$155:$F$163,5,FALSE),0)))</f>
        <v>0</v>
      </c>
      <c r="N15" s="160">
        <v>0.123</v>
      </c>
      <c r="O15" s="160">
        <v>3.5000000000000003E-2</v>
      </c>
      <c r="P15" s="160">
        <v>0.22700000000000001</v>
      </c>
      <c r="Q15" s="160">
        <v>1.29</v>
      </c>
      <c r="R15" s="213">
        <v>0.5</v>
      </c>
      <c r="S15" s="213">
        <v>0.63</v>
      </c>
      <c r="T15" s="160">
        <f>IF(K15="",0,VLOOKUP(L15,'Look Up Tables'!$B$155:$F$163,2,FALSE))</f>
        <v>0</v>
      </c>
      <c r="U15" s="160">
        <f t="shared" si="0"/>
        <v>0</v>
      </c>
      <c r="V15" s="320">
        <f t="shared" si="1"/>
        <v>0</v>
      </c>
      <c r="W15" s="330">
        <f t="shared" si="2"/>
        <v>0</v>
      </c>
      <c r="X15" s="316">
        <v>0</v>
      </c>
      <c r="Y15" s="150">
        <f>IFERROR(W15*Incentives!$C$4+X15*Incentives!$C$5,"")</f>
        <v>0</v>
      </c>
      <c r="Z15" s="161" t="str">
        <f>IFERROR(Y15*'Project Summary'!$H$37/'Project Summary'!$G$37,"")</f>
        <v/>
      </c>
      <c r="AC15" s="379"/>
      <c r="AD15" s="379"/>
      <c r="AE15" s="379"/>
      <c r="AF15" s="379"/>
      <c r="AG15" s="379"/>
      <c r="AH15" s="379"/>
    </row>
    <row r="16" spans="1:34" ht="22.35" customHeight="1" x14ac:dyDescent="0.2">
      <c r="A16" s="149"/>
      <c r="B16" s="158">
        <v>9</v>
      </c>
      <c r="C16" s="170"/>
      <c r="D16" s="708"/>
      <c r="E16" s="708"/>
      <c r="F16" s="171"/>
      <c r="G16" s="171"/>
      <c r="H16" s="171"/>
      <c r="I16" s="187"/>
      <c r="J16" s="171"/>
      <c r="K16" s="172"/>
      <c r="L16" s="159" t="str">
        <f>'Project Summary'!$C$10</f>
        <v/>
      </c>
      <c r="M16" s="160">
        <f>IF(H16='Look Up Tables'!$H$156,VLOOKUP('Refrigeration Economizer'!L16,'Look Up Tables'!$B$155:$F$163,3,FALSE),IF(H16='Look Up Tables'!$H$157,VLOOKUP('Refrigeration Economizer'!L16,'Look Up Tables'!$B$155:$F$163,4,FALSE),IF(H16='Look Up Tables'!$H$158,VLOOKUP('Refrigeration Economizer'!L16,'Look Up Tables'!$B$155:$F$163,5,FALSE),0)))</f>
        <v>0</v>
      </c>
      <c r="N16" s="160">
        <v>0.123</v>
      </c>
      <c r="O16" s="160">
        <v>3.5000000000000003E-2</v>
      </c>
      <c r="P16" s="160">
        <v>0.22700000000000001</v>
      </c>
      <c r="Q16" s="160">
        <v>1.29</v>
      </c>
      <c r="R16" s="213">
        <v>0.5</v>
      </c>
      <c r="S16" s="213">
        <v>0.63</v>
      </c>
      <c r="T16" s="160">
        <f>IF(K16="",0,VLOOKUP(L16,'Look Up Tables'!$B$155:$F$163,2,FALSE))</f>
        <v>0</v>
      </c>
      <c r="U16" s="160">
        <f t="shared" si="0"/>
        <v>0</v>
      </c>
      <c r="V16" s="320">
        <f t="shared" si="1"/>
        <v>0</v>
      </c>
      <c r="W16" s="330">
        <f t="shared" si="2"/>
        <v>0</v>
      </c>
      <c r="X16" s="316">
        <v>0</v>
      </c>
      <c r="Y16" s="150">
        <f>IFERROR(W16*Incentives!$C$4+X16*Incentives!$C$5,"")</f>
        <v>0</v>
      </c>
      <c r="Z16" s="161" t="str">
        <f>IFERROR(Y16*'Project Summary'!$H$37/'Project Summary'!$G$37,"")</f>
        <v/>
      </c>
      <c r="AC16" s="379"/>
      <c r="AD16" s="379"/>
      <c r="AE16" s="379"/>
      <c r="AF16" s="379"/>
      <c r="AG16" s="379"/>
      <c r="AH16" s="379"/>
    </row>
    <row r="17" spans="1:34" ht="22.35" customHeight="1" thickBot="1" x14ac:dyDescent="0.25">
      <c r="A17" s="149"/>
      <c r="B17" s="162">
        <v>10</v>
      </c>
      <c r="C17" s="174"/>
      <c r="D17" s="175"/>
      <c r="E17" s="175"/>
      <c r="F17" s="176"/>
      <c r="G17" s="177"/>
      <c r="H17" s="177"/>
      <c r="I17" s="204"/>
      <c r="J17" s="206"/>
      <c r="K17" s="178"/>
      <c r="L17" s="163" t="str">
        <f>'Project Summary'!$C$10</f>
        <v/>
      </c>
      <c r="M17" s="164">
        <f>IF(H17='Look Up Tables'!$H$156,VLOOKUP('Refrigeration Economizer'!L17,'Look Up Tables'!$B$155:$F$163,3,FALSE),IF(H17='Look Up Tables'!$H$157,VLOOKUP('Refrigeration Economizer'!L17,'Look Up Tables'!$B$155:$F$163,4,FALSE),IF(H17='Look Up Tables'!$H$158,VLOOKUP('Refrigeration Economizer'!L17,'Look Up Tables'!$B$155:$F$163,5,FALSE),0)))</f>
        <v>0</v>
      </c>
      <c r="N17" s="164">
        <v>0.123</v>
      </c>
      <c r="O17" s="164">
        <v>3.5000000000000003E-2</v>
      </c>
      <c r="P17" s="164">
        <v>0.22700000000000001</v>
      </c>
      <c r="Q17" s="164">
        <v>1.29</v>
      </c>
      <c r="R17" s="214">
        <v>0.5</v>
      </c>
      <c r="S17" s="214">
        <v>0.63</v>
      </c>
      <c r="T17" s="164">
        <f>IF(K17="",0,VLOOKUP(L17,'Look Up Tables'!$B$155:$F$163,2,FALSE))</f>
        <v>0</v>
      </c>
      <c r="U17" s="164">
        <f t="shared" si="0"/>
        <v>0</v>
      </c>
      <c r="V17" s="321">
        <f t="shared" si="1"/>
        <v>0</v>
      </c>
      <c r="W17" s="331">
        <f t="shared" si="2"/>
        <v>0</v>
      </c>
      <c r="X17" s="317">
        <v>0</v>
      </c>
      <c r="Y17" s="150">
        <f>IFERROR(W17*Incentives!$C$4+X17*Incentives!$C$5,"")</f>
        <v>0</v>
      </c>
      <c r="Z17" s="165" t="str">
        <f>IFERROR(Y17*'Project Summary'!$H$37/'Project Summary'!$G$37,"")</f>
        <v/>
      </c>
      <c r="AC17" s="379"/>
      <c r="AD17" s="379"/>
      <c r="AE17" s="379"/>
      <c r="AF17" s="379"/>
      <c r="AG17" s="379"/>
      <c r="AH17" s="379"/>
    </row>
    <row r="18" spans="1:34" x14ac:dyDescent="0.2">
      <c r="A18" s="149"/>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AC18" s="379"/>
      <c r="AD18" s="379"/>
      <c r="AE18" s="379"/>
      <c r="AF18" s="379"/>
      <c r="AG18" s="379"/>
      <c r="AH18" s="379"/>
    </row>
    <row r="19" spans="1:34" x14ac:dyDescent="0.2">
      <c r="A19" s="149"/>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row>
    <row r="20" spans="1:34"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row>
    <row r="21" spans="1:34" x14ac:dyDescent="0.2">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row>
    <row r="22" spans="1:34" x14ac:dyDescent="0.2">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row>
  </sheetData>
  <sheetProtection algorithmName="SHA-512" hashValue="cuE505uINzDtgaBBmSQhRNVe8T7meYqeypEizj7hNjWyCH6i+NZVshsQa0C8U0MA98t49KF6RTkN05FmNRbnow==" saltValue="EcPHMRz7+AZZDA4eRJYAiQ==" spinCount="100000" sheet="1" objects="1" formatColumns="0"/>
  <mergeCells count="6">
    <mergeCell ref="B4:O4"/>
    <mergeCell ref="C6:K6"/>
    <mergeCell ref="L6:X6"/>
    <mergeCell ref="Y6:Y7"/>
    <mergeCell ref="Z6:Z7"/>
    <mergeCell ref="B6:B7"/>
  </mergeCells>
  <conditionalFormatting sqref="F8:F17">
    <cfRule type="expression" dxfId="0" priority="2">
      <formula>$F8="New Construction"</formula>
    </cfRule>
  </conditionalFormatting>
  <dataValidations xWindow="558" yWindow="521" count="1">
    <dataValidation type="list" allowBlank="1" showInputMessage="1" showErrorMessage="1" sqref="J8:J17" xr:uid="{17739840-58C2-4650-AC78-2AB9B19879CC}">
      <formula1>"YES, NO"</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xWindow="558" yWindow="521" count="2">
        <x14:dataValidation type="list" allowBlank="1" showInputMessage="1" showErrorMessage="1" promptTitle="Retrofit Only" prompt="All cases are considered Replace on Burnout. If new Construction, please contact CLEAResult for further assistance._x000a_" xr:uid="{A4034A5F-7758-42DD-921B-FC1B8F6863BB}">
          <x14:formula1>
            <xm:f>'Look Up Tables'!$F$33:$F$34</xm:f>
          </x14:formula1>
          <xm:sqref>F8:F17</xm:sqref>
        </x14:dataValidation>
        <x14:dataValidation type="list" allowBlank="1" showInputMessage="1" showErrorMessage="1" xr:uid="{C9DB0134-BB9B-4AD3-AF8D-90ED57EF69ED}">
          <x14:formula1>
            <xm:f>'Look Up Tables'!$H$156:$H$158</xm:f>
          </x14:formula1>
          <xm:sqref>H8:H17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B9610-A884-4BD5-B687-ABF218BB5752}">
  <sheetPr codeName="Sheet26">
    <tabColor theme="5"/>
    <pageSetUpPr fitToPage="1"/>
  </sheetPr>
  <dimension ref="A1:U2528"/>
  <sheetViews>
    <sheetView zoomScaleNormal="100" zoomScaleSheetLayoutView="90" workbookViewId="0">
      <selection activeCell="J27" sqref="J27"/>
    </sheetView>
  </sheetViews>
  <sheetFormatPr defaultColWidth="0" defaultRowHeight="13.35" customHeight="1" zeroHeight="1" x14ac:dyDescent="0.2"/>
  <cols>
    <col min="1" max="2" width="7.625" style="269" customWidth="1"/>
    <col min="3" max="3" width="2.125" style="269" customWidth="1"/>
    <col min="4" max="4" width="25.625" style="288" customWidth="1"/>
    <col min="5" max="5" width="35.625" style="290" customWidth="1"/>
    <col min="6" max="6" width="5" style="266" customWidth="1"/>
    <col min="7" max="7" width="11.625" style="288" bestFit="1" customWidth="1"/>
    <col min="8" max="8" width="10.625" style="291" bestFit="1" customWidth="1"/>
    <col min="9" max="10" width="10.625" style="292" customWidth="1"/>
    <col min="11" max="11" width="10.625" style="291" customWidth="1"/>
    <col min="12" max="12" width="10.625" style="293" customWidth="1"/>
    <col min="13" max="13" width="2.125" style="290" customWidth="1"/>
    <col min="14" max="14" width="38.125" style="269" hidden="1" customWidth="1"/>
    <col min="15" max="15" width="8.625" style="294" hidden="1" customWidth="1"/>
    <col min="16" max="16384" width="8.625" style="269" hidden="1"/>
  </cols>
  <sheetData>
    <row r="1" spans="4:15" s="241" customFormat="1" ht="15" x14ac:dyDescent="0.2">
      <c r="D1" s="235"/>
      <c r="E1" s="236"/>
      <c r="F1" s="237"/>
      <c r="G1" s="235"/>
      <c r="H1" s="238"/>
      <c r="I1" s="239"/>
      <c r="J1" s="239"/>
      <c r="K1" s="238"/>
      <c r="L1" s="240"/>
      <c r="M1" s="236"/>
      <c r="O1" s="242"/>
    </row>
    <row r="2" spans="4:15" s="243" customFormat="1" ht="28.35" customHeight="1" x14ac:dyDescent="0.2">
      <c r="D2" s="821" t="s">
        <v>53</v>
      </c>
      <c r="E2" s="821"/>
      <c r="F2" s="821"/>
      <c r="G2" s="821"/>
      <c r="H2" s="821"/>
      <c r="I2" s="821"/>
      <c r="J2" s="821"/>
      <c r="K2" s="821"/>
      <c r="L2" s="821"/>
      <c r="N2" s="244"/>
    </row>
    <row r="3" spans="4:15" s="243" customFormat="1" ht="21" x14ac:dyDescent="0.2">
      <c r="D3" s="822" t="str">
        <f>"Customer Name: "&amp;'Project Summary'!C7</f>
        <v xml:space="preserve">Customer Name: </v>
      </c>
      <c r="E3" s="822"/>
      <c r="F3" s="822"/>
      <c r="G3" s="822"/>
      <c r="H3" s="822"/>
      <c r="I3" s="822"/>
      <c r="J3" s="822"/>
      <c r="K3" s="822"/>
      <c r="L3" s="822"/>
      <c r="M3" s="245"/>
      <c r="N3" s="244"/>
    </row>
    <row r="4" spans="4:15" s="241" customFormat="1" ht="18.75" x14ac:dyDescent="0.2">
      <c r="D4" s="246" t="str">
        <f>"Prepared by: "&amp;'Project Summary'!C14</f>
        <v xml:space="preserve">Prepared by: </v>
      </c>
      <c r="E4" s="247"/>
      <c r="F4" s="248"/>
      <c r="G4" s="249"/>
      <c r="H4" s="250"/>
      <c r="I4" s="250"/>
      <c r="J4" s="249"/>
      <c r="K4" s="251"/>
      <c r="L4" s="249"/>
      <c r="N4" s="242"/>
    </row>
    <row r="5" spans="4:15" s="254" customFormat="1" ht="34.5" customHeight="1" x14ac:dyDescent="0.2">
      <c r="D5" s="252"/>
      <c r="E5" s="253"/>
      <c r="F5" s="253"/>
      <c r="G5" s="253"/>
      <c r="H5" s="253"/>
      <c r="I5" s="253"/>
      <c r="J5" s="253"/>
      <c r="K5" s="253"/>
      <c r="L5" s="253"/>
      <c r="N5" s="255"/>
    </row>
    <row r="6" spans="4:15" s="241" customFormat="1" ht="57" customHeight="1" x14ac:dyDescent="0.2">
      <c r="D6" s="823" t="s">
        <v>54</v>
      </c>
      <c r="E6" s="823"/>
      <c r="F6" s="823" t="s">
        <v>55</v>
      </c>
      <c r="G6" s="823"/>
      <c r="H6" s="823"/>
      <c r="N6" s="242"/>
    </row>
    <row r="7" spans="4:15" s="241" customFormat="1" ht="15" x14ac:dyDescent="0.2">
      <c r="D7" s="253"/>
      <c r="E7" s="253"/>
      <c r="F7" s="253"/>
      <c r="G7" s="253"/>
      <c r="H7" s="253"/>
      <c r="I7" s="253"/>
      <c r="J7" s="253"/>
      <c r="K7" s="253"/>
      <c r="L7" s="253"/>
      <c r="N7" s="242"/>
    </row>
    <row r="8" spans="4:15" s="241" customFormat="1" ht="14.1" customHeight="1" x14ac:dyDescent="0.25">
      <c r="D8" s="824" t="s">
        <v>56</v>
      </c>
      <c r="E8" s="824"/>
      <c r="F8" s="256"/>
      <c r="H8" s="825" t="s">
        <v>57</v>
      </c>
      <c r="I8" s="825"/>
      <c r="J8" s="825"/>
      <c r="K8" s="825"/>
      <c r="L8" s="825"/>
    </row>
    <row r="9" spans="4:15" s="241" customFormat="1" ht="15" x14ac:dyDescent="0.25">
      <c r="D9" s="257" t="s">
        <v>58</v>
      </c>
      <c r="E9" s="258">
        <f>ProjectCost</f>
        <v>0</v>
      </c>
      <c r="F9" s="256"/>
      <c r="I9" s="820">
        <f>0.0008*E10</f>
        <v>0</v>
      </c>
      <c r="J9" s="818" t="s">
        <v>59</v>
      </c>
      <c r="K9" s="818"/>
      <c r="L9" s="818"/>
    </row>
    <row r="10" spans="4:15" s="241" customFormat="1" ht="15" x14ac:dyDescent="0.25">
      <c r="D10" s="257" t="s">
        <v>60</v>
      </c>
      <c r="E10" s="259">
        <f>SUM($I$27:$I$1026)</f>
        <v>0</v>
      </c>
      <c r="F10" s="256"/>
      <c r="I10" s="820"/>
      <c r="J10" s="818"/>
      <c r="K10" s="818"/>
      <c r="L10" s="818"/>
    </row>
    <row r="11" spans="4:15" s="241" customFormat="1" ht="15" x14ac:dyDescent="0.25">
      <c r="D11" s="257" t="s">
        <v>61</v>
      </c>
      <c r="E11" s="258">
        <f>SUM($J$27:$J$1026)</f>
        <v>0</v>
      </c>
      <c r="F11" s="256"/>
      <c r="H11" s="816"/>
      <c r="I11" s="820"/>
      <c r="J11" s="818"/>
      <c r="K11" s="818"/>
      <c r="L11" s="818"/>
    </row>
    <row r="12" spans="4:15" s="241" customFormat="1" ht="15" x14ac:dyDescent="0.25">
      <c r="D12" s="257" t="s">
        <v>62</v>
      </c>
      <c r="E12" s="258">
        <f>MIN(SUM(K27:K1026),$E$9*0.8)</f>
        <v>0</v>
      </c>
      <c r="F12" s="256"/>
      <c r="H12" s="816"/>
      <c r="I12" s="817">
        <f>1.7*E10</f>
        <v>0</v>
      </c>
      <c r="J12" s="818" t="s">
        <v>63</v>
      </c>
      <c r="K12" s="818"/>
      <c r="L12" s="818"/>
    </row>
    <row r="13" spans="4:15" s="241" customFormat="1" ht="15" x14ac:dyDescent="0.25">
      <c r="D13" s="257" t="s">
        <v>64</v>
      </c>
      <c r="E13" s="258">
        <f>$E$9-$E$12</f>
        <v>0</v>
      </c>
      <c r="F13" s="256"/>
      <c r="H13" s="816"/>
      <c r="I13" s="817"/>
      <c r="J13" s="818"/>
      <c r="K13" s="818"/>
      <c r="L13" s="818"/>
    </row>
    <row r="14" spans="4:15" s="241" customFormat="1" ht="15" x14ac:dyDescent="0.25">
      <c r="D14" s="260" t="s">
        <v>65</v>
      </c>
      <c r="E14" s="261" t="str">
        <f>IFERROR(E13/E11,"")</f>
        <v/>
      </c>
      <c r="F14" s="256"/>
      <c r="H14" s="816"/>
      <c r="I14" s="817"/>
      <c r="J14" s="818"/>
      <c r="K14" s="818"/>
      <c r="L14" s="818"/>
    </row>
    <row r="15" spans="4:15" s="241" customFormat="1" ht="15" x14ac:dyDescent="0.2">
      <c r="D15" s="235"/>
      <c r="E15" s="262"/>
      <c r="F15" s="262"/>
      <c r="G15" s="262"/>
      <c r="H15" s="816"/>
      <c r="I15" s="820">
        <f>0.0002*E10</f>
        <v>0</v>
      </c>
      <c r="J15" s="818" t="s">
        <v>66</v>
      </c>
      <c r="K15" s="818"/>
      <c r="L15" s="818"/>
      <c r="M15" s="818"/>
    </row>
    <row r="16" spans="4:15" s="241" customFormat="1" ht="15" x14ac:dyDescent="0.2">
      <c r="D16" s="263" t="s">
        <v>67</v>
      </c>
      <c r="E16" s="263" t="s">
        <v>68</v>
      </c>
      <c r="F16" s="262"/>
      <c r="G16" s="262"/>
      <c r="H16" s="816"/>
      <c r="I16" s="820"/>
      <c r="J16" s="818"/>
      <c r="K16" s="818"/>
      <c r="L16" s="818"/>
      <c r="M16" s="818"/>
    </row>
    <row r="17" spans="1:15" s="241" customFormat="1" ht="14.85" customHeight="1" x14ac:dyDescent="0.2">
      <c r="D17" s="815">
        <f>E12</f>
        <v>0</v>
      </c>
      <c r="E17" s="815">
        <f>E21/12</f>
        <v>0</v>
      </c>
      <c r="F17" s="262"/>
      <c r="G17" s="262"/>
      <c r="H17" s="816"/>
      <c r="I17" s="820"/>
      <c r="J17" s="818"/>
      <c r="K17" s="818"/>
      <c r="L17" s="818"/>
      <c r="M17" s="818"/>
    </row>
    <row r="18" spans="1:15" s="241" customFormat="1" ht="14.85" customHeight="1" x14ac:dyDescent="0.2">
      <c r="D18" s="815"/>
      <c r="E18" s="815"/>
      <c r="F18" s="262"/>
      <c r="G18" s="262"/>
      <c r="H18" s="816"/>
      <c r="I18" s="817">
        <f>0.08*E10</f>
        <v>0</v>
      </c>
      <c r="J18" s="818" t="s">
        <v>69</v>
      </c>
      <c r="K18" s="818"/>
      <c r="L18" s="818"/>
    </row>
    <row r="19" spans="1:15" s="241" customFormat="1" ht="15" x14ac:dyDescent="0.2">
      <c r="D19" s="264" t="s">
        <v>70</v>
      </c>
      <c r="E19" s="264" t="s">
        <v>71</v>
      </c>
      <c r="F19" s="262"/>
      <c r="G19" s="262"/>
      <c r="H19" s="816"/>
      <c r="I19" s="817"/>
      <c r="J19" s="818"/>
      <c r="K19" s="818"/>
      <c r="L19" s="818"/>
    </row>
    <row r="20" spans="1:15" s="241" customFormat="1" ht="15" x14ac:dyDescent="0.2">
      <c r="D20" s="235"/>
      <c r="E20" s="262"/>
      <c r="F20" s="262"/>
      <c r="G20" s="262"/>
      <c r="H20" s="816"/>
      <c r="I20" s="817"/>
      <c r="J20" s="818"/>
      <c r="K20" s="818"/>
      <c r="L20" s="818"/>
    </row>
    <row r="21" spans="1:15" s="241" customFormat="1" ht="14.85" customHeight="1" x14ac:dyDescent="0.2">
      <c r="D21" s="819">
        <f>IF(ISERROR(1/$E$14),0,1/$E$14)</f>
        <v>0</v>
      </c>
      <c r="E21" s="815">
        <f>E11</f>
        <v>0</v>
      </c>
      <c r="F21" s="262"/>
      <c r="G21" s="262"/>
      <c r="H21" s="816"/>
      <c r="I21" s="817">
        <f>0.773*E10</f>
        <v>0</v>
      </c>
      <c r="J21" s="818" t="s">
        <v>72</v>
      </c>
      <c r="K21" s="818"/>
      <c r="L21" s="818"/>
    </row>
    <row r="22" spans="1:15" s="241" customFormat="1" ht="14.85" customHeight="1" x14ac:dyDescent="0.2">
      <c r="D22" s="819"/>
      <c r="E22" s="815"/>
      <c r="F22" s="262"/>
      <c r="G22" s="262"/>
      <c r="H22" s="816"/>
      <c r="I22" s="817"/>
      <c r="J22" s="818"/>
      <c r="K22" s="818"/>
      <c r="L22" s="818"/>
    </row>
    <row r="23" spans="1:15" s="241" customFormat="1" ht="15" x14ac:dyDescent="0.2">
      <c r="D23" s="264" t="s">
        <v>73</v>
      </c>
      <c r="E23" s="264" t="s">
        <v>74</v>
      </c>
      <c r="I23" s="817"/>
      <c r="J23" s="818"/>
      <c r="K23" s="818"/>
      <c r="L23" s="818"/>
      <c r="O23" s="242"/>
    </row>
    <row r="24" spans="1:15" s="241" customFormat="1" ht="15" x14ac:dyDescent="0.2">
      <c r="D24" s="235"/>
      <c r="E24" s="265"/>
      <c r="F24" s="266"/>
      <c r="G24" s="266"/>
      <c r="H24" s="812" t="s">
        <v>75</v>
      </c>
      <c r="I24" s="812"/>
      <c r="J24" s="812"/>
      <c r="K24" s="812"/>
      <c r="L24" s="812"/>
      <c r="M24" s="267"/>
      <c r="O24" s="242"/>
    </row>
    <row r="25" spans="1:15" s="241" customFormat="1" ht="15" x14ac:dyDescent="0.2">
      <c r="D25" s="235"/>
      <c r="E25" s="265"/>
      <c r="F25" s="266"/>
      <c r="G25" s="266"/>
      <c r="H25" s="268"/>
      <c r="I25" s="268"/>
      <c r="J25" s="268"/>
      <c r="K25" s="268"/>
      <c r="L25" s="268"/>
      <c r="M25" s="267"/>
      <c r="O25" s="242"/>
    </row>
    <row r="26" spans="1:15" ht="25.5" x14ac:dyDescent="0.25">
      <c r="A26" s="269" t="s">
        <v>76</v>
      </c>
      <c r="D26" s="270" t="s">
        <v>77</v>
      </c>
      <c r="E26" s="270" t="s">
        <v>78</v>
      </c>
      <c r="F26" s="813" t="s">
        <v>79</v>
      </c>
      <c r="G26" s="814"/>
      <c r="H26" s="271" t="s">
        <v>80</v>
      </c>
      <c r="I26" s="272" t="s">
        <v>81</v>
      </c>
      <c r="J26" s="271" t="s">
        <v>82</v>
      </c>
      <c r="K26" s="273" t="s">
        <v>83</v>
      </c>
      <c r="L26" s="274" t="s">
        <v>84</v>
      </c>
      <c r="M26" s="256"/>
      <c r="O26" s="275"/>
    </row>
    <row r="27" spans="1:15" ht="39.6" customHeight="1" x14ac:dyDescent="0.25">
      <c r="A27" s="298" t="str" cm="1">
        <f t="array" ref="A27">IFERROR(SMALL(IF('Measure List'!G$2:G$171&lt;&gt;0,'Measure List'!A$2:A$171),ROW()-26),"")</f>
        <v/>
      </c>
      <c r="B27" s="276"/>
      <c r="C27" s="276"/>
      <c r="D27" s="277" t="str" cm="1">
        <f t="array" ref="D27">IFERROR(INDEX('Measure List'!B:B,'Printable Report'!$A27),"")</f>
        <v/>
      </c>
      <c r="E27" s="278" t="str" cm="1">
        <f t="array" ref="E27">IFERROR(INDEX('Measure List'!C:C,'Printable Report'!$A27),"")</f>
        <v/>
      </c>
      <c r="F27" s="279" t="str" cm="1">
        <f t="array" ref="F27">IFERROR(INDEX('Measure List'!D:D,'Printable Report'!$A27),"")</f>
        <v/>
      </c>
      <c r="G27" s="280" t="str" cm="1">
        <f t="array" ref="G27">IFERROR(INDEX('Measure List'!E:E,'Printable Report'!$A27),"")</f>
        <v/>
      </c>
      <c r="H27" s="299" t="str" cm="1">
        <f t="array" ref="H27">IFERROR(INDEX('Measure List'!F:F,'Printable Report'!$A27),"")</f>
        <v/>
      </c>
      <c r="I27" s="282" t="str" cm="1">
        <f t="array" ref="I27">IFERROR(INDEX('Measure List'!G:G,'Printable Report'!$A27),"")</f>
        <v/>
      </c>
      <c r="J27" s="299" t="str" cm="1">
        <f t="array" ref="J27">IFERROR(INDEX('Measure List'!I:I,'Printable Report'!$A27),"")</f>
        <v/>
      </c>
      <c r="K27" s="299" t="str" cm="1">
        <f t="array" ref="K27">IFERROR(INDEX('Measure List'!J:J,'Printable Report'!$A27),"")</f>
        <v/>
      </c>
      <c r="L27" s="299" t="str" cm="1">
        <f t="array" ref="L27">IFERROR(INDEX('Measure List'!K:K,'Printable Report'!$A27),"")</f>
        <v/>
      </c>
      <c r="M27" s="256"/>
      <c r="O27" s="275"/>
    </row>
    <row r="28" spans="1:15" ht="39.6" customHeight="1" x14ac:dyDescent="0.25">
      <c r="A28" s="298" t="str" cm="1">
        <f t="array" ref="A28">IFERROR(SMALL(IF('Measure List'!G$2:G$171&lt;&gt;0,'Measure List'!A$2:A$171),ROW()-26),"")</f>
        <v/>
      </c>
      <c r="B28" s="276"/>
      <c r="C28" s="276"/>
      <c r="D28" s="277" t="str" cm="1">
        <f t="array" ref="D28">IFERROR(INDEX('Measure List'!B:B,'Printable Report'!$A28),"")</f>
        <v/>
      </c>
      <c r="E28" s="278" t="str" cm="1">
        <f t="array" ref="E28">IFERROR(INDEX('Measure List'!C:C,'Printable Report'!$A28),"")</f>
        <v/>
      </c>
      <c r="F28" s="279" t="str" cm="1">
        <f t="array" ref="F28">IFERROR(INDEX('Measure List'!D:D,'Printable Report'!$A28),"")</f>
        <v/>
      </c>
      <c r="G28" s="280" t="str" cm="1">
        <f t="array" ref="G28">IFERROR(INDEX('Measure List'!E:E,'Printable Report'!$A28),"")</f>
        <v/>
      </c>
      <c r="H28" s="299" t="str" cm="1">
        <f t="array" ref="H28">IFERROR(INDEX('Measure List'!F:F,'Printable Report'!$A28),"")</f>
        <v/>
      </c>
      <c r="I28" s="282" t="str" cm="1">
        <f t="array" ref="I28">IFERROR(INDEX('Measure List'!G:G,'Printable Report'!$A28),"")</f>
        <v/>
      </c>
      <c r="J28" s="299" t="str" cm="1">
        <f t="array" ref="J28">IFERROR(INDEX('Measure List'!I:I,'Printable Report'!$A28),"")</f>
        <v/>
      </c>
      <c r="K28" s="299" t="str" cm="1">
        <f t="array" ref="K28">IFERROR(INDEX('Measure List'!J:J,'Printable Report'!$A28),"")</f>
        <v/>
      </c>
      <c r="L28" s="299" t="str" cm="1">
        <f t="array" ref="L28">IFERROR(INDEX('Measure List'!K:K,'Printable Report'!$A28),"")</f>
        <v/>
      </c>
      <c r="M28" s="256"/>
      <c r="O28" s="275"/>
    </row>
    <row r="29" spans="1:15" ht="39.6" customHeight="1" x14ac:dyDescent="0.25">
      <c r="A29" s="298" t="str" cm="1">
        <f t="array" ref="A29">IFERROR(SMALL(IF('Measure List'!G$2:G$171&lt;&gt;0,'Measure List'!A$2:A$171),ROW()-26),"")</f>
        <v/>
      </c>
      <c r="B29" s="276"/>
      <c r="C29" s="276"/>
      <c r="D29" s="277" t="str" cm="1">
        <f t="array" ref="D29">IFERROR(INDEX('Measure List'!B:B,'Printable Report'!$A29),"")</f>
        <v/>
      </c>
      <c r="E29" s="278" t="str" cm="1">
        <f t="array" ref="E29">IFERROR(INDEX('Measure List'!C:C,'Printable Report'!$A29),"")</f>
        <v/>
      </c>
      <c r="F29" s="279" t="str" cm="1">
        <f t="array" ref="F29">IFERROR(INDEX('Measure List'!D:D,'Printable Report'!$A29),"")</f>
        <v/>
      </c>
      <c r="G29" s="280" t="str" cm="1">
        <f t="array" ref="G29">IFERROR(INDEX('Measure List'!E:E,'Printable Report'!$A29),"")</f>
        <v/>
      </c>
      <c r="H29" s="299" t="str" cm="1">
        <f t="array" ref="H29">IFERROR(INDEX('Measure List'!F:F,'Printable Report'!$A29),"")</f>
        <v/>
      </c>
      <c r="I29" s="282" t="str" cm="1">
        <f t="array" ref="I29">IFERROR(INDEX('Measure List'!G:G,'Printable Report'!$A29),"")</f>
        <v/>
      </c>
      <c r="J29" s="299" t="str" cm="1">
        <f t="array" ref="J29">IFERROR(INDEX('Measure List'!I:I,'Printable Report'!$A29),"")</f>
        <v/>
      </c>
      <c r="K29" s="299" t="str" cm="1">
        <f t="array" ref="K29">IFERROR(INDEX('Measure List'!J:J,'Printable Report'!$A29),"")</f>
        <v/>
      </c>
      <c r="L29" s="299" t="str" cm="1">
        <f t="array" ref="L29">IFERROR(INDEX('Measure List'!K:K,'Printable Report'!$A29),"")</f>
        <v/>
      </c>
      <c r="M29" s="256"/>
      <c r="O29" s="275"/>
    </row>
    <row r="30" spans="1:15" ht="39.6" customHeight="1" x14ac:dyDescent="0.25">
      <c r="A30" s="298" t="str" cm="1">
        <f t="array" ref="A30">IFERROR(SMALL(IF('Measure List'!G$2:G$171&lt;&gt;0,'Measure List'!A$2:A$171),ROW()-26),"")</f>
        <v/>
      </c>
      <c r="B30" s="276"/>
      <c r="C30" s="276"/>
      <c r="D30" s="277" t="str" cm="1">
        <f t="array" ref="D30">IFERROR(INDEX('Measure List'!B:B,'Printable Report'!$A30),"")</f>
        <v/>
      </c>
      <c r="E30" s="278" t="str" cm="1">
        <f t="array" ref="E30">IFERROR(INDEX('Measure List'!C:C,'Printable Report'!$A30),"")</f>
        <v/>
      </c>
      <c r="F30" s="279" t="str" cm="1">
        <f t="array" ref="F30">IFERROR(INDEX('Measure List'!D:D,'Printable Report'!$A30),"")</f>
        <v/>
      </c>
      <c r="G30" s="280" t="str" cm="1">
        <f t="array" ref="G30">IFERROR(INDEX('Measure List'!E:E,'Printable Report'!$A30),"")</f>
        <v/>
      </c>
      <c r="H30" s="299" t="str" cm="1">
        <f t="array" ref="H30">IFERROR(INDEX('Measure List'!F:F,'Printable Report'!$A30),"")</f>
        <v/>
      </c>
      <c r="I30" s="282" t="str" cm="1">
        <f t="array" ref="I30">IFERROR(INDEX('Measure List'!G:G,'Printable Report'!$A30),"")</f>
        <v/>
      </c>
      <c r="J30" s="299" t="str" cm="1">
        <f t="array" ref="J30">IFERROR(INDEX('Measure List'!I:I,'Printable Report'!$A30),"")</f>
        <v/>
      </c>
      <c r="K30" s="299" t="str" cm="1">
        <f t="array" ref="K30">IFERROR(INDEX('Measure List'!J:J,'Printable Report'!$A30),"")</f>
        <v/>
      </c>
      <c r="L30" s="299" t="str" cm="1">
        <f t="array" ref="L30">IFERROR(INDEX('Measure List'!K:K,'Printable Report'!$A30),"")</f>
        <v/>
      </c>
      <c r="M30" s="256"/>
      <c r="O30" s="275"/>
    </row>
    <row r="31" spans="1:15" ht="39.6" customHeight="1" x14ac:dyDescent="0.25">
      <c r="A31" s="298" t="str" cm="1">
        <f t="array" ref="A31">IFERROR(SMALL(IF('Measure List'!G$2:G$171&lt;&gt;0,'Measure List'!A$2:A$171),ROW()-26),"")</f>
        <v/>
      </c>
      <c r="B31" s="276"/>
      <c r="C31" s="276"/>
      <c r="D31" s="277" t="str" cm="1">
        <f t="array" ref="D31">IFERROR(INDEX('Measure List'!B:B,'Printable Report'!$A31),"")</f>
        <v/>
      </c>
      <c r="E31" s="278" t="str" cm="1">
        <f t="array" ref="E31">IFERROR(INDEX('Measure List'!C:C,'Printable Report'!$A31),"")</f>
        <v/>
      </c>
      <c r="F31" s="279" t="str" cm="1">
        <f t="array" ref="F31">IFERROR(INDEX('Measure List'!D:D,'Printable Report'!$A31),"")</f>
        <v/>
      </c>
      <c r="G31" s="280" t="str" cm="1">
        <f t="array" ref="G31">IFERROR(INDEX('Measure List'!E:E,'Printable Report'!$A31),"")</f>
        <v/>
      </c>
      <c r="H31" s="299" t="str" cm="1">
        <f t="array" ref="H31">IFERROR(INDEX('Measure List'!F:F,'Printable Report'!$A31),"")</f>
        <v/>
      </c>
      <c r="I31" s="282" t="str" cm="1">
        <f t="array" ref="I31">IFERROR(INDEX('Measure List'!G:G,'Printable Report'!$A31),"")</f>
        <v/>
      </c>
      <c r="J31" s="299" t="str" cm="1">
        <f t="array" ref="J31">IFERROR(INDEX('Measure List'!I:I,'Printable Report'!$A31),"")</f>
        <v/>
      </c>
      <c r="K31" s="299" t="str" cm="1">
        <f t="array" ref="K31">IFERROR(INDEX('Measure List'!J:J,'Printable Report'!$A31),"")</f>
        <v/>
      </c>
      <c r="L31" s="299" t="str" cm="1">
        <f t="array" ref="L31">IFERROR(INDEX('Measure List'!K:K,'Printable Report'!$A31),"")</f>
        <v/>
      </c>
      <c r="M31" s="256"/>
      <c r="O31" s="275"/>
    </row>
    <row r="32" spans="1:15" ht="39.6" customHeight="1" x14ac:dyDescent="0.25">
      <c r="A32" s="298" t="str" cm="1">
        <f t="array" ref="A32">IFERROR(SMALL(IF('Measure List'!G$2:G$171&lt;&gt;0,'Measure List'!A$2:A$171),ROW()-26),"")</f>
        <v/>
      </c>
      <c r="B32" s="276"/>
      <c r="C32" s="276"/>
      <c r="D32" s="277" t="str" cm="1">
        <f t="array" ref="D32">IFERROR(INDEX('Measure List'!B:B,'Printable Report'!$A32),"")</f>
        <v/>
      </c>
      <c r="E32" s="278" t="str" cm="1">
        <f t="array" ref="E32">IFERROR(INDEX('Measure List'!C:C,'Printable Report'!$A32),"")</f>
        <v/>
      </c>
      <c r="F32" s="279" t="str" cm="1">
        <f t="array" ref="F32">IFERROR(INDEX('Measure List'!D:D,'Printable Report'!$A32),"")</f>
        <v/>
      </c>
      <c r="G32" s="280" t="str" cm="1">
        <f t="array" ref="G32">IFERROR(INDEX('Measure List'!E:E,'Printable Report'!$A32),"")</f>
        <v/>
      </c>
      <c r="H32" s="299" t="str" cm="1">
        <f t="array" ref="H32">IFERROR(INDEX('Measure List'!F:F,'Printable Report'!$A32),"")</f>
        <v/>
      </c>
      <c r="I32" s="282" t="str" cm="1">
        <f t="array" ref="I32">IFERROR(INDEX('Measure List'!G:G,'Printable Report'!$A32),"")</f>
        <v/>
      </c>
      <c r="J32" s="299" t="str" cm="1">
        <f t="array" ref="J32">IFERROR(INDEX('Measure List'!I:I,'Printable Report'!$A32),"")</f>
        <v/>
      </c>
      <c r="K32" s="299" t="str" cm="1">
        <f t="array" ref="K32">IFERROR(INDEX('Measure List'!J:J,'Printable Report'!$A32),"")</f>
        <v/>
      </c>
      <c r="L32" s="299" t="str" cm="1">
        <f t="array" ref="L32">IFERROR(INDEX('Measure List'!K:K,'Printable Report'!$A32),"")</f>
        <v/>
      </c>
      <c r="M32" s="256"/>
      <c r="O32" s="275"/>
    </row>
    <row r="33" spans="1:15" ht="39.6" customHeight="1" x14ac:dyDescent="0.25">
      <c r="A33" s="298" t="str" cm="1">
        <f t="array" ref="A33">IFERROR(SMALL(IF('Measure List'!G$2:G$171&lt;&gt;0,'Measure List'!A$2:A$171),ROW()-26),"")</f>
        <v/>
      </c>
      <c r="B33" s="276"/>
      <c r="C33" s="276"/>
      <c r="D33" s="277" t="str" cm="1">
        <f t="array" ref="D33">IFERROR(INDEX('Measure List'!B:B,'Printable Report'!$A33),"")</f>
        <v/>
      </c>
      <c r="E33" s="278" t="str" cm="1">
        <f t="array" ref="E33">IFERROR(INDEX('Measure List'!C:C,'Printable Report'!$A33),"")</f>
        <v/>
      </c>
      <c r="F33" s="279" t="str" cm="1">
        <f t="array" ref="F33">IFERROR(INDEX('Measure List'!D:D,'Printable Report'!$A33),"")</f>
        <v/>
      </c>
      <c r="G33" s="280" t="str" cm="1">
        <f t="array" ref="G33">IFERROR(INDEX('Measure List'!E:E,'Printable Report'!$A33),"")</f>
        <v/>
      </c>
      <c r="H33" s="299" t="str" cm="1">
        <f t="array" ref="H33">IFERROR(INDEX('Measure List'!F:F,'Printable Report'!$A33),"")</f>
        <v/>
      </c>
      <c r="I33" s="282" t="str" cm="1">
        <f t="array" ref="I33">IFERROR(INDEX('Measure List'!G:G,'Printable Report'!$A33),"")</f>
        <v/>
      </c>
      <c r="J33" s="299" t="str" cm="1">
        <f t="array" ref="J33">IFERROR(INDEX('Measure List'!I:I,'Printable Report'!$A33),"")</f>
        <v/>
      </c>
      <c r="K33" s="299" t="str" cm="1">
        <f t="array" ref="K33">IFERROR(INDEX('Measure List'!J:J,'Printable Report'!$A33),"")</f>
        <v/>
      </c>
      <c r="L33" s="299" t="str" cm="1">
        <f t="array" ref="L33">IFERROR(INDEX('Measure List'!K:K,'Printable Report'!$A33),"")</f>
        <v/>
      </c>
      <c r="M33" s="256"/>
      <c r="O33" s="275"/>
    </row>
    <row r="34" spans="1:15" ht="39.6" customHeight="1" x14ac:dyDescent="0.25">
      <c r="A34" s="298" t="str" cm="1">
        <f t="array" ref="A34">IFERROR(SMALL(IF('Measure List'!G$2:G$171&lt;&gt;0,'Measure List'!A$2:A$171),ROW()-26),"")</f>
        <v/>
      </c>
      <c r="B34" s="276"/>
      <c r="C34" s="276"/>
      <c r="D34" s="277" t="str" cm="1">
        <f t="array" ref="D34">IFERROR(INDEX('Measure List'!B:B,'Printable Report'!$A34),"")</f>
        <v/>
      </c>
      <c r="E34" s="278" t="str" cm="1">
        <f t="array" ref="E34">IFERROR(INDEX('Measure List'!C:C,'Printable Report'!$A34),"")</f>
        <v/>
      </c>
      <c r="F34" s="279" t="str" cm="1">
        <f t="array" ref="F34">IFERROR(INDEX('Measure List'!D:D,'Printable Report'!$A34),"")</f>
        <v/>
      </c>
      <c r="G34" s="280" t="str" cm="1">
        <f t="array" ref="G34">IFERROR(INDEX('Measure List'!E:E,'Printable Report'!$A34),"")</f>
        <v/>
      </c>
      <c r="H34" s="299" t="str" cm="1">
        <f t="array" ref="H34">IFERROR(INDEX('Measure List'!F:F,'Printable Report'!$A34),"")</f>
        <v/>
      </c>
      <c r="I34" s="282" t="str" cm="1">
        <f t="array" ref="I34">IFERROR(INDEX('Measure List'!G:G,'Printable Report'!$A34),"")</f>
        <v/>
      </c>
      <c r="J34" s="299" t="str" cm="1">
        <f t="array" ref="J34">IFERROR(INDEX('Measure List'!I:I,'Printable Report'!$A34),"")</f>
        <v/>
      </c>
      <c r="K34" s="299" t="str" cm="1">
        <f t="array" ref="K34">IFERROR(INDEX('Measure List'!J:J,'Printable Report'!$A34),"")</f>
        <v/>
      </c>
      <c r="L34" s="299" t="str" cm="1">
        <f t="array" ref="L34">IFERROR(INDEX('Measure List'!K:K,'Printable Report'!$A34),"")</f>
        <v/>
      </c>
      <c r="M34" s="256"/>
      <c r="O34" s="275"/>
    </row>
    <row r="35" spans="1:15" ht="39.6" customHeight="1" x14ac:dyDescent="0.25">
      <c r="A35" s="298" t="str" cm="1">
        <f t="array" ref="A35">IFERROR(SMALL(IF('Measure List'!G$2:G$171&lt;&gt;0,'Measure List'!A$2:A$171),ROW()-26),"")</f>
        <v/>
      </c>
      <c r="B35" s="276"/>
      <c r="C35" s="276"/>
      <c r="D35" s="277" t="str" cm="1">
        <f t="array" ref="D35">IFERROR(INDEX('Measure List'!B:B,'Printable Report'!$A35),"")</f>
        <v/>
      </c>
      <c r="E35" s="278" t="str" cm="1">
        <f t="array" ref="E35">IFERROR(INDEX('Measure List'!C:C,'Printable Report'!$A35),"")</f>
        <v/>
      </c>
      <c r="F35" s="279" t="str" cm="1">
        <f t="array" ref="F35">IFERROR(INDEX('Measure List'!D:D,'Printable Report'!$A35),"")</f>
        <v/>
      </c>
      <c r="G35" s="280" t="str" cm="1">
        <f t="array" ref="G35">IFERROR(INDEX('Measure List'!E:E,'Printable Report'!$A35),"")</f>
        <v/>
      </c>
      <c r="H35" s="299" t="str" cm="1">
        <f t="array" ref="H35">IFERROR(INDEX('Measure List'!F:F,'Printable Report'!$A35),"")</f>
        <v/>
      </c>
      <c r="I35" s="282" t="str" cm="1">
        <f t="array" ref="I35">IFERROR(INDEX('Measure List'!G:G,'Printable Report'!$A35),"")</f>
        <v/>
      </c>
      <c r="J35" s="299" t="str" cm="1">
        <f t="array" ref="J35">IFERROR(INDEX('Measure List'!I:I,'Printable Report'!$A35),"")</f>
        <v/>
      </c>
      <c r="K35" s="299" t="str" cm="1">
        <f t="array" ref="K35">IFERROR(INDEX('Measure List'!J:J,'Printable Report'!$A35),"")</f>
        <v/>
      </c>
      <c r="L35" s="299" t="str" cm="1">
        <f t="array" ref="L35">IFERROR(INDEX('Measure List'!K:K,'Printable Report'!$A35),"")</f>
        <v/>
      </c>
      <c r="M35" s="256"/>
      <c r="O35" s="275"/>
    </row>
    <row r="36" spans="1:15" ht="39.6" customHeight="1" x14ac:dyDescent="0.25">
      <c r="A36" s="298" t="str" cm="1">
        <f t="array" ref="A36">IFERROR(SMALL(IF('Measure List'!G$2:G$171&lt;&gt;0,'Measure List'!A$2:A$171),ROW()-26),"")</f>
        <v/>
      </c>
      <c r="B36" s="276"/>
      <c r="C36" s="276"/>
      <c r="D36" s="277" t="str" cm="1">
        <f t="array" ref="D36">IFERROR(INDEX('Measure List'!B:B,'Printable Report'!$A36),"")</f>
        <v/>
      </c>
      <c r="E36" s="278" t="str" cm="1">
        <f t="array" ref="E36">IFERROR(INDEX('Measure List'!C:C,'Printable Report'!$A36),"")</f>
        <v/>
      </c>
      <c r="F36" s="279" t="str" cm="1">
        <f t="array" ref="F36">IFERROR(INDEX('Measure List'!D:D,'Printable Report'!$A36),"")</f>
        <v/>
      </c>
      <c r="G36" s="280" t="str" cm="1">
        <f t="array" ref="G36">IFERROR(INDEX('Measure List'!E:E,'Printable Report'!$A36),"")</f>
        <v/>
      </c>
      <c r="H36" s="299" t="str" cm="1">
        <f t="array" ref="H36">IFERROR(INDEX('Measure List'!F:F,'Printable Report'!$A36),"")</f>
        <v/>
      </c>
      <c r="I36" s="282" t="str" cm="1">
        <f t="array" ref="I36">IFERROR(INDEX('Measure List'!G:G,'Printable Report'!$A36),"")</f>
        <v/>
      </c>
      <c r="J36" s="299" t="str" cm="1">
        <f t="array" ref="J36">IFERROR(INDEX('Measure List'!I:I,'Printable Report'!$A36),"")</f>
        <v/>
      </c>
      <c r="K36" s="299" t="str" cm="1">
        <f t="array" ref="K36">IFERROR(INDEX('Measure List'!J:J,'Printable Report'!$A36),"")</f>
        <v/>
      </c>
      <c r="L36" s="299" t="str" cm="1">
        <f t="array" ref="L36">IFERROR(INDEX('Measure List'!K:K,'Printable Report'!$A36),"")</f>
        <v/>
      </c>
      <c r="M36" s="256"/>
      <c r="O36" s="275"/>
    </row>
    <row r="37" spans="1:15" ht="39.6" customHeight="1" x14ac:dyDescent="0.25">
      <c r="A37" s="298" t="str" cm="1">
        <f t="array" ref="A37">IFERROR(SMALL(IF('Measure List'!G$2:G$171&lt;&gt;0,'Measure List'!A$2:A$171),ROW()-26),"")</f>
        <v/>
      </c>
      <c r="B37" s="276"/>
      <c r="C37" s="276"/>
      <c r="D37" s="277" t="str" cm="1">
        <f t="array" ref="D37">IFERROR(INDEX('Measure List'!B:B,'Printable Report'!$A37),"")</f>
        <v/>
      </c>
      <c r="E37" s="278" t="str" cm="1">
        <f t="array" ref="E37">IFERROR(INDEX('Measure List'!C:C,'Printable Report'!$A37),"")</f>
        <v/>
      </c>
      <c r="F37" s="279" t="str" cm="1">
        <f t="array" ref="F37">IFERROR(INDEX('Measure List'!D:D,'Printable Report'!$A37),"")</f>
        <v/>
      </c>
      <c r="G37" s="280" t="str" cm="1">
        <f t="array" ref="G37">IFERROR(INDEX('Measure List'!E:E,'Printable Report'!$A37),"")</f>
        <v/>
      </c>
      <c r="H37" s="299" t="str" cm="1">
        <f t="array" ref="H37">IFERROR(INDEX('Measure List'!F:F,'Printable Report'!$A37),"")</f>
        <v/>
      </c>
      <c r="I37" s="282" t="str" cm="1">
        <f t="array" ref="I37">IFERROR(INDEX('Measure List'!G:G,'Printable Report'!$A37),"")</f>
        <v/>
      </c>
      <c r="J37" s="299" t="str" cm="1">
        <f t="array" ref="J37">IFERROR(INDEX('Measure List'!I:I,'Printable Report'!$A37),"")</f>
        <v/>
      </c>
      <c r="K37" s="299" t="str" cm="1">
        <f t="array" ref="K37">IFERROR(INDEX('Measure List'!J:J,'Printable Report'!$A37),"")</f>
        <v/>
      </c>
      <c r="L37" s="299" t="str" cm="1">
        <f t="array" ref="L37">IFERROR(INDEX('Measure List'!K:K,'Printable Report'!$A37),"")</f>
        <v/>
      </c>
      <c r="M37" s="256"/>
      <c r="O37" s="275"/>
    </row>
    <row r="38" spans="1:15" ht="39.6" customHeight="1" x14ac:dyDescent="0.25">
      <c r="A38" s="298" t="str" cm="1">
        <f t="array" ref="A38">IFERROR(SMALL(IF('Measure List'!G$2:G$171&lt;&gt;0,'Measure List'!A$2:A$171),ROW()-26),"")</f>
        <v/>
      </c>
      <c r="B38" s="276"/>
      <c r="C38" s="276"/>
      <c r="D38" s="277" t="str" cm="1">
        <f t="array" ref="D38">IFERROR(INDEX('Measure List'!B:B,'Printable Report'!$A38),"")</f>
        <v/>
      </c>
      <c r="E38" s="278" t="str" cm="1">
        <f t="array" ref="E38">IFERROR(INDEX('Measure List'!C:C,'Printable Report'!$A38),"")</f>
        <v/>
      </c>
      <c r="F38" s="279" t="str" cm="1">
        <f t="array" ref="F38">IFERROR(INDEX('Measure List'!D:D,'Printable Report'!$A38),"")</f>
        <v/>
      </c>
      <c r="G38" s="280" t="str" cm="1">
        <f t="array" ref="G38">IFERROR(INDEX('Measure List'!E:E,'Printable Report'!$A38),"")</f>
        <v/>
      </c>
      <c r="H38" s="299" t="str" cm="1">
        <f t="array" ref="H38">IFERROR(INDEX('Measure List'!F:F,'Printable Report'!$A38),"")</f>
        <v/>
      </c>
      <c r="I38" s="282" t="str" cm="1">
        <f t="array" ref="I38">IFERROR(INDEX('Measure List'!G:G,'Printable Report'!$A38),"")</f>
        <v/>
      </c>
      <c r="J38" s="299" t="str" cm="1">
        <f t="array" ref="J38">IFERROR(INDEX('Measure List'!I:I,'Printable Report'!$A38),"")</f>
        <v/>
      </c>
      <c r="K38" s="299" t="str" cm="1">
        <f t="array" ref="K38">IFERROR(INDEX('Measure List'!J:J,'Printable Report'!$A38),"")</f>
        <v/>
      </c>
      <c r="L38" s="299" t="str" cm="1">
        <f t="array" ref="L38">IFERROR(INDEX('Measure List'!K:K,'Printable Report'!$A38),"")</f>
        <v/>
      </c>
      <c r="M38" s="256"/>
      <c r="O38" s="275"/>
    </row>
    <row r="39" spans="1:15" ht="39.6" customHeight="1" x14ac:dyDescent="0.25">
      <c r="A39" s="298" t="str" cm="1">
        <f t="array" ref="A39">IFERROR(SMALL(IF('Measure List'!G$2:G$171&lt;&gt;0,'Measure List'!A$2:A$171),ROW()-26),"")</f>
        <v/>
      </c>
      <c r="B39" s="276"/>
      <c r="C39" s="276"/>
      <c r="D39" s="277" t="str" cm="1">
        <f t="array" ref="D39">IFERROR(INDEX('Measure List'!B:B,'Printable Report'!$A39),"")</f>
        <v/>
      </c>
      <c r="E39" s="278" t="str" cm="1">
        <f t="array" ref="E39">IFERROR(INDEX('Measure List'!C:C,'Printable Report'!$A39),"")</f>
        <v/>
      </c>
      <c r="F39" s="279" t="str" cm="1">
        <f t="array" ref="F39">IFERROR(INDEX('Measure List'!D:D,'Printable Report'!$A39),"")</f>
        <v/>
      </c>
      <c r="G39" s="280" t="str" cm="1">
        <f t="array" ref="G39">IFERROR(INDEX('Measure List'!E:E,'Printable Report'!$A39),"")</f>
        <v/>
      </c>
      <c r="H39" s="299" t="str" cm="1">
        <f t="array" ref="H39">IFERROR(INDEX('Measure List'!F:F,'Printable Report'!$A39),"")</f>
        <v/>
      </c>
      <c r="I39" s="282" t="str" cm="1">
        <f t="array" ref="I39">IFERROR(INDEX('Measure List'!G:G,'Printable Report'!$A39),"")</f>
        <v/>
      </c>
      <c r="J39" s="299" t="str" cm="1">
        <f t="array" ref="J39">IFERROR(INDEX('Measure List'!I:I,'Printable Report'!$A39),"")</f>
        <v/>
      </c>
      <c r="K39" s="299" t="str" cm="1">
        <f t="array" ref="K39">IFERROR(INDEX('Measure List'!J:J,'Printable Report'!$A39),"")</f>
        <v/>
      </c>
      <c r="L39" s="299" t="str" cm="1">
        <f t="array" ref="L39">IFERROR(INDEX('Measure List'!K:K,'Printable Report'!$A39),"")</f>
        <v/>
      </c>
      <c r="M39" s="256"/>
      <c r="O39" s="275"/>
    </row>
    <row r="40" spans="1:15" ht="39.6" customHeight="1" x14ac:dyDescent="0.25">
      <c r="A40" s="298" t="str" cm="1">
        <f t="array" ref="A40">IFERROR(SMALL(IF('Measure List'!G$2:G$171&lt;&gt;0,'Measure List'!A$2:A$171),ROW()-26),"")</f>
        <v/>
      </c>
      <c r="B40" s="276"/>
      <c r="C40" s="276"/>
      <c r="D40" s="277" t="str" cm="1">
        <f t="array" ref="D40">IFERROR(INDEX('Measure List'!B:B,'Printable Report'!$A40),"")</f>
        <v/>
      </c>
      <c r="E40" s="278" t="str" cm="1">
        <f t="array" ref="E40">IFERROR(INDEX('Measure List'!C:C,'Printable Report'!$A40),"")</f>
        <v/>
      </c>
      <c r="F40" s="279" t="str" cm="1">
        <f t="array" ref="F40">IFERROR(INDEX('Measure List'!D:D,'Printable Report'!$A40),"")</f>
        <v/>
      </c>
      <c r="G40" s="280" t="str" cm="1">
        <f t="array" ref="G40">IFERROR(INDEX('Measure List'!E:E,'Printable Report'!$A40),"")</f>
        <v/>
      </c>
      <c r="H40" s="299" t="str" cm="1">
        <f t="array" ref="H40">IFERROR(INDEX('Measure List'!F:F,'Printable Report'!$A40),"")</f>
        <v/>
      </c>
      <c r="I40" s="282" t="str" cm="1">
        <f t="array" ref="I40">IFERROR(INDEX('Measure List'!G:G,'Printable Report'!$A40),"")</f>
        <v/>
      </c>
      <c r="J40" s="299" t="str" cm="1">
        <f t="array" ref="J40">IFERROR(INDEX('Measure List'!I:I,'Printable Report'!$A40),"")</f>
        <v/>
      </c>
      <c r="K40" s="299" t="str" cm="1">
        <f t="array" ref="K40">IFERROR(INDEX('Measure List'!J:J,'Printable Report'!$A40),"")</f>
        <v/>
      </c>
      <c r="L40" s="299" t="str" cm="1">
        <f t="array" ref="L40">IFERROR(INDEX('Measure List'!K:K,'Printable Report'!$A40),"")</f>
        <v/>
      </c>
      <c r="M40" s="256"/>
      <c r="O40" s="275"/>
    </row>
    <row r="41" spans="1:15" ht="39.6" customHeight="1" x14ac:dyDescent="0.25">
      <c r="A41" s="298" t="str" cm="1">
        <f t="array" ref="A41">IFERROR(SMALL(IF('Measure List'!G$2:G$171&lt;&gt;0,'Measure List'!A$2:A$171),ROW()-26),"")</f>
        <v/>
      </c>
      <c r="B41" s="276"/>
      <c r="C41" s="276"/>
      <c r="D41" s="277" t="str" cm="1">
        <f t="array" ref="D41">IFERROR(INDEX('Measure List'!B:B,'Printable Report'!$A41),"")</f>
        <v/>
      </c>
      <c r="E41" s="278" t="str" cm="1">
        <f t="array" ref="E41">IFERROR(INDEX('Measure List'!C:C,'Printable Report'!$A41),"")</f>
        <v/>
      </c>
      <c r="F41" s="279" t="str" cm="1">
        <f t="array" ref="F41">IFERROR(INDEX('Measure List'!D:D,'Printable Report'!$A41),"")</f>
        <v/>
      </c>
      <c r="G41" s="280" t="str" cm="1">
        <f t="array" ref="G41">IFERROR(INDEX('Measure List'!E:E,'Printable Report'!$A41),"")</f>
        <v/>
      </c>
      <c r="H41" s="299" t="str" cm="1">
        <f t="array" ref="H41">IFERROR(INDEX('Measure List'!F:F,'Printable Report'!$A41),"")</f>
        <v/>
      </c>
      <c r="I41" s="282" t="str" cm="1">
        <f t="array" ref="I41">IFERROR(INDEX('Measure List'!G:G,'Printable Report'!$A41),"")</f>
        <v/>
      </c>
      <c r="J41" s="299" t="str" cm="1">
        <f t="array" ref="J41">IFERROR(INDEX('Measure List'!I:I,'Printable Report'!$A41),"")</f>
        <v/>
      </c>
      <c r="K41" s="299" t="str" cm="1">
        <f t="array" ref="K41">IFERROR(INDEX('Measure List'!J:J,'Printable Report'!$A41),"")</f>
        <v/>
      </c>
      <c r="L41" s="299" t="str" cm="1">
        <f t="array" ref="L41">IFERROR(INDEX('Measure List'!K:K,'Printable Report'!$A41),"")</f>
        <v/>
      </c>
      <c r="M41" s="256"/>
      <c r="O41" s="275"/>
    </row>
    <row r="42" spans="1:15" ht="39.6" customHeight="1" x14ac:dyDescent="0.25">
      <c r="A42" s="298" t="str" cm="1">
        <f t="array" ref="A42">IFERROR(SMALL(IF('Measure List'!G$2:G$171&lt;&gt;0,'Measure List'!A$2:A$171),ROW()-26),"")</f>
        <v/>
      </c>
      <c r="B42" s="276"/>
      <c r="C42" s="276"/>
      <c r="D42" s="277" t="str" cm="1">
        <f t="array" ref="D42">IFERROR(INDEX('Measure List'!B:B,'Printable Report'!$A42),"")</f>
        <v/>
      </c>
      <c r="E42" s="278" t="str" cm="1">
        <f t="array" ref="E42">IFERROR(INDEX('Measure List'!C:C,'Printable Report'!$A42),"")</f>
        <v/>
      </c>
      <c r="F42" s="279" t="str" cm="1">
        <f t="array" ref="F42">IFERROR(INDEX('Measure List'!D:D,'Printable Report'!$A42),"")</f>
        <v/>
      </c>
      <c r="G42" s="280" t="str" cm="1">
        <f t="array" ref="G42">IFERROR(INDEX('Measure List'!E:E,'Printable Report'!$A42),"")</f>
        <v/>
      </c>
      <c r="H42" s="299" t="str" cm="1">
        <f t="array" ref="H42">IFERROR(INDEX('Measure List'!F:F,'Printable Report'!$A42),"")</f>
        <v/>
      </c>
      <c r="I42" s="282" t="str" cm="1">
        <f t="array" ref="I42">IFERROR(INDEX('Measure List'!G:G,'Printable Report'!$A42),"")</f>
        <v/>
      </c>
      <c r="J42" s="299" t="str" cm="1">
        <f t="array" ref="J42">IFERROR(INDEX('Measure List'!I:I,'Printable Report'!$A42),"")</f>
        <v/>
      </c>
      <c r="K42" s="299" t="str" cm="1">
        <f t="array" ref="K42">IFERROR(INDEX('Measure List'!J:J,'Printable Report'!$A42),"")</f>
        <v/>
      </c>
      <c r="L42" s="299" t="str" cm="1">
        <f t="array" ref="L42">IFERROR(INDEX('Measure List'!K:K,'Printable Report'!$A42),"")</f>
        <v/>
      </c>
      <c r="M42" s="256"/>
      <c r="O42" s="275"/>
    </row>
    <row r="43" spans="1:15" ht="39.6" customHeight="1" x14ac:dyDescent="0.25">
      <c r="A43" s="298" t="str" cm="1">
        <f t="array" ref="A43">IFERROR(SMALL(IF('Measure List'!G$2:G$171&lt;&gt;0,'Measure List'!A$2:A$171),ROW()-26),"")</f>
        <v/>
      </c>
      <c r="B43" s="276"/>
      <c r="C43" s="276"/>
      <c r="D43" s="277" t="str" cm="1">
        <f t="array" ref="D43">IFERROR(INDEX('Measure List'!B:B,'Printable Report'!$A43),"")</f>
        <v/>
      </c>
      <c r="E43" s="278" t="str" cm="1">
        <f t="array" ref="E43">IFERROR(INDEX('Measure List'!C:C,'Printable Report'!$A43),"")</f>
        <v/>
      </c>
      <c r="F43" s="279" t="str" cm="1">
        <f t="array" ref="F43">IFERROR(INDEX('Measure List'!D:D,'Printable Report'!$A43),"")</f>
        <v/>
      </c>
      <c r="G43" s="280" t="str" cm="1">
        <f t="array" ref="G43">IFERROR(INDEX('Measure List'!E:E,'Printable Report'!$A43),"")</f>
        <v/>
      </c>
      <c r="H43" s="299" t="str" cm="1">
        <f t="array" ref="H43">IFERROR(INDEX('Measure List'!F:F,'Printable Report'!$A43),"")</f>
        <v/>
      </c>
      <c r="I43" s="282" t="str" cm="1">
        <f t="array" ref="I43">IFERROR(INDEX('Measure List'!G:G,'Printable Report'!$A43),"")</f>
        <v/>
      </c>
      <c r="J43" s="299" t="str" cm="1">
        <f t="array" ref="J43">IFERROR(INDEX('Measure List'!I:I,'Printable Report'!$A43),"")</f>
        <v/>
      </c>
      <c r="K43" s="299" t="str" cm="1">
        <f t="array" ref="K43">IFERROR(INDEX('Measure List'!J:J,'Printable Report'!$A43),"")</f>
        <v/>
      </c>
      <c r="L43" s="299" t="str" cm="1">
        <f t="array" ref="L43">IFERROR(INDEX('Measure List'!K:K,'Printable Report'!$A43),"")</f>
        <v/>
      </c>
      <c r="M43" s="256"/>
      <c r="O43" s="275"/>
    </row>
    <row r="44" spans="1:15" ht="39.6" customHeight="1" x14ac:dyDescent="0.25">
      <c r="A44" s="298" t="str" cm="1">
        <f t="array" ref="A44">IFERROR(SMALL(IF('Measure List'!G$2:G$171&lt;&gt;0,'Measure List'!A$2:A$171),ROW()-26),"")</f>
        <v/>
      </c>
      <c r="B44" s="276"/>
      <c r="C44" s="276"/>
      <c r="D44" s="277" t="str" cm="1">
        <f t="array" ref="D44">IFERROR(INDEX('Measure List'!B:B,'Printable Report'!$A44),"")</f>
        <v/>
      </c>
      <c r="E44" s="278" t="str" cm="1">
        <f t="array" ref="E44">IFERROR(INDEX('Measure List'!C:C,'Printable Report'!$A44),"")</f>
        <v/>
      </c>
      <c r="F44" s="279" t="str" cm="1">
        <f t="array" ref="F44">IFERROR(INDEX('Measure List'!D:D,'Printable Report'!$A44),"")</f>
        <v/>
      </c>
      <c r="G44" s="280" t="str" cm="1">
        <f t="array" ref="G44">IFERROR(INDEX('Measure List'!E:E,'Printable Report'!$A44),"")</f>
        <v/>
      </c>
      <c r="H44" s="299" t="str" cm="1">
        <f t="array" ref="H44">IFERROR(INDEX('Measure List'!F:F,'Printable Report'!$A44),"")</f>
        <v/>
      </c>
      <c r="I44" s="282" t="str" cm="1">
        <f t="array" ref="I44">IFERROR(INDEX('Measure List'!G:G,'Printable Report'!$A44),"")</f>
        <v/>
      </c>
      <c r="J44" s="299" t="str" cm="1">
        <f t="array" ref="J44">IFERROR(INDEX('Measure List'!I:I,'Printable Report'!$A44),"")</f>
        <v/>
      </c>
      <c r="K44" s="299" t="str" cm="1">
        <f t="array" ref="K44">IFERROR(INDEX('Measure List'!J:J,'Printable Report'!$A44),"")</f>
        <v/>
      </c>
      <c r="L44" s="299" t="str" cm="1">
        <f t="array" ref="L44">IFERROR(INDEX('Measure List'!K:K,'Printable Report'!$A44),"")</f>
        <v/>
      </c>
      <c r="M44" s="256"/>
      <c r="O44" s="275"/>
    </row>
    <row r="45" spans="1:15" ht="39.6" customHeight="1" x14ac:dyDescent="0.25">
      <c r="A45" s="298" t="str" cm="1">
        <f t="array" ref="A45">IFERROR(SMALL(IF('Measure List'!G$2:G$171&lt;&gt;0,'Measure List'!A$2:A$171),ROW()-26),"")</f>
        <v/>
      </c>
      <c r="B45" s="276"/>
      <c r="C45" s="276"/>
      <c r="D45" s="277" t="str" cm="1">
        <f t="array" ref="D45">IFERROR(INDEX('Measure List'!B:B,'Printable Report'!$A45),"")</f>
        <v/>
      </c>
      <c r="E45" s="278" t="str" cm="1">
        <f t="array" ref="E45">IFERROR(INDEX('Measure List'!C:C,'Printable Report'!$A45),"")</f>
        <v/>
      </c>
      <c r="F45" s="279" t="str" cm="1">
        <f t="array" ref="F45">IFERROR(INDEX('Measure List'!D:D,'Printable Report'!$A45),"")</f>
        <v/>
      </c>
      <c r="G45" s="280" t="str" cm="1">
        <f t="array" ref="G45">IFERROR(INDEX('Measure List'!E:E,'Printable Report'!$A45),"")</f>
        <v/>
      </c>
      <c r="H45" s="299" t="str" cm="1">
        <f t="array" ref="H45">IFERROR(INDEX('Measure List'!F:F,'Printable Report'!$A45),"")</f>
        <v/>
      </c>
      <c r="I45" s="282" t="str" cm="1">
        <f t="array" ref="I45">IFERROR(INDEX('Measure List'!G:G,'Printable Report'!$A45),"")</f>
        <v/>
      </c>
      <c r="J45" s="299" t="str" cm="1">
        <f t="array" ref="J45">IFERROR(INDEX('Measure List'!I:I,'Printable Report'!$A45),"")</f>
        <v/>
      </c>
      <c r="K45" s="299" t="str" cm="1">
        <f t="array" ref="K45">IFERROR(INDEX('Measure List'!J:J,'Printable Report'!$A45),"")</f>
        <v/>
      </c>
      <c r="L45" s="299" t="str" cm="1">
        <f t="array" ref="L45">IFERROR(INDEX('Measure List'!K:K,'Printable Report'!$A45),"")</f>
        <v/>
      </c>
      <c r="M45" s="256"/>
      <c r="O45" s="275"/>
    </row>
    <row r="46" spans="1:15" ht="39.6" customHeight="1" x14ac:dyDescent="0.25">
      <c r="A46" s="298" t="str" cm="1">
        <f t="array" ref="A46">IFERROR(SMALL(IF('Measure List'!G$2:G$171&lt;&gt;0,'Measure List'!A$2:A$171),ROW()-26),"")</f>
        <v/>
      </c>
      <c r="B46" s="276"/>
      <c r="C46" s="276"/>
      <c r="D46" s="277" t="str" cm="1">
        <f t="array" ref="D46">IFERROR(INDEX('Measure List'!B:B,'Printable Report'!$A46),"")</f>
        <v/>
      </c>
      <c r="E46" s="278" t="str" cm="1">
        <f t="array" ref="E46">IFERROR(INDEX('Measure List'!C:C,'Printable Report'!$A46),"")</f>
        <v/>
      </c>
      <c r="F46" s="279" t="str" cm="1">
        <f t="array" ref="F46">IFERROR(INDEX('Measure List'!D:D,'Printable Report'!$A46),"")</f>
        <v/>
      </c>
      <c r="G46" s="280" t="str" cm="1">
        <f t="array" ref="G46">IFERROR(INDEX('Measure List'!E:E,'Printable Report'!$A46),"")</f>
        <v/>
      </c>
      <c r="H46" s="299" t="str" cm="1">
        <f t="array" ref="H46">IFERROR(INDEX('Measure List'!F:F,'Printable Report'!$A46),"")</f>
        <v/>
      </c>
      <c r="I46" s="282" t="str" cm="1">
        <f t="array" ref="I46">IFERROR(INDEX('Measure List'!G:G,'Printable Report'!$A46),"")</f>
        <v/>
      </c>
      <c r="J46" s="299" t="str" cm="1">
        <f t="array" ref="J46">IFERROR(INDEX('Measure List'!I:I,'Printable Report'!$A46),"")</f>
        <v/>
      </c>
      <c r="K46" s="299" t="str" cm="1">
        <f t="array" ref="K46">IFERROR(INDEX('Measure List'!J:J,'Printable Report'!$A46),"")</f>
        <v/>
      </c>
      <c r="L46" s="299" t="str" cm="1">
        <f t="array" ref="L46">IFERROR(INDEX('Measure List'!K:K,'Printable Report'!$A46),"")</f>
        <v/>
      </c>
      <c r="M46" s="256"/>
      <c r="O46" s="275"/>
    </row>
    <row r="47" spans="1:15" ht="39.6" customHeight="1" x14ac:dyDescent="0.25">
      <c r="A47" s="298" t="str" cm="1">
        <f t="array" ref="A47">IFERROR(SMALL(IF('Measure List'!G$2:G$171&lt;&gt;0,'Measure List'!A$2:A$171),ROW()-26),"")</f>
        <v/>
      </c>
      <c r="B47" s="276"/>
      <c r="C47" s="276"/>
      <c r="D47" s="277" t="str" cm="1">
        <f t="array" ref="D47">IFERROR(INDEX('Measure List'!B:B,'Printable Report'!$A47),"")</f>
        <v/>
      </c>
      <c r="E47" s="278" t="str" cm="1">
        <f t="array" ref="E47">IFERROR(INDEX('Measure List'!C:C,'Printable Report'!$A47),"")</f>
        <v/>
      </c>
      <c r="F47" s="279" t="str" cm="1">
        <f t="array" ref="F47">IFERROR(INDEX('Measure List'!D:D,'Printable Report'!$A47),"")</f>
        <v/>
      </c>
      <c r="G47" s="280" t="str" cm="1">
        <f t="array" ref="G47">IFERROR(INDEX('Measure List'!E:E,'Printable Report'!$A47),"")</f>
        <v/>
      </c>
      <c r="H47" s="299" t="str" cm="1">
        <f t="array" ref="H47">IFERROR(INDEX('Measure List'!F:F,'Printable Report'!$A47),"")</f>
        <v/>
      </c>
      <c r="I47" s="282" t="str" cm="1">
        <f t="array" ref="I47">IFERROR(INDEX('Measure List'!G:G,'Printable Report'!$A47),"")</f>
        <v/>
      </c>
      <c r="J47" s="299" t="str" cm="1">
        <f t="array" ref="J47">IFERROR(INDEX('Measure List'!I:I,'Printable Report'!$A47),"")</f>
        <v/>
      </c>
      <c r="K47" s="299" t="str" cm="1">
        <f t="array" ref="K47">IFERROR(INDEX('Measure List'!J:J,'Printable Report'!$A47),"")</f>
        <v/>
      </c>
      <c r="L47" s="299" t="str" cm="1">
        <f t="array" ref="L47">IFERROR(INDEX('Measure List'!K:K,'Printable Report'!$A47),"")</f>
        <v/>
      </c>
      <c r="M47" s="256"/>
      <c r="O47" s="275"/>
    </row>
    <row r="48" spans="1:15" ht="39.6" customHeight="1" x14ac:dyDescent="0.25">
      <c r="A48" s="298" t="str" cm="1">
        <f t="array" ref="A48">IFERROR(SMALL(IF('Measure List'!G$2:G$171&lt;&gt;0,'Measure List'!A$2:A$171),ROW()-26),"")</f>
        <v/>
      </c>
      <c r="B48" s="276"/>
      <c r="C48" s="276"/>
      <c r="D48" s="277" t="str" cm="1">
        <f t="array" ref="D48">IFERROR(INDEX('Measure List'!B:B,'Printable Report'!$A48),"")</f>
        <v/>
      </c>
      <c r="E48" s="278" t="str" cm="1">
        <f t="array" ref="E48">IFERROR(INDEX('Measure List'!C:C,'Printable Report'!$A48),"")</f>
        <v/>
      </c>
      <c r="F48" s="279" t="str" cm="1">
        <f t="array" ref="F48">IFERROR(INDEX('Measure List'!D:D,'Printable Report'!$A48),"")</f>
        <v/>
      </c>
      <c r="G48" s="280" t="str" cm="1">
        <f t="array" ref="G48">IFERROR(INDEX('Measure List'!E:E,'Printable Report'!$A48),"")</f>
        <v/>
      </c>
      <c r="H48" s="299" t="str" cm="1">
        <f t="array" ref="H48">IFERROR(INDEX('Measure List'!F:F,'Printable Report'!$A48),"")</f>
        <v/>
      </c>
      <c r="I48" s="282" t="str" cm="1">
        <f t="array" ref="I48">IFERROR(INDEX('Measure List'!G:G,'Printable Report'!$A48),"")</f>
        <v/>
      </c>
      <c r="J48" s="299" t="str" cm="1">
        <f t="array" ref="J48">IFERROR(INDEX('Measure List'!I:I,'Printable Report'!$A48),"")</f>
        <v/>
      </c>
      <c r="K48" s="299" t="str" cm="1">
        <f t="array" ref="K48">IFERROR(INDEX('Measure List'!J:J,'Printable Report'!$A48),"")</f>
        <v/>
      </c>
      <c r="L48" s="299" t="str" cm="1">
        <f t="array" ref="L48">IFERROR(INDEX('Measure List'!K:K,'Printable Report'!$A48),"")</f>
        <v/>
      </c>
      <c r="M48" s="256"/>
      <c r="O48" s="275"/>
    </row>
    <row r="49" spans="1:15" ht="39.6" customHeight="1" x14ac:dyDescent="0.25">
      <c r="A49" s="298" t="str" cm="1">
        <f t="array" ref="A49">IFERROR(SMALL(IF('Measure List'!G$2:G$171&lt;&gt;0,'Measure List'!A$2:A$171),ROW()-26),"")</f>
        <v/>
      </c>
      <c r="B49" s="276"/>
      <c r="C49" s="276"/>
      <c r="D49" s="277" t="str" cm="1">
        <f t="array" ref="D49">IFERROR(INDEX('Measure List'!B:B,'Printable Report'!$A49),"")</f>
        <v/>
      </c>
      <c r="E49" s="278" t="str" cm="1">
        <f t="array" ref="E49">IFERROR(INDEX('Measure List'!C:C,'Printable Report'!$A49),"")</f>
        <v/>
      </c>
      <c r="F49" s="279" t="str" cm="1">
        <f t="array" ref="F49">IFERROR(INDEX('Measure List'!D:D,'Printable Report'!$A49),"")</f>
        <v/>
      </c>
      <c r="G49" s="280" t="str" cm="1">
        <f t="array" ref="G49">IFERROR(INDEX('Measure List'!E:E,'Printable Report'!$A49),"")</f>
        <v/>
      </c>
      <c r="H49" s="299" t="str" cm="1">
        <f t="array" ref="H49">IFERROR(INDEX('Measure List'!F:F,'Printable Report'!$A49),"")</f>
        <v/>
      </c>
      <c r="I49" s="282" t="str" cm="1">
        <f t="array" ref="I49">IFERROR(INDEX('Measure List'!G:G,'Printable Report'!$A49),"")</f>
        <v/>
      </c>
      <c r="J49" s="299" t="str" cm="1">
        <f t="array" ref="J49">IFERROR(INDEX('Measure List'!I:I,'Printable Report'!$A49),"")</f>
        <v/>
      </c>
      <c r="K49" s="299" t="str" cm="1">
        <f t="array" ref="K49">IFERROR(INDEX('Measure List'!J:J,'Printable Report'!$A49),"")</f>
        <v/>
      </c>
      <c r="L49" s="299" t="str" cm="1">
        <f t="array" ref="L49">IFERROR(INDEX('Measure List'!K:K,'Printable Report'!$A49),"")</f>
        <v/>
      </c>
      <c r="M49" s="256"/>
      <c r="O49" s="275"/>
    </row>
    <row r="50" spans="1:15" ht="39.6" customHeight="1" x14ac:dyDescent="0.25">
      <c r="A50" s="298" t="str" cm="1">
        <f t="array" ref="A50">IFERROR(SMALL(IF('Measure List'!G$2:G$171&lt;&gt;0,'Measure List'!A$2:A$171),ROW()-26),"")</f>
        <v/>
      </c>
      <c r="B50" s="276"/>
      <c r="C50" s="276"/>
      <c r="D50" s="277" t="str" cm="1">
        <f t="array" ref="D50">IFERROR(INDEX('Measure List'!B:B,'Printable Report'!$A50),"")</f>
        <v/>
      </c>
      <c r="E50" s="278" t="str" cm="1">
        <f t="array" ref="E50">IFERROR(INDEX('Measure List'!C:C,'Printable Report'!$A50),"")</f>
        <v/>
      </c>
      <c r="F50" s="279" t="str" cm="1">
        <f t="array" ref="F50">IFERROR(INDEX('Measure List'!D:D,'Printable Report'!$A50),"")</f>
        <v/>
      </c>
      <c r="G50" s="280" t="str" cm="1">
        <f t="array" ref="G50">IFERROR(INDEX('Measure List'!E:E,'Printable Report'!$A50),"")</f>
        <v/>
      </c>
      <c r="H50" s="299" t="str" cm="1">
        <f t="array" ref="H50">IFERROR(INDEX('Measure List'!F:F,'Printable Report'!$A50),"")</f>
        <v/>
      </c>
      <c r="I50" s="282" t="str" cm="1">
        <f t="array" ref="I50">IFERROR(INDEX('Measure List'!G:G,'Printable Report'!$A50),"")</f>
        <v/>
      </c>
      <c r="J50" s="299" t="str" cm="1">
        <f t="array" ref="J50">IFERROR(INDEX('Measure List'!I:I,'Printable Report'!$A50),"")</f>
        <v/>
      </c>
      <c r="K50" s="299" t="str" cm="1">
        <f t="array" ref="K50">IFERROR(INDEX('Measure List'!J:J,'Printable Report'!$A50),"")</f>
        <v/>
      </c>
      <c r="L50" s="299" t="str" cm="1">
        <f t="array" ref="L50">IFERROR(INDEX('Measure List'!K:K,'Printable Report'!$A50),"")</f>
        <v/>
      </c>
      <c r="M50" s="256"/>
      <c r="O50" s="275"/>
    </row>
    <row r="51" spans="1:15" ht="39.6" customHeight="1" x14ac:dyDescent="0.25">
      <c r="A51" s="298" t="str" cm="1">
        <f t="array" ref="A51">IFERROR(SMALL(IF('Measure List'!G$2:G$171&lt;&gt;0,'Measure List'!A$2:A$171),ROW()-26),"")</f>
        <v/>
      </c>
      <c r="B51" s="276"/>
      <c r="C51" s="276"/>
      <c r="D51" s="277" t="str" cm="1">
        <f t="array" ref="D51">IFERROR(INDEX('Measure List'!B:B,'Printable Report'!$A51),"")</f>
        <v/>
      </c>
      <c r="E51" s="278" t="str" cm="1">
        <f t="array" ref="E51">IFERROR(INDEX('Measure List'!C:C,'Printable Report'!$A51),"")</f>
        <v/>
      </c>
      <c r="F51" s="279" t="str" cm="1">
        <f t="array" ref="F51">IFERROR(INDEX('Measure List'!D:D,'Printable Report'!$A51),"")</f>
        <v/>
      </c>
      <c r="G51" s="280" t="str" cm="1">
        <f t="array" ref="G51">IFERROR(INDEX('Measure List'!E:E,'Printable Report'!$A51),"")</f>
        <v/>
      </c>
      <c r="H51" s="299" t="str" cm="1">
        <f t="array" ref="H51">IFERROR(INDEX('Measure List'!F:F,'Printable Report'!$A51),"")</f>
        <v/>
      </c>
      <c r="I51" s="282" t="str" cm="1">
        <f t="array" ref="I51">IFERROR(INDEX('Measure List'!G:G,'Printable Report'!$A51),"")</f>
        <v/>
      </c>
      <c r="J51" s="299" t="str" cm="1">
        <f t="array" ref="J51">IFERROR(INDEX('Measure List'!I:I,'Printable Report'!$A51),"")</f>
        <v/>
      </c>
      <c r="K51" s="299" t="str" cm="1">
        <f t="array" ref="K51">IFERROR(INDEX('Measure List'!J:J,'Printable Report'!$A51),"")</f>
        <v/>
      </c>
      <c r="L51" s="299" t="str" cm="1">
        <f t="array" ref="L51">IFERROR(INDEX('Measure List'!K:K,'Printable Report'!$A51),"")</f>
        <v/>
      </c>
      <c r="M51" s="256"/>
      <c r="O51" s="275"/>
    </row>
    <row r="52" spans="1:15" ht="39.6" customHeight="1" x14ac:dyDescent="0.25">
      <c r="A52" s="298" t="str" cm="1">
        <f t="array" ref="A52">IFERROR(SMALL(IF('Measure List'!G$2:G$171&lt;&gt;0,'Measure List'!A$2:A$171),ROW()-26),"")</f>
        <v/>
      </c>
      <c r="B52" s="276"/>
      <c r="C52" s="276"/>
      <c r="D52" s="277" t="str" cm="1">
        <f t="array" ref="D52">IFERROR(INDEX('Measure List'!B:B,'Printable Report'!$A52),"")</f>
        <v/>
      </c>
      <c r="E52" s="278" t="str" cm="1">
        <f t="array" ref="E52">IFERROR(INDEX('Measure List'!C:C,'Printable Report'!$A52),"")</f>
        <v/>
      </c>
      <c r="F52" s="279" t="str" cm="1">
        <f t="array" ref="F52">IFERROR(INDEX('Measure List'!D:D,'Printable Report'!$A52),"")</f>
        <v/>
      </c>
      <c r="G52" s="280" t="str" cm="1">
        <f t="array" ref="G52">IFERROR(INDEX('Measure List'!E:E,'Printable Report'!$A52),"")</f>
        <v/>
      </c>
      <c r="H52" s="299" t="str" cm="1">
        <f t="array" ref="H52">IFERROR(INDEX('Measure List'!F:F,'Printable Report'!$A52),"")</f>
        <v/>
      </c>
      <c r="I52" s="282" t="str" cm="1">
        <f t="array" ref="I52">IFERROR(INDEX('Measure List'!G:G,'Printable Report'!$A52),"")</f>
        <v/>
      </c>
      <c r="J52" s="299" t="str" cm="1">
        <f t="array" ref="J52">IFERROR(INDEX('Measure List'!I:I,'Printable Report'!$A52),"")</f>
        <v/>
      </c>
      <c r="K52" s="299" t="str" cm="1">
        <f t="array" ref="K52">IFERROR(INDEX('Measure List'!J:J,'Printable Report'!$A52),"")</f>
        <v/>
      </c>
      <c r="L52" s="299" t="str" cm="1">
        <f t="array" ref="L52">IFERROR(INDEX('Measure List'!K:K,'Printable Report'!$A52),"")</f>
        <v/>
      </c>
      <c r="M52" s="256"/>
      <c r="O52" s="275"/>
    </row>
    <row r="53" spans="1:15" ht="39.6" customHeight="1" x14ac:dyDescent="0.25">
      <c r="A53" s="298" t="str" cm="1">
        <f t="array" ref="A53">IFERROR(SMALL(IF('Measure List'!G$2:G$171&lt;&gt;0,'Measure List'!A$2:A$171),ROW()-26),"")</f>
        <v/>
      </c>
      <c r="B53" s="276"/>
      <c r="C53" s="276"/>
      <c r="D53" s="277" t="str" cm="1">
        <f t="array" ref="D53">IFERROR(INDEX('Measure List'!B:B,'Printable Report'!$A53),"")</f>
        <v/>
      </c>
      <c r="E53" s="278" t="str" cm="1">
        <f t="array" ref="E53">IFERROR(INDEX('Measure List'!C:C,'Printable Report'!$A53),"")</f>
        <v/>
      </c>
      <c r="F53" s="279" t="str" cm="1">
        <f t="array" ref="F53">IFERROR(INDEX('Measure List'!D:D,'Printable Report'!$A53),"")</f>
        <v/>
      </c>
      <c r="G53" s="280" t="str" cm="1">
        <f t="array" ref="G53">IFERROR(INDEX('Measure List'!E:E,'Printable Report'!$A53),"")</f>
        <v/>
      </c>
      <c r="H53" s="299" t="str" cm="1">
        <f t="array" ref="H53">IFERROR(INDEX('Measure List'!F:F,'Printable Report'!$A53),"")</f>
        <v/>
      </c>
      <c r="I53" s="282" t="str" cm="1">
        <f t="array" ref="I53">IFERROR(INDEX('Measure List'!G:G,'Printable Report'!$A53),"")</f>
        <v/>
      </c>
      <c r="J53" s="299" t="str" cm="1">
        <f t="array" ref="J53">IFERROR(INDEX('Measure List'!I:I,'Printable Report'!$A53),"")</f>
        <v/>
      </c>
      <c r="K53" s="299" t="str" cm="1">
        <f t="array" ref="K53">IFERROR(INDEX('Measure List'!J:J,'Printable Report'!$A53),"")</f>
        <v/>
      </c>
      <c r="L53" s="299" t="str" cm="1">
        <f t="array" ref="L53">IFERROR(INDEX('Measure List'!K:K,'Printable Report'!$A53),"")</f>
        <v/>
      </c>
      <c r="M53" s="256"/>
      <c r="O53" s="275"/>
    </row>
    <row r="54" spans="1:15" ht="39.6" customHeight="1" x14ac:dyDescent="0.25">
      <c r="A54" s="298" t="str" cm="1">
        <f t="array" ref="A54">IFERROR(SMALL(IF('Measure List'!G$2:G$171&lt;&gt;0,'Measure List'!A$2:A$171),ROW()-26),"")</f>
        <v/>
      </c>
      <c r="B54" s="276"/>
      <c r="C54" s="276"/>
      <c r="D54" s="277" t="str" cm="1">
        <f t="array" ref="D54">IFERROR(INDEX('Measure List'!B:B,'Printable Report'!$A54),"")</f>
        <v/>
      </c>
      <c r="E54" s="278" t="str" cm="1">
        <f t="array" ref="E54">IFERROR(INDEX('Measure List'!C:C,'Printable Report'!$A54),"")</f>
        <v/>
      </c>
      <c r="F54" s="279" t="str" cm="1">
        <f t="array" ref="F54">IFERROR(INDEX('Measure List'!D:D,'Printable Report'!$A54),"")</f>
        <v/>
      </c>
      <c r="G54" s="280" t="str" cm="1">
        <f t="array" ref="G54">IFERROR(INDEX('Measure List'!E:E,'Printable Report'!$A54),"")</f>
        <v/>
      </c>
      <c r="H54" s="299" t="str" cm="1">
        <f t="array" ref="H54">IFERROR(INDEX('Measure List'!F:F,'Printable Report'!$A54),"")</f>
        <v/>
      </c>
      <c r="I54" s="282" t="str" cm="1">
        <f t="array" ref="I54">IFERROR(INDEX('Measure List'!G:G,'Printable Report'!$A54),"")</f>
        <v/>
      </c>
      <c r="J54" s="299" t="str" cm="1">
        <f t="array" ref="J54">IFERROR(INDEX('Measure List'!I:I,'Printable Report'!$A54),"")</f>
        <v/>
      </c>
      <c r="K54" s="299" t="str" cm="1">
        <f t="array" ref="K54">IFERROR(INDEX('Measure List'!J:J,'Printable Report'!$A54),"")</f>
        <v/>
      </c>
      <c r="L54" s="299" t="str" cm="1">
        <f t="array" ref="L54">IFERROR(INDEX('Measure List'!K:K,'Printable Report'!$A54),"")</f>
        <v/>
      </c>
      <c r="M54" s="256"/>
      <c r="O54" s="275"/>
    </row>
    <row r="55" spans="1:15" ht="39.6" customHeight="1" x14ac:dyDescent="0.25">
      <c r="A55" s="298" t="str" cm="1">
        <f t="array" ref="A55">IFERROR(SMALL(IF('Measure List'!G$2:G$171&lt;&gt;0,'Measure List'!A$2:A$171),ROW()-26),"")</f>
        <v/>
      </c>
      <c r="B55" s="276"/>
      <c r="C55" s="276"/>
      <c r="D55" s="277" t="str" cm="1">
        <f t="array" ref="D55">IFERROR(INDEX('Measure List'!B:B,'Printable Report'!$A55),"")</f>
        <v/>
      </c>
      <c r="E55" s="278" t="str" cm="1">
        <f t="array" ref="E55">IFERROR(INDEX('Measure List'!C:C,'Printable Report'!$A55),"")</f>
        <v/>
      </c>
      <c r="F55" s="279" t="str" cm="1">
        <f t="array" ref="F55">IFERROR(INDEX('Measure List'!D:D,'Printable Report'!$A55),"")</f>
        <v/>
      </c>
      <c r="G55" s="280" t="str" cm="1">
        <f t="array" ref="G55">IFERROR(INDEX('Measure List'!E:E,'Printable Report'!$A55),"")</f>
        <v/>
      </c>
      <c r="H55" s="299" t="str" cm="1">
        <f t="array" ref="H55">IFERROR(INDEX('Measure List'!F:F,'Printable Report'!$A55),"")</f>
        <v/>
      </c>
      <c r="I55" s="282" t="str" cm="1">
        <f t="array" ref="I55">IFERROR(INDEX('Measure List'!G:G,'Printable Report'!$A55),"")</f>
        <v/>
      </c>
      <c r="J55" s="299" t="str" cm="1">
        <f t="array" ref="J55">IFERROR(INDEX('Measure List'!I:I,'Printable Report'!$A55),"")</f>
        <v/>
      </c>
      <c r="K55" s="299" t="str" cm="1">
        <f t="array" ref="K55">IFERROR(INDEX('Measure List'!J:J,'Printable Report'!$A55),"")</f>
        <v/>
      </c>
      <c r="L55" s="299" t="str" cm="1">
        <f t="array" ref="L55">IFERROR(INDEX('Measure List'!K:K,'Printable Report'!$A55),"")</f>
        <v/>
      </c>
      <c r="M55" s="256"/>
      <c r="O55" s="275"/>
    </row>
    <row r="56" spans="1:15" ht="39.6" customHeight="1" x14ac:dyDescent="0.25">
      <c r="A56" s="298" t="str" cm="1">
        <f t="array" ref="A56">IFERROR(SMALL(IF('Measure List'!G$2:G$171&lt;&gt;0,'Measure List'!A$2:A$171),ROW()-26),"")</f>
        <v/>
      </c>
      <c r="B56" s="276"/>
      <c r="C56" s="276"/>
      <c r="D56" s="277" t="str" cm="1">
        <f t="array" ref="D56">IFERROR(INDEX('Measure List'!B:B,'Printable Report'!$A56),"")</f>
        <v/>
      </c>
      <c r="E56" s="278" t="str" cm="1">
        <f t="array" ref="E56">IFERROR(INDEX('Measure List'!C:C,'Printable Report'!$A56),"")</f>
        <v/>
      </c>
      <c r="F56" s="279" t="str" cm="1">
        <f t="array" ref="F56">IFERROR(INDEX('Measure List'!D:D,'Printable Report'!$A56),"")</f>
        <v/>
      </c>
      <c r="G56" s="280" t="str" cm="1">
        <f t="array" ref="G56">IFERROR(INDEX('Measure List'!E:E,'Printable Report'!$A56),"")</f>
        <v/>
      </c>
      <c r="H56" s="299" t="str" cm="1">
        <f t="array" ref="H56">IFERROR(INDEX('Measure List'!F:F,'Printable Report'!$A56),"")</f>
        <v/>
      </c>
      <c r="I56" s="282" t="str" cm="1">
        <f t="array" ref="I56">IFERROR(INDEX('Measure List'!G:G,'Printable Report'!$A56),"")</f>
        <v/>
      </c>
      <c r="J56" s="299" t="str" cm="1">
        <f t="array" ref="J56">IFERROR(INDEX('Measure List'!I:I,'Printable Report'!$A56),"")</f>
        <v/>
      </c>
      <c r="K56" s="299" t="str" cm="1">
        <f t="array" ref="K56">IFERROR(INDEX('Measure List'!J:J,'Printable Report'!$A56),"")</f>
        <v/>
      </c>
      <c r="L56" s="299" t="str" cm="1">
        <f t="array" ref="L56">IFERROR(INDEX('Measure List'!K:K,'Printable Report'!$A56),"")</f>
        <v/>
      </c>
      <c r="M56" s="256"/>
      <c r="O56" s="275"/>
    </row>
    <row r="57" spans="1:15" ht="39.6" customHeight="1" x14ac:dyDescent="0.25">
      <c r="A57" s="298" t="str" cm="1">
        <f t="array" ref="A57">IFERROR(SMALL(IF('Measure List'!G$2:G$171&lt;&gt;0,'Measure List'!A$2:A$171),ROW()-26),"")</f>
        <v/>
      </c>
      <c r="B57" s="276"/>
      <c r="C57" s="276"/>
      <c r="D57" s="277" t="str" cm="1">
        <f t="array" ref="D57">IFERROR(INDEX('Measure List'!B:B,'Printable Report'!$A57),"")</f>
        <v/>
      </c>
      <c r="E57" s="278" t="str" cm="1">
        <f t="array" ref="E57">IFERROR(INDEX('Measure List'!C:C,'Printable Report'!$A57),"")</f>
        <v/>
      </c>
      <c r="F57" s="279" t="str" cm="1">
        <f t="array" ref="F57">IFERROR(INDEX('Measure List'!D:D,'Printable Report'!$A57),"")</f>
        <v/>
      </c>
      <c r="G57" s="280" t="str" cm="1">
        <f t="array" ref="G57">IFERROR(INDEX('Measure List'!E:E,'Printable Report'!$A57),"")</f>
        <v/>
      </c>
      <c r="H57" s="299" t="str" cm="1">
        <f t="array" ref="H57">IFERROR(INDEX('Measure List'!F:F,'Printable Report'!$A57),"")</f>
        <v/>
      </c>
      <c r="I57" s="282" t="str" cm="1">
        <f t="array" ref="I57">IFERROR(INDEX('Measure List'!G:G,'Printable Report'!$A57),"")</f>
        <v/>
      </c>
      <c r="J57" s="299" t="str" cm="1">
        <f t="array" ref="J57">IFERROR(INDEX('Measure List'!I:I,'Printable Report'!$A57),"")</f>
        <v/>
      </c>
      <c r="K57" s="299" t="str" cm="1">
        <f t="array" ref="K57">IFERROR(INDEX('Measure List'!J:J,'Printable Report'!$A57),"")</f>
        <v/>
      </c>
      <c r="L57" s="299" t="str" cm="1">
        <f t="array" ref="L57">IFERROR(INDEX('Measure List'!K:K,'Printable Report'!$A57),"")</f>
        <v/>
      </c>
      <c r="M57" s="256"/>
      <c r="O57" s="275"/>
    </row>
    <row r="58" spans="1:15" ht="39.6" customHeight="1" x14ac:dyDescent="0.25">
      <c r="A58" s="298" t="str" cm="1">
        <f t="array" ref="A58">IFERROR(SMALL(IF('Measure List'!G$2:G$171&lt;&gt;0,'Measure List'!A$2:A$171),ROW()-26),"")</f>
        <v/>
      </c>
      <c r="B58" s="276"/>
      <c r="C58" s="276"/>
      <c r="D58" s="277" t="str" cm="1">
        <f t="array" ref="D58">IFERROR(INDEX('Measure List'!B:B,'Printable Report'!$A58),"")</f>
        <v/>
      </c>
      <c r="E58" s="278" t="str" cm="1">
        <f t="array" ref="E58">IFERROR(INDEX('Measure List'!C:C,'Printable Report'!$A58),"")</f>
        <v/>
      </c>
      <c r="F58" s="279" t="str" cm="1">
        <f t="array" ref="F58">IFERROR(INDEX('Measure List'!D:D,'Printable Report'!$A58),"")</f>
        <v/>
      </c>
      <c r="G58" s="280" t="str" cm="1">
        <f t="array" ref="G58">IFERROR(INDEX('Measure List'!E:E,'Printable Report'!$A58),"")</f>
        <v/>
      </c>
      <c r="H58" s="299" t="str" cm="1">
        <f t="array" ref="H58">IFERROR(INDEX('Measure List'!F:F,'Printable Report'!$A58),"")</f>
        <v/>
      </c>
      <c r="I58" s="282" t="str" cm="1">
        <f t="array" ref="I58">IFERROR(INDEX('Measure List'!G:G,'Printable Report'!$A58),"")</f>
        <v/>
      </c>
      <c r="J58" s="299" t="str" cm="1">
        <f t="array" ref="J58">IFERROR(INDEX('Measure List'!I:I,'Printable Report'!$A58),"")</f>
        <v/>
      </c>
      <c r="K58" s="299" t="str" cm="1">
        <f t="array" ref="K58">IFERROR(INDEX('Measure List'!J:J,'Printable Report'!$A58),"")</f>
        <v/>
      </c>
      <c r="L58" s="299" t="str" cm="1">
        <f t="array" ref="L58">IFERROR(INDEX('Measure List'!K:K,'Printable Report'!$A58),"")</f>
        <v/>
      </c>
      <c r="M58" s="256"/>
      <c r="O58" s="275"/>
    </row>
    <row r="59" spans="1:15" ht="39.6" customHeight="1" x14ac:dyDescent="0.25">
      <c r="A59" s="298" t="str" cm="1">
        <f t="array" ref="A59">IFERROR(SMALL(IF('Measure List'!G$2:G$171&lt;&gt;0,'Measure List'!A$2:A$171),ROW()-26),"")</f>
        <v/>
      </c>
      <c r="B59" s="276"/>
      <c r="C59" s="276"/>
      <c r="D59" s="277" t="str" cm="1">
        <f t="array" ref="D59">IFERROR(INDEX('Measure List'!B:B,'Printable Report'!$A59),"")</f>
        <v/>
      </c>
      <c r="E59" s="278" t="str" cm="1">
        <f t="array" ref="E59">IFERROR(INDEX('Measure List'!C:C,'Printable Report'!$A59),"")</f>
        <v/>
      </c>
      <c r="F59" s="279" t="str" cm="1">
        <f t="array" ref="F59">IFERROR(INDEX('Measure List'!D:D,'Printable Report'!$A59),"")</f>
        <v/>
      </c>
      <c r="G59" s="280" t="str" cm="1">
        <f t="array" ref="G59">IFERROR(INDEX('Measure List'!E:E,'Printable Report'!$A59),"")</f>
        <v/>
      </c>
      <c r="H59" s="299" t="str" cm="1">
        <f t="array" ref="H59">IFERROR(INDEX('Measure List'!F:F,'Printable Report'!$A59),"")</f>
        <v/>
      </c>
      <c r="I59" s="282" t="str" cm="1">
        <f t="array" ref="I59">IFERROR(INDEX('Measure List'!G:G,'Printable Report'!$A59),"")</f>
        <v/>
      </c>
      <c r="J59" s="299" t="str" cm="1">
        <f t="array" ref="J59">IFERROR(INDEX('Measure List'!I:I,'Printable Report'!$A59),"")</f>
        <v/>
      </c>
      <c r="K59" s="299" t="str" cm="1">
        <f t="array" ref="K59">IFERROR(INDEX('Measure List'!J:J,'Printable Report'!$A59),"")</f>
        <v/>
      </c>
      <c r="L59" s="299" t="str" cm="1">
        <f t="array" ref="L59">IFERROR(INDEX('Measure List'!K:K,'Printable Report'!$A59),"")</f>
        <v/>
      </c>
      <c r="M59" s="256"/>
      <c r="O59" s="275"/>
    </row>
    <row r="60" spans="1:15" ht="39.6" customHeight="1" x14ac:dyDescent="0.25">
      <c r="A60" s="298" t="str" cm="1">
        <f t="array" ref="A60">IFERROR(SMALL(IF('Measure List'!G$2:G$171&lt;&gt;0,'Measure List'!A$2:A$171),ROW()-26),"")</f>
        <v/>
      </c>
      <c r="B60" s="276"/>
      <c r="C60" s="276"/>
      <c r="D60" s="277" t="str" cm="1">
        <f t="array" ref="D60">IFERROR(INDEX('Measure List'!B:B,'Printable Report'!$A60),"")</f>
        <v/>
      </c>
      <c r="E60" s="278" t="str" cm="1">
        <f t="array" ref="E60">IFERROR(INDEX('Measure List'!C:C,'Printable Report'!$A60),"")</f>
        <v/>
      </c>
      <c r="F60" s="279" t="str" cm="1">
        <f t="array" ref="F60">IFERROR(INDEX('Measure List'!D:D,'Printable Report'!$A60),"")</f>
        <v/>
      </c>
      <c r="G60" s="280" t="str" cm="1">
        <f t="array" ref="G60">IFERROR(INDEX('Measure List'!E:E,'Printable Report'!$A60),"")</f>
        <v/>
      </c>
      <c r="H60" s="299" t="str" cm="1">
        <f t="array" ref="H60">IFERROR(INDEX('Measure List'!F:F,'Printable Report'!$A60),"")</f>
        <v/>
      </c>
      <c r="I60" s="282" t="str" cm="1">
        <f t="array" ref="I60">IFERROR(INDEX('Measure List'!G:G,'Printable Report'!$A60),"")</f>
        <v/>
      </c>
      <c r="J60" s="299" t="str" cm="1">
        <f t="array" ref="J60">IFERROR(INDEX('Measure List'!I:I,'Printable Report'!$A60),"")</f>
        <v/>
      </c>
      <c r="K60" s="299" t="str" cm="1">
        <f t="array" ref="K60">IFERROR(INDEX('Measure List'!J:J,'Printable Report'!$A60),"")</f>
        <v/>
      </c>
      <c r="L60" s="299" t="str" cm="1">
        <f t="array" ref="L60">IFERROR(INDEX('Measure List'!K:K,'Printable Report'!$A60),"")</f>
        <v/>
      </c>
      <c r="M60" s="256"/>
      <c r="O60" s="275"/>
    </row>
    <row r="61" spans="1:15" ht="39.6" customHeight="1" x14ac:dyDescent="0.25">
      <c r="A61" s="298" t="str" cm="1">
        <f t="array" ref="A61">IFERROR(SMALL(IF('Measure List'!G$2:G$171&lt;&gt;0,'Measure List'!A$2:A$171),ROW()-26),"")</f>
        <v/>
      </c>
      <c r="B61" s="276"/>
      <c r="C61" s="276"/>
      <c r="D61" s="277" t="str" cm="1">
        <f t="array" ref="D61">IFERROR(INDEX('Measure List'!B:B,'Printable Report'!$A61),"")</f>
        <v/>
      </c>
      <c r="E61" s="278" t="str" cm="1">
        <f t="array" ref="E61">IFERROR(INDEX('Measure List'!C:C,'Printable Report'!$A61),"")</f>
        <v/>
      </c>
      <c r="F61" s="279" t="str" cm="1">
        <f t="array" ref="F61">IFERROR(INDEX('Measure List'!D:D,'Printable Report'!$A61),"")</f>
        <v/>
      </c>
      <c r="G61" s="280" t="str" cm="1">
        <f t="array" ref="G61">IFERROR(INDEX('Measure List'!E:E,'Printable Report'!$A61),"")</f>
        <v/>
      </c>
      <c r="H61" s="299" t="str" cm="1">
        <f t="array" ref="H61">IFERROR(INDEX('Measure List'!F:F,'Printable Report'!$A61),"")</f>
        <v/>
      </c>
      <c r="I61" s="282" t="str" cm="1">
        <f t="array" ref="I61">IFERROR(INDEX('Measure List'!G:G,'Printable Report'!$A61),"")</f>
        <v/>
      </c>
      <c r="J61" s="299" t="str" cm="1">
        <f t="array" ref="J61">IFERROR(INDEX('Measure List'!I:I,'Printable Report'!$A61),"")</f>
        <v/>
      </c>
      <c r="K61" s="299" t="str" cm="1">
        <f t="array" ref="K61">IFERROR(INDEX('Measure List'!J:J,'Printable Report'!$A61),"")</f>
        <v/>
      </c>
      <c r="L61" s="299" t="str" cm="1">
        <f t="array" ref="L61">IFERROR(INDEX('Measure List'!K:K,'Printable Report'!$A61),"")</f>
        <v/>
      </c>
      <c r="M61" s="256"/>
      <c r="O61" s="275"/>
    </row>
    <row r="62" spans="1:15" ht="39.6" customHeight="1" x14ac:dyDescent="0.25">
      <c r="A62" s="298" t="str" cm="1">
        <f t="array" ref="A62">IFERROR(SMALL(IF('Measure List'!G$2:G$171&lt;&gt;0,'Measure List'!A$2:A$171),ROW()-26),"")</f>
        <v/>
      </c>
      <c r="B62" s="276"/>
      <c r="C62" s="276"/>
      <c r="D62" s="277" t="str" cm="1">
        <f t="array" ref="D62">IFERROR(INDEX('Measure List'!B:B,'Printable Report'!$A62),"")</f>
        <v/>
      </c>
      <c r="E62" s="278" t="str" cm="1">
        <f t="array" ref="E62">IFERROR(INDEX('Measure List'!C:C,'Printable Report'!$A62),"")</f>
        <v/>
      </c>
      <c r="F62" s="279" t="str" cm="1">
        <f t="array" ref="F62">IFERROR(INDEX('Measure List'!D:D,'Printable Report'!$A62),"")</f>
        <v/>
      </c>
      <c r="G62" s="280" t="str" cm="1">
        <f t="array" ref="G62">IFERROR(INDEX('Measure List'!E:E,'Printable Report'!$A62),"")</f>
        <v/>
      </c>
      <c r="H62" s="299" t="str" cm="1">
        <f t="array" ref="H62">IFERROR(INDEX('Measure List'!F:F,'Printable Report'!$A62),"")</f>
        <v/>
      </c>
      <c r="I62" s="282" t="str" cm="1">
        <f t="array" ref="I62">IFERROR(INDEX('Measure List'!G:G,'Printable Report'!$A62),"")</f>
        <v/>
      </c>
      <c r="J62" s="299" t="str" cm="1">
        <f t="array" ref="J62">IFERROR(INDEX('Measure List'!I:I,'Printable Report'!$A62),"")</f>
        <v/>
      </c>
      <c r="K62" s="299" t="str" cm="1">
        <f t="array" ref="K62">IFERROR(INDEX('Measure List'!J:J,'Printable Report'!$A62),"")</f>
        <v/>
      </c>
      <c r="L62" s="299" t="str" cm="1">
        <f t="array" ref="L62">IFERROR(INDEX('Measure List'!K:K,'Printable Report'!$A62),"")</f>
        <v/>
      </c>
      <c r="M62" s="256"/>
      <c r="O62" s="275"/>
    </row>
    <row r="63" spans="1:15" ht="39.6" customHeight="1" x14ac:dyDescent="0.25">
      <c r="A63" s="298" t="str" cm="1">
        <f t="array" ref="A63">IFERROR(SMALL(IF('Measure List'!G$2:G$171&lt;&gt;0,'Measure List'!A$2:A$171),ROW()-26),"")</f>
        <v/>
      </c>
      <c r="B63" s="276"/>
      <c r="C63" s="276"/>
      <c r="D63" s="277" t="str" cm="1">
        <f t="array" ref="D63">IFERROR(INDEX('Measure List'!B:B,'Printable Report'!$A63),"")</f>
        <v/>
      </c>
      <c r="E63" s="278" t="str" cm="1">
        <f t="array" ref="E63">IFERROR(INDEX('Measure List'!C:C,'Printable Report'!$A63),"")</f>
        <v/>
      </c>
      <c r="F63" s="279" t="str" cm="1">
        <f t="array" ref="F63">IFERROR(INDEX('Measure List'!D:D,'Printable Report'!$A63),"")</f>
        <v/>
      </c>
      <c r="G63" s="280" t="str" cm="1">
        <f t="array" ref="G63">IFERROR(INDEX('Measure List'!E:E,'Printable Report'!$A63),"")</f>
        <v/>
      </c>
      <c r="H63" s="299" t="str" cm="1">
        <f t="array" ref="H63">IFERROR(INDEX('Measure List'!F:F,'Printable Report'!$A63),"")</f>
        <v/>
      </c>
      <c r="I63" s="282" t="str" cm="1">
        <f t="array" ref="I63">IFERROR(INDEX('Measure List'!G:G,'Printable Report'!$A63),"")</f>
        <v/>
      </c>
      <c r="J63" s="299" t="str" cm="1">
        <f t="array" ref="J63">IFERROR(INDEX('Measure List'!I:I,'Printable Report'!$A63),"")</f>
        <v/>
      </c>
      <c r="K63" s="299" t="str" cm="1">
        <f t="array" ref="K63">IFERROR(INDEX('Measure List'!J:J,'Printable Report'!$A63),"")</f>
        <v/>
      </c>
      <c r="L63" s="299" t="str" cm="1">
        <f t="array" ref="L63">IFERROR(INDEX('Measure List'!K:K,'Printable Report'!$A63),"")</f>
        <v/>
      </c>
      <c r="M63" s="256"/>
      <c r="O63" s="275"/>
    </row>
    <row r="64" spans="1:15" ht="39.6" customHeight="1" x14ac:dyDescent="0.25">
      <c r="A64" s="298" t="str" cm="1">
        <f t="array" ref="A64">IFERROR(SMALL(IF('Measure List'!G$2:G$171&lt;&gt;0,'Measure List'!A$2:A$171),ROW()-26),"")</f>
        <v/>
      </c>
      <c r="B64" s="276"/>
      <c r="C64" s="276"/>
      <c r="D64" s="277" t="str" cm="1">
        <f t="array" ref="D64">IFERROR(INDEX('Measure List'!B:B,'Printable Report'!$A64),"")</f>
        <v/>
      </c>
      <c r="E64" s="278" t="str" cm="1">
        <f t="array" ref="E64">IFERROR(INDEX('Measure List'!C:C,'Printable Report'!$A64),"")</f>
        <v/>
      </c>
      <c r="F64" s="279" t="str" cm="1">
        <f t="array" ref="F64">IFERROR(INDEX('Measure List'!D:D,'Printable Report'!$A64),"")</f>
        <v/>
      </c>
      <c r="G64" s="280" t="str" cm="1">
        <f t="array" ref="G64">IFERROR(INDEX('Measure List'!E:E,'Printable Report'!$A64),"")</f>
        <v/>
      </c>
      <c r="H64" s="299" t="str" cm="1">
        <f t="array" ref="H64">IFERROR(INDEX('Measure List'!F:F,'Printable Report'!$A64),"")</f>
        <v/>
      </c>
      <c r="I64" s="282" t="str" cm="1">
        <f t="array" ref="I64">IFERROR(INDEX('Measure List'!G:G,'Printable Report'!$A64),"")</f>
        <v/>
      </c>
      <c r="J64" s="299" t="str" cm="1">
        <f t="array" ref="J64">IFERROR(INDEX('Measure List'!I:I,'Printable Report'!$A64),"")</f>
        <v/>
      </c>
      <c r="K64" s="299" t="str" cm="1">
        <f t="array" ref="K64">IFERROR(INDEX('Measure List'!J:J,'Printable Report'!$A64),"")</f>
        <v/>
      </c>
      <c r="L64" s="299" t="str" cm="1">
        <f t="array" ref="L64">IFERROR(INDEX('Measure List'!K:K,'Printable Report'!$A64),"")</f>
        <v/>
      </c>
      <c r="M64" s="256"/>
      <c r="O64" s="275"/>
    </row>
    <row r="65" spans="1:15" ht="39.6" customHeight="1" x14ac:dyDescent="0.25">
      <c r="A65" s="298" t="str" cm="1">
        <f t="array" ref="A65">IFERROR(SMALL(IF('Measure List'!G$2:G$171&lt;&gt;0,'Measure List'!A$2:A$171),ROW()-26),"")</f>
        <v/>
      </c>
      <c r="B65" s="276"/>
      <c r="C65" s="276"/>
      <c r="D65" s="277" t="str" cm="1">
        <f t="array" ref="D65">IFERROR(INDEX('Measure List'!B:B,'Printable Report'!$A65),"")</f>
        <v/>
      </c>
      <c r="E65" s="278" t="str" cm="1">
        <f t="array" ref="E65">IFERROR(INDEX('Measure List'!C:C,'Printable Report'!$A65),"")</f>
        <v/>
      </c>
      <c r="F65" s="279" t="str" cm="1">
        <f t="array" ref="F65">IFERROR(INDEX('Measure List'!D:D,'Printable Report'!$A65),"")</f>
        <v/>
      </c>
      <c r="G65" s="280" t="str" cm="1">
        <f t="array" ref="G65">IFERROR(INDEX('Measure List'!E:E,'Printable Report'!$A65),"")</f>
        <v/>
      </c>
      <c r="H65" s="299" t="str" cm="1">
        <f t="array" ref="H65">IFERROR(INDEX('Measure List'!F:F,'Printable Report'!$A65),"")</f>
        <v/>
      </c>
      <c r="I65" s="282" t="str" cm="1">
        <f t="array" ref="I65">IFERROR(INDEX('Measure List'!G:G,'Printable Report'!$A65),"")</f>
        <v/>
      </c>
      <c r="J65" s="299" t="str" cm="1">
        <f t="array" ref="J65">IFERROR(INDEX('Measure List'!I:I,'Printable Report'!$A65),"")</f>
        <v/>
      </c>
      <c r="K65" s="299" t="str" cm="1">
        <f t="array" ref="K65">IFERROR(INDEX('Measure List'!J:J,'Printable Report'!$A65),"")</f>
        <v/>
      </c>
      <c r="L65" s="299" t="str" cm="1">
        <f t="array" ref="L65">IFERROR(INDEX('Measure List'!K:K,'Printable Report'!$A65),"")</f>
        <v/>
      </c>
      <c r="M65" s="256"/>
      <c r="O65" s="275"/>
    </row>
    <row r="66" spans="1:15" ht="39.6" customHeight="1" x14ac:dyDescent="0.25">
      <c r="A66" s="298" t="str" cm="1">
        <f t="array" ref="A66">IFERROR(SMALL(IF('Measure List'!G$2:G$171&lt;&gt;0,'Measure List'!A$2:A$171),ROW()-26),"")</f>
        <v/>
      </c>
      <c r="B66" s="276"/>
      <c r="C66" s="276"/>
      <c r="D66" s="277" t="str" cm="1">
        <f t="array" ref="D66">IFERROR(INDEX('Measure List'!B:B,'Printable Report'!$A66),"")</f>
        <v/>
      </c>
      <c r="E66" s="278" t="str" cm="1">
        <f t="array" ref="E66">IFERROR(INDEX('Measure List'!C:C,'Printable Report'!$A66),"")</f>
        <v/>
      </c>
      <c r="F66" s="279" t="str" cm="1">
        <f t="array" ref="F66">IFERROR(INDEX('Measure List'!D:D,'Printable Report'!$A66),"")</f>
        <v/>
      </c>
      <c r="G66" s="280" t="str" cm="1">
        <f t="array" ref="G66">IFERROR(INDEX('Measure List'!E:E,'Printable Report'!$A66),"")</f>
        <v/>
      </c>
      <c r="H66" s="299" t="str" cm="1">
        <f t="array" ref="H66">IFERROR(INDEX('Measure List'!F:F,'Printable Report'!$A66),"")</f>
        <v/>
      </c>
      <c r="I66" s="282" t="str" cm="1">
        <f t="array" ref="I66">IFERROR(INDEX('Measure List'!G:G,'Printable Report'!$A66),"")</f>
        <v/>
      </c>
      <c r="J66" s="299" t="str" cm="1">
        <f t="array" ref="J66">IFERROR(INDEX('Measure List'!I:I,'Printable Report'!$A66),"")</f>
        <v/>
      </c>
      <c r="K66" s="299" t="str" cm="1">
        <f t="array" ref="K66">IFERROR(INDEX('Measure List'!J:J,'Printable Report'!$A66),"")</f>
        <v/>
      </c>
      <c r="L66" s="299" t="str" cm="1">
        <f t="array" ref="L66">IFERROR(INDEX('Measure List'!K:K,'Printable Report'!$A66),"")</f>
        <v/>
      </c>
      <c r="M66" s="256"/>
      <c r="O66" s="275"/>
    </row>
    <row r="67" spans="1:15" ht="39.6" customHeight="1" x14ac:dyDescent="0.25">
      <c r="A67" s="298" t="str" cm="1">
        <f t="array" ref="A67">IFERROR(SMALL(IF('Measure List'!G$2:G$171&lt;&gt;0,'Measure List'!A$2:A$171),ROW()-26),"")</f>
        <v/>
      </c>
      <c r="B67" s="276"/>
      <c r="C67" s="276"/>
      <c r="D67" s="277" t="str" cm="1">
        <f t="array" ref="D67">IFERROR(INDEX('Measure List'!B:B,'Printable Report'!$A67),"")</f>
        <v/>
      </c>
      <c r="E67" s="278" t="str" cm="1">
        <f t="array" ref="E67">IFERROR(INDEX('Measure List'!C:C,'Printable Report'!$A67),"")</f>
        <v/>
      </c>
      <c r="F67" s="279" t="str" cm="1">
        <f t="array" ref="F67">IFERROR(INDEX('Measure List'!D:D,'Printable Report'!$A67),"")</f>
        <v/>
      </c>
      <c r="G67" s="280" t="str" cm="1">
        <f t="array" ref="G67">IFERROR(INDEX('Measure List'!E:E,'Printable Report'!$A67),"")</f>
        <v/>
      </c>
      <c r="H67" s="299" t="str" cm="1">
        <f t="array" ref="H67">IFERROR(INDEX('Measure List'!F:F,'Printable Report'!$A67),"")</f>
        <v/>
      </c>
      <c r="I67" s="282" t="str" cm="1">
        <f t="array" ref="I67">IFERROR(INDEX('Measure List'!G:G,'Printable Report'!$A67),"")</f>
        <v/>
      </c>
      <c r="J67" s="299" t="str" cm="1">
        <f t="array" ref="J67">IFERROR(INDEX('Measure List'!I:I,'Printable Report'!$A67),"")</f>
        <v/>
      </c>
      <c r="K67" s="299" t="str" cm="1">
        <f t="array" ref="K67">IFERROR(INDEX('Measure List'!J:J,'Printable Report'!$A67),"")</f>
        <v/>
      </c>
      <c r="L67" s="299" t="str" cm="1">
        <f t="array" ref="L67">IFERROR(INDEX('Measure List'!K:K,'Printable Report'!$A67),"")</f>
        <v/>
      </c>
      <c r="M67" s="256"/>
      <c r="O67" s="275"/>
    </row>
    <row r="68" spans="1:15" ht="39.6" customHeight="1" x14ac:dyDescent="0.25">
      <c r="A68" s="298" t="str" cm="1">
        <f t="array" ref="A68">IFERROR(SMALL(IF('Measure List'!G$2:G$171&lt;&gt;0,'Measure List'!A$2:A$171),ROW()-26),"")</f>
        <v/>
      </c>
      <c r="B68" s="276"/>
      <c r="C68" s="276"/>
      <c r="D68" s="277" t="str" cm="1">
        <f t="array" ref="D68">IFERROR(INDEX('Measure List'!B:B,'Printable Report'!$A68),"")</f>
        <v/>
      </c>
      <c r="E68" s="278" t="str" cm="1">
        <f t="array" ref="E68">IFERROR(INDEX('Measure List'!C:C,'Printable Report'!$A68),"")</f>
        <v/>
      </c>
      <c r="F68" s="279" t="str" cm="1">
        <f t="array" ref="F68">IFERROR(INDEX('Measure List'!D:D,'Printable Report'!$A68),"")</f>
        <v/>
      </c>
      <c r="G68" s="280" t="str" cm="1">
        <f t="array" ref="G68">IFERROR(INDEX('Measure List'!E:E,'Printable Report'!$A68),"")</f>
        <v/>
      </c>
      <c r="H68" s="299" t="str" cm="1">
        <f t="array" ref="H68">IFERROR(INDEX('Measure List'!F:F,'Printable Report'!$A68),"")</f>
        <v/>
      </c>
      <c r="I68" s="282" t="str" cm="1">
        <f t="array" ref="I68">IFERROR(INDEX('Measure List'!G:G,'Printable Report'!$A68),"")</f>
        <v/>
      </c>
      <c r="J68" s="299" t="str" cm="1">
        <f t="array" ref="J68">IFERROR(INDEX('Measure List'!I:I,'Printable Report'!$A68),"")</f>
        <v/>
      </c>
      <c r="K68" s="299" t="str" cm="1">
        <f t="array" ref="K68">IFERROR(INDEX('Measure List'!J:J,'Printable Report'!$A68),"")</f>
        <v/>
      </c>
      <c r="L68" s="299" t="str" cm="1">
        <f t="array" ref="L68">IFERROR(INDEX('Measure List'!K:K,'Printable Report'!$A68),"")</f>
        <v/>
      </c>
      <c r="M68" s="256"/>
      <c r="O68" s="275"/>
    </row>
    <row r="69" spans="1:15" ht="39.6" customHeight="1" x14ac:dyDescent="0.25">
      <c r="A69" s="298" t="str" cm="1">
        <f t="array" ref="A69">IFERROR(SMALL(IF('Measure List'!G$2:G$171&lt;&gt;0,'Measure List'!A$2:A$171),ROW()-26),"")</f>
        <v/>
      </c>
      <c r="B69" s="276"/>
      <c r="C69" s="276"/>
      <c r="D69" s="277" t="str" cm="1">
        <f t="array" ref="D69">IFERROR(INDEX('Measure List'!B:B,'Printable Report'!$A69),"")</f>
        <v/>
      </c>
      <c r="E69" s="278" t="str" cm="1">
        <f t="array" ref="E69">IFERROR(INDEX('Measure List'!C:C,'Printable Report'!$A69),"")</f>
        <v/>
      </c>
      <c r="F69" s="279" t="str" cm="1">
        <f t="array" ref="F69">IFERROR(INDEX('Measure List'!D:D,'Printable Report'!$A69),"")</f>
        <v/>
      </c>
      <c r="G69" s="280" t="str" cm="1">
        <f t="array" ref="G69">IFERROR(INDEX('Measure List'!E:E,'Printable Report'!$A69),"")</f>
        <v/>
      </c>
      <c r="H69" s="299" t="str" cm="1">
        <f t="array" ref="H69">IFERROR(INDEX('Measure List'!F:F,'Printable Report'!$A69),"")</f>
        <v/>
      </c>
      <c r="I69" s="282" t="str" cm="1">
        <f t="array" ref="I69">IFERROR(INDEX('Measure List'!G:G,'Printable Report'!$A69),"")</f>
        <v/>
      </c>
      <c r="J69" s="299" t="str" cm="1">
        <f t="array" ref="J69">IFERROR(INDEX('Measure List'!I:I,'Printable Report'!$A69),"")</f>
        <v/>
      </c>
      <c r="K69" s="299" t="str" cm="1">
        <f t="array" ref="K69">IFERROR(INDEX('Measure List'!J:J,'Printable Report'!$A69),"")</f>
        <v/>
      </c>
      <c r="L69" s="299" t="str" cm="1">
        <f t="array" ref="L69">IFERROR(INDEX('Measure List'!K:K,'Printable Report'!$A69),"")</f>
        <v/>
      </c>
      <c r="M69" s="256"/>
      <c r="O69" s="275"/>
    </row>
    <row r="70" spans="1:15" ht="39.6" customHeight="1" x14ac:dyDescent="0.25">
      <c r="A70" s="298" t="str" cm="1">
        <f t="array" ref="A70">IFERROR(SMALL(IF('Measure List'!G$2:G$171&lt;&gt;0,'Measure List'!A$2:A$171),ROW()-26),"")</f>
        <v/>
      </c>
      <c r="B70" s="276"/>
      <c r="C70" s="276"/>
      <c r="D70" s="277" t="str" cm="1">
        <f t="array" ref="D70">IFERROR(INDEX('Measure List'!B:B,'Printable Report'!$A70),"")</f>
        <v/>
      </c>
      <c r="E70" s="278" t="str" cm="1">
        <f t="array" ref="E70">IFERROR(INDEX('Measure List'!C:C,'Printable Report'!$A70),"")</f>
        <v/>
      </c>
      <c r="F70" s="279" t="str" cm="1">
        <f t="array" ref="F70">IFERROR(INDEX('Measure List'!D:D,'Printable Report'!$A70),"")</f>
        <v/>
      </c>
      <c r="G70" s="280" t="str" cm="1">
        <f t="array" ref="G70">IFERROR(INDEX('Measure List'!E:E,'Printable Report'!$A70),"")</f>
        <v/>
      </c>
      <c r="H70" s="299" t="str" cm="1">
        <f t="array" ref="H70">IFERROR(INDEX('Measure List'!F:F,'Printable Report'!$A70),"")</f>
        <v/>
      </c>
      <c r="I70" s="282" t="str" cm="1">
        <f t="array" ref="I70">IFERROR(INDEX('Measure List'!G:G,'Printable Report'!$A70),"")</f>
        <v/>
      </c>
      <c r="J70" s="299" t="str" cm="1">
        <f t="array" ref="J70">IFERROR(INDEX('Measure List'!I:I,'Printable Report'!$A70),"")</f>
        <v/>
      </c>
      <c r="K70" s="299" t="str" cm="1">
        <f t="array" ref="K70">IFERROR(INDEX('Measure List'!J:J,'Printable Report'!$A70),"")</f>
        <v/>
      </c>
      <c r="L70" s="299" t="str" cm="1">
        <f t="array" ref="L70">IFERROR(INDEX('Measure List'!K:K,'Printable Report'!$A70),"")</f>
        <v/>
      </c>
      <c r="M70" s="256"/>
      <c r="O70" s="275"/>
    </row>
    <row r="71" spans="1:15" ht="39.6" customHeight="1" x14ac:dyDescent="0.25">
      <c r="A71" s="298" t="str" cm="1">
        <f t="array" ref="A71">IFERROR(SMALL(IF('Measure List'!G$2:G$171&lt;&gt;0,'Measure List'!A$2:A$171),ROW()-26),"")</f>
        <v/>
      </c>
      <c r="B71" s="276"/>
      <c r="C71" s="276"/>
      <c r="D71" s="277" t="str" cm="1">
        <f t="array" ref="D71">IFERROR(INDEX('Measure List'!B:B,'Printable Report'!$A71),"")</f>
        <v/>
      </c>
      <c r="E71" s="278" t="str" cm="1">
        <f t="array" ref="E71">IFERROR(INDEX('Measure List'!C:C,'Printable Report'!$A71),"")</f>
        <v/>
      </c>
      <c r="F71" s="279" t="str" cm="1">
        <f t="array" ref="F71">IFERROR(INDEX('Measure List'!D:D,'Printable Report'!$A71),"")</f>
        <v/>
      </c>
      <c r="G71" s="280" t="str" cm="1">
        <f t="array" ref="G71">IFERROR(INDEX('Measure List'!E:E,'Printable Report'!$A71),"")</f>
        <v/>
      </c>
      <c r="H71" s="299" t="str" cm="1">
        <f t="array" ref="H71">IFERROR(INDEX('Measure List'!F:F,'Printable Report'!$A71),"")</f>
        <v/>
      </c>
      <c r="I71" s="282" t="str" cm="1">
        <f t="array" ref="I71">IFERROR(INDEX('Measure List'!G:G,'Printable Report'!$A71),"")</f>
        <v/>
      </c>
      <c r="J71" s="299" t="str" cm="1">
        <f t="array" ref="J71">IFERROR(INDEX('Measure List'!I:I,'Printable Report'!$A71),"")</f>
        <v/>
      </c>
      <c r="K71" s="299" t="str" cm="1">
        <f t="array" ref="K71">IFERROR(INDEX('Measure List'!J:J,'Printable Report'!$A71),"")</f>
        <v/>
      </c>
      <c r="L71" s="299" t="str" cm="1">
        <f t="array" ref="L71">IFERROR(INDEX('Measure List'!K:K,'Printable Report'!$A71),"")</f>
        <v/>
      </c>
      <c r="M71" s="256"/>
      <c r="O71" s="275"/>
    </row>
    <row r="72" spans="1:15" ht="39.6" customHeight="1" x14ac:dyDescent="0.25">
      <c r="A72" s="298" t="str" cm="1">
        <f t="array" ref="A72">IFERROR(SMALL(IF('Measure List'!G$2:G$171&lt;&gt;0,'Measure List'!A$2:A$171),ROW()-26),"")</f>
        <v/>
      </c>
      <c r="B72" s="276"/>
      <c r="C72" s="276"/>
      <c r="D72" s="277" t="str" cm="1">
        <f t="array" ref="D72">IFERROR(INDEX('Measure List'!B:B,'Printable Report'!$A72),"")</f>
        <v/>
      </c>
      <c r="E72" s="278" t="str" cm="1">
        <f t="array" ref="E72">IFERROR(INDEX('Measure List'!C:C,'Printable Report'!$A72),"")</f>
        <v/>
      </c>
      <c r="F72" s="279" t="str" cm="1">
        <f t="array" ref="F72">IFERROR(INDEX('Measure List'!D:D,'Printable Report'!$A72),"")</f>
        <v/>
      </c>
      <c r="G72" s="280" t="str" cm="1">
        <f t="array" ref="G72">IFERROR(INDEX('Measure List'!E:E,'Printable Report'!$A72),"")</f>
        <v/>
      </c>
      <c r="H72" s="299" t="str" cm="1">
        <f t="array" ref="H72">IFERROR(INDEX('Measure List'!F:F,'Printable Report'!$A72),"")</f>
        <v/>
      </c>
      <c r="I72" s="282" t="str" cm="1">
        <f t="array" ref="I72">IFERROR(INDEX('Measure List'!G:G,'Printable Report'!$A72),"")</f>
        <v/>
      </c>
      <c r="J72" s="299" t="str" cm="1">
        <f t="array" ref="J72">IFERROR(INDEX('Measure List'!I:I,'Printable Report'!$A72),"")</f>
        <v/>
      </c>
      <c r="K72" s="299" t="str" cm="1">
        <f t="array" ref="K72">IFERROR(INDEX('Measure List'!J:J,'Printable Report'!$A72),"")</f>
        <v/>
      </c>
      <c r="L72" s="299" t="str" cm="1">
        <f t="array" ref="L72">IFERROR(INDEX('Measure List'!K:K,'Printable Report'!$A72),"")</f>
        <v/>
      </c>
      <c r="M72" s="256"/>
      <c r="O72" s="275"/>
    </row>
    <row r="73" spans="1:15" ht="39.6" customHeight="1" x14ac:dyDescent="0.25">
      <c r="A73" s="298" t="str" cm="1">
        <f t="array" ref="A73">IFERROR(SMALL(IF('Measure List'!G$2:G$171&lt;&gt;0,'Measure List'!A$2:A$171),ROW()-26),"")</f>
        <v/>
      </c>
      <c r="B73" s="276"/>
      <c r="C73" s="276"/>
      <c r="D73" s="277" t="str" cm="1">
        <f t="array" ref="D73">IFERROR(INDEX('Measure List'!B:B,'Printable Report'!$A73),"")</f>
        <v/>
      </c>
      <c r="E73" s="278" t="str" cm="1">
        <f t="array" ref="E73">IFERROR(INDEX('Measure List'!C:C,'Printable Report'!$A73),"")</f>
        <v/>
      </c>
      <c r="F73" s="279" t="str" cm="1">
        <f t="array" ref="F73">IFERROR(INDEX('Measure List'!D:D,'Printable Report'!$A73),"")</f>
        <v/>
      </c>
      <c r="G73" s="280" t="str" cm="1">
        <f t="array" ref="G73">IFERROR(INDEX('Measure List'!E:E,'Printable Report'!$A73),"")</f>
        <v/>
      </c>
      <c r="H73" s="299" t="str" cm="1">
        <f t="array" ref="H73">IFERROR(INDEX('Measure List'!F:F,'Printable Report'!$A73),"")</f>
        <v/>
      </c>
      <c r="I73" s="282" t="str" cm="1">
        <f t="array" ref="I73">IFERROR(INDEX('Measure List'!G:G,'Printable Report'!$A73),"")</f>
        <v/>
      </c>
      <c r="J73" s="299" t="str" cm="1">
        <f t="array" ref="J73">IFERROR(INDEX('Measure List'!I:I,'Printable Report'!$A73),"")</f>
        <v/>
      </c>
      <c r="K73" s="299" t="str" cm="1">
        <f t="array" ref="K73">IFERROR(INDEX('Measure List'!J:J,'Printable Report'!$A73),"")</f>
        <v/>
      </c>
      <c r="L73" s="299" t="str" cm="1">
        <f t="array" ref="L73">IFERROR(INDEX('Measure List'!K:K,'Printable Report'!$A73),"")</f>
        <v/>
      </c>
      <c r="M73" s="256"/>
      <c r="O73" s="275"/>
    </row>
    <row r="74" spans="1:15" ht="39.6" customHeight="1" x14ac:dyDescent="0.25">
      <c r="A74" s="298" t="str" cm="1">
        <f t="array" ref="A74">IFERROR(SMALL(IF('Measure List'!G$2:G$171&lt;&gt;0,'Measure List'!A$2:A$171),ROW()-26),"")</f>
        <v/>
      </c>
      <c r="B74" s="276"/>
      <c r="C74" s="276"/>
      <c r="D74" s="277" t="str" cm="1">
        <f t="array" ref="D74">IFERROR(INDEX('Measure List'!B:B,'Printable Report'!$A74),"")</f>
        <v/>
      </c>
      <c r="E74" s="278" t="str" cm="1">
        <f t="array" ref="E74">IFERROR(INDEX('Measure List'!C:C,'Printable Report'!$A74),"")</f>
        <v/>
      </c>
      <c r="F74" s="279" t="str" cm="1">
        <f t="array" ref="F74">IFERROR(INDEX('Measure List'!D:D,'Printable Report'!$A74),"")</f>
        <v/>
      </c>
      <c r="G74" s="280" t="str" cm="1">
        <f t="array" ref="G74">IFERROR(INDEX('Measure List'!E:E,'Printable Report'!$A74),"")</f>
        <v/>
      </c>
      <c r="H74" s="299" t="str" cm="1">
        <f t="array" ref="H74">IFERROR(INDEX('Measure List'!F:F,'Printable Report'!$A74),"")</f>
        <v/>
      </c>
      <c r="I74" s="282" t="str" cm="1">
        <f t="array" ref="I74">IFERROR(INDEX('Measure List'!G:G,'Printable Report'!$A74),"")</f>
        <v/>
      </c>
      <c r="J74" s="299" t="str" cm="1">
        <f t="array" ref="J74">IFERROR(INDEX('Measure List'!I:I,'Printable Report'!$A74),"")</f>
        <v/>
      </c>
      <c r="K74" s="299" t="str" cm="1">
        <f t="array" ref="K74">IFERROR(INDEX('Measure List'!J:J,'Printable Report'!$A74),"")</f>
        <v/>
      </c>
      <c r="L74" s="299" t="str" cm="1">
        <f t="array" ref="L74">IFERROR(INDEX('Measure List'!K:K,'Printable Report'!$A74),"")</f>
        <v/>
      </c>
      <c r="M74" s="256"/>
      <c r="O74" s="275"/>
    </row>
    <row r="75" spans="1:15" ht="39.6" customHeight="1" x14ac:dyDescent="0.25">
      <c r="A75" s="298" t="str" cm="1">
        <f t="array" ref="A75">IFERROR(SMALL(IF('Measure List'!G$2:G$171&lt;&gt;0,'Measure List'!A$2:A$171),ROW()-26),"")</f>
        <v/>
      </c>
      <c r="B75" s="276"/>
      <c r="C75" s="276"/>
      <c r="D75" s="277" t="str" cm="1">
        <f t="array" ref="D75">IFERROR(INDEX('Measure List'!B:B,'Printable Report'!$A75),"")</f>
        <v/>
      </c>
      <c r="E75" s="278" t="str" cm="1">
        <f t="array" ref="E75">IFERROR(INDEX('Measure List'!C:C,'Printable Report'!$A75),"")</f>
        <v/>
      </c>
      <c r="F75" s="279" t="str" cm="1">
        <f t="array" ref="F75">IFERROR(INDEX('Measure List'!D:D,'Printable Report'!$A75),"")</f>
        <v/>
      </c>
      <c r="G75" s="280" t="str" cm="1">
        <f t="array" ref="G75">IFERROR(INDEX('Measure List'!E:E,'Printable Report'!$A75),"")</f>
        <v/>
      </c>
      <c r="H75" s="299" t="str" cm="1">
        <f t="array" ref="H75">IFERROR(INDEX('Measure List'!F:F,'Printable Report'!$A75),"")</f>
        <v/>
      </c>
      <c r="I75" s="282" t="str" cm="1">
        <f t="array" ref="I75">IFERROR(INDEX('Measure List'!G:G,'Printable Report'!$A75),"")</f>
        <v/>
      </c>
      <c r="J75" s="299" t="str" cm="1">
        <f t="array" ref="J75">IFERROR(INDEX('Measure List'!I:I,'Printable Report'!$A75),"")</f>
        <v/>
      </c>
      <c r="K75" s="299" t="str" cm="1">
        <f t="array" ref="K75">IFERROR(INDEX('Measure List'!J:J,'Printable Report'!$A75),"")</f>
        <v/>
      </c>
      <c r="L75" s="299" t="str" cm="1">
        <f t="array" ref="L75">IFERROR(INDEX('Measure List'!K:K,'Printable Report'!$A75),"")</f>
        <v/>
      </c>
      <c r="M75" s="256"/>
      <c r="O75" s="275"/>
    </row>
    <row r="76" spans="1:15" ht="39.6" customHeight="1" x14ac:dyDescent="0.25">
      <c r="A76" s="298" t="str" cm="1">
        <f t="array" ref="A76">IFERROR(SMALL(IF('Measure List'!G$2:G$171&lt;&gt;0,'Measure List'!A$2:A$171),ROW()-26),"")</f>
        <v/>
      </c>
      <c r="B76" s="276"/>
      <c r="C76" s="276"/>
      <c r="D76" s="277" t="str" cm="1">
        <f t="array" ref="D76">IFERROR(INDEX('Measure List'!B:B,'Printable Report'!$A76),"")</f>
        <v/>
      </c>
      <c r="E76" s="278" t="str" cm="1">
        <f t="array" ref="E76">IFERROR(INDEX('Measure List'!C:C,'Printable Report'!$A76),"")</f>
        <v/>
      </c>
      <c r="F76" s="279" t="str" cm="1">
        <f t="array" ref="F76">IFERROR(INDEX('Measure List'!D:D,'Printable Report'!$A76),"")</f>
        <v/>
      </c>
      <c r="G76" s="280" t="str" cm="1">
        <f t="array" ref="G76">IFERROR(INDEX('Measure List'!E:E,'Printable Report'!$A76),"")</f>
        <v/>
      </c>
      <c r="H76" s="299" t="str" cm="1">
        <f t="array" ref="H76">IFERROR(INDEX('Measure List'!F:F,'Printable Report'!$A76),"")</f>
        <v/>
      </c>
      <c r="I76" s="282" t="str" cm="1">
        <f t="array" ref="I76">IFERROR(INDEX('Measure List'!G:G,'Printable Report'!$A76),"")</f>
        <v/>
      </c>
      <c r="J76" s="299" t="str" cm="1">
        <f t="array" ref="J76">IFERROR(INDEX('Measure List'!I:I,'Printable Report'!$A76),"")</f>
        <v/>
      </c>
      <c r="K76" s="299" t="str" cm="1">
        <f t="array" ref="K76">IFERROR(INDEX('Measure List'!J:J,'Printable Report'!$A76),"")</f>
        <v/>
      </c>
      <c r="L76" s="299" t="str" cm="1">
        <f t="array" ref="L76">IFERROR(INDEX('Measure List'!K:K,'Printable Report'!$A76),"")</f>
        <v/>
      </c>
      <c r="M76" s="256"/>
      <c r="O76" s="275"/>
    </row>
    <row r="77" spans="1:15" ht="39.6" customHeight="1" x14ac:dyDescent="0.25">
      <c r="A77" s="298" t="str" cm="1">
        <f t="array" ref="A77">IFERROR(SMALL(IF('Measure List'!G$2:G$171&lt;&gt;0,'Measure List'!A$2:A$171),ROW()-26),"")</f>
        <v/>
      </c>
      <c r="B77" s="276"/>
      <c r="C77" s="276"/>
      <c r="D77" s="277" t="str" cm="1">
        <f t="array" ref="D77">IFERROR(INDEX('Measure List'!B:B,'Printable Report'!$A77),"")</f>
        <v/>
      </c>
      <c r="E77" s="278" t="str" cm="1">
        <f t="array" ref="E77">IFERROR(INDEX('Measure List'!C:C,'Printable Report'!$A77),"")</f>
        <v/>
      </c>
      <c r="F77" s="279" t="str" cm="1">
        <f t="array" ref="F77">IFERROR(INDEX('Measure List'!D:D,'Printable Report'!$A77),"")</f>
        <v/>
      </c>
      <c r="G77" s="280" t="str" cm="1">
        <f t="array" ref="G77">IFERROR(INDEX('Measure List'!E:E,'Printable Report'!$A77),"")</f>
        <v/>
      </c>
      <c r="H77" s="299" t="str" cm="1">
        <f t="array" ref="H77">IFERROR(INDEX('Measure List'!F:F,'Printable Report'!$A77),"")</f>
        <v/>
      </c>
      <c r="I77" s="282" t="str" cm="1">
        <f t="array" ref="I77">IFERROR(INDEX('Measure List'!G:G,'Printable Report'!$A77),"")</f>
        <v/>
      </c>
      <c r="J77" s="299" t="str" cm="1">
        <f t="array" ref="J77">IFERROR(INDEX('Measure List'!I:I,'Printable Report'!$A77),"")</f>
        <v/>
      </c>
      <c r="K77" s="299" t="str" cm="1">
        <f t="array" ref="K77">IFERROR(INDEX('Measure List'!J:J,'Printable Report'!$A77),"")</f>
        <v/>
      </c>
      <c r="L77" s="299" t="str" cm="1">
        <f t="array" ref="L77">IFERROR(INDEX('Measure List'!K:K,'Printable Report'!$A77),"")</f>
        <v/>
      </c>
      <c r="M77" s="256"/>
      <c r="O77" s="275"/>
    </row>
    <row r="78" spans="1:15" ht="39.6" customHeight="1" x14ac:dyDescent="0.25">
      <c r="A78" s="298" t="str" cm="1">
        <f t="array" ref="A78">IFERROR(SMALL(IF('Measure List'!G$2:G$171&lt;&gt;0,'Measure List'!A$2:A$171),ROW()-26),"")</f>
        <v/>
      </c>
      <c r="B78" s="276"/>
      <c r="C78" s="276"/>
      <c r="D78" s="277" t="str" cm="1">
        <f t="array" ref="D78">IFERROR(INDEX('Measure List'!B:B,'Printable Report'!$A78),"")</f>
        <v/>
      </c>
      <c r="E78" s="278" t="str" cm="1">
        <f t="array" ref="E78">IFERROR(INDEX('Measure List'!C:C,'Printable Report'!$A78),"")</f>
        <v/>
      </c>
      <c r="F78" s="279" t="str" cm="1">
        <f t="array" ref="F78">IFERROR(INDEX('Measure List'!D:D,'Printable Report'!$A78),"")</f>
        <v/>
      </c>
      <c r="G78" s="280" t="str" cm="1">
        <f t="array" ref="G78">IFERROR(INDEX('Measure List'!E:E,'Printable Report'!$A78),"")</f>
        <v/>
      </c>
      <c r="H78" s="299" t="str" cm="1">
        <f t="array" ref="H78">IFERROR(INDEX('Measure List'!F:F,'Printable Report'!$A78),"")</f>
        <v/>
      </c>
      <c r="I78" s="282" t="str" cm="1">
        <f t="array" ref="I78">IFERROR(INDEX('Measure List'!G:G,'Printable Report'!$A78),"")</f>
        <v/>
      </c>
      <c r="J78" s="299" t="str" cm="1">
        <f t="array" ref="J78">IFERROR(INDEX('Measure List'!I:I,'Printable Report'!$A78),"")</f>
        <v/>
      </c>
      <c r="K78" s="299" t="str" cm="1">
        <f t="array" ref="K78">IFERROR(INDEX('Measure List'!J:J,'Printable Report'!$A78),"")</f>
        <v/>
      </c>
      <c r="L78" s="299" t="str" cm="1">
        <f t="array" ref="L78">IFERROR(INDEX('Measure List'!K:K,'Printable Report'!$A78),"")</f>
        <v/>
      </c>
      <c r="M78" s="256"/>
      <c r="O78" s="275"/>
    </row>
    <row r="79" spans="1:15" ht="39.6" customHeight="1" x14ac:dyDescent="0.25">
      <c r="A79" s="298" t="str" cm="1">
        <f t="array" ref="A79">IFERROR(SMALL(IF('Measure List'!G$2:G$171&lt;&gt;0,'Measure List'!A$2:A$171),ROW()-26),"")</f>
        <v/>
      </c>
      <c r="B79" s="276"/>
      <c r="C79" s="276"/>
      <c r="D79" s="277" t="str" cm="1">
        <f t="array" ref="D79">IFERROR(INDEX('Measure List'!B:B,'Printable Report'!$A79),"")</f>
        <v/>
      </c>
      <c r="E79" s="278" t="str" cm="1">
        <f t="array" ref="E79">IFERROR(INDEX('Measure List'!C:C,'Printable Report'!$A79),"")</f>
        <v/>
      </c>
      <c r="F79" s="279" t="str" cm="1">
        <f t="array" ref="F79">IFERROR(INDEX('Measure List'!D:D,'Printable Report'!$A79),"")</f>
        <v/>
      </c>
      <c r="G79" s="280" t="str" cm="1">
        <f t="array" ref="G79">IFERROR(INDEX('Measure List'!E:E,'Printable Report'!$A79),"")</f>
        <v/>
      </c>
      <c r="H79" s="299" t="str" cm="1">
        <f t="array" ref="H79">IFERROR(INDEX('Measure List'!F:F,'Printable Report'!$A79),"")</f>
        <v/>
      </c>
      <c r="I79" s="282" t="str" cm="1">
        <f t="array" ref="I79">IFERROR(INDEX('Measure List'!G:G,'Printable Report'!$A79),"")</f>
        <v/>
      </c>
      <c r="J79" s="299" t="str" cm="1">
        <f t="array" ref="J79">IFERROR(INDEX('Measure List'!I:I,'Printable Report'!$A79),"")</f>
        <v/>
      </c>
      <c r="K79" s="299" t="str" cm="1">
        <f t="array" ref="K79">IFERROR(INDEX('Measure List'!J:J,'Printable Report'!$A79),"")</f>
        <v/>
      </c>
      <c r="L79" s="299" t="str" cm="1">
        <f t="array" ref="L79">IFERROR(INDEX('Measure List'!K:K,'Printable Report'!$A79),"")</f>
        <v/>
      </c>
      <c r="M79" s="256"/>
      <c r="O79" s="275"/>
    </row>
    <row r="80" spans="1:15" ht="39.6" customHeight="1" x14ac:dyDescent="0.25">
      <c r="A80" s="298" t="str" cm="1">
        <f t="array" ref="A80">IFERROR(SMALL(IF('Measure List'!G$2:G$171&lt;&gt;0,'Measure List'!A$2:A$171),ROW()-26),"")</f>
        <v/>
      </c>
      <c r="B80" s="276"/>
      <c r="C80" s="276"/>
      <c r="D80" s="277" t="str" cm="1">
        <f t="array" ref="D80">IFERROR(INDEX('Measure List'!B:B,'Printable Report'!$A80),"")</f>
        <v/>
      </c>
      <c r="E80" s="278" t="str" cm="1">
        <f t="array" ref="E80">IFERROR(INDEX('Measure List'!C:C,'Printable Report'!$A80),"")</f>
        <v/>
      </c>
      <c r="F80" s="279" t="str" cm="1">
        <f t="array" ref="F80">IFERROR(INDEX('Measure List'!D:D,'Printable Report'!$A80),"")</f>
        <v/>
      </c>
      <c r="G80" s="280" t="str" cm="1">
        <f t="array" ref="G80">IFERROR(INDEX('Measure List'!E:E,'Printable Report'!$A80),"")</f>
        <v/>
      </c>
      <c r="H80" s="299" t="str" cm="1">
        <f t="array" ref="H80">IFERROR(INDEX('Measure List'!F:F,'Printable Report'!$A80),"")</f>
        <v/>
      </c>
      <c r="I80" s="282" t="str" cm="1">
        <f t="array" ref="I80">IFERROR(INDEX('Measure List'!G:G,'Printable Report'!$A80),"")</f>
        <v/>
      </c>
      <c r="J80" s="299" t="str" cm="1">
        <f t="array" ref="J80">IFERROR(INDEX('Measure List'!I:I,'Printable Report'!$A80),"")</f>
        <v/>
      </c>
      <c r="K80" s="299" t="str" cm="1">
        <f t="array" ref="K80">IFERROR(INDEX('Measure List'!J:J,'Printable Report'!$A80),"")</f>
        <v/>
      </c>
      <c r="L80" s="299" t="str" cm="1">
        <f t="array" ref="L80">IFERROR(INDEX('Measure List'!K:K,'Printable Report'!$A80),"")</f>
        <v/>
      </c>
      <c r="M80" s="256"/>
      <c r="O80" s="275"/>
    </row>
    <row r="81" spans="1:15" ht="39.6" customHeight="1" x14ac:dyDescent="0.25">
      <c r="A81" s="298" t="str" cm="1">
        <f t="array" ref="A81">IFERROR(SMALL(IF('Measure List'!G$2:G$171&lt;&gt;0,'Measure List'!A$2:A$171),ROW()-26),"")</f>
        <v/>
      </c>
      <c r="B81" s="276"/>
      <c r="C81" s="276"/>
      <c r="D81" s="277" t="str" cm="1">
        <f t="array" ref="D81">IFERROR(INDEX('Measure List'!B:B,'Printable Report'!$A81),"")</f>
        <v/>
      </c>
      <c r="E81" s="278" t="str" cm="1">
        <f t="array" ref="E81">IFERROR(INDEX('Measure List'!C:C,'Printable Report'!$A81),"")</f>
        <v/>
      </c>
      <c r="F81" s="279" t="str" cm="1">
        <f t="array" ref="F81">IFERROR(INDEX('Measure List'!D:D,'Printable Report'!$A81),"")</f>
        <v/>
      </c>
      <c r="G81" s="280" t="str" cm="1">
        <f t="array" ref="G81">IFERROR(INDEX('Measure List'!E:E,'Printable Report'!$A81),"")</f>
        <v/>
      </c>
      <c r="H81" s="299" t="str" cm="1">
        <f t="array" ref="H81">IFERROR(INDEX('Measure List'!F:F,'Printable Report'!$A81),"")</f>
        <v/>
      </c>
      <c r="I81" s="282" t="str" cm="1">
        <f t="array" ref="I81">IFERROR(INDEX('Measure List'!G:G,'Printable Report'!$A81),"")</f>
        <v/>
      </c>
      <c r="J81" s="299" t="str" cm="1">
        <f t="array" ref="J81">IFERROR(INDEX('Measure List'!I:I,'Printable Report'!$A81),"")</f>
        <v/>
      </c>
      <c r="K81" s="299" t="str" cm="1">
        <f t="array" ref="K81">IFERROR(INDEX('Measure List'!J:J,'Printable Report'!$A81),"")</f>
        <v/>
      </c>
      <c r="L81" s="299" t="str" cm="1">
        <f t="array" ref="L81">IFERROR(INDEX('Measure List'!K:K,'Printable Report'!$A81),"")</f>
        <v/>
      </c>
      <c r="M81" s="256"/>
      <c r="O81" s="275"/>
    </row>
    <row r="82" spans="1:15" ht="39.6" customHeight="1" x14ac:dyDescent="0.25">
      <c r="A82" s="298" t="str" cm="1">
        <f t="array" ref="A82">IFERROR(SMALL(IF('Measure List'!G$2:G$171&lt;&gt;0,'Measure List'!A$2:A$171),ROW()-26),"")</f>
        <v/>
      </c>
      <c r="B82" s="276"/>
      <c r="C82" s="276"/>
      <c r="D82" s="277" t="str" cm="1">
        <f t="array" ref="D82">IFERROR(INDEX('Measure List'!B:B,'Printable Report'!$A82),"")</f>
        <v/>
      </c>
      <c r="E82" s="278" t="str" cm="1">
        <f t="array" ref="E82">IFERROR(INDEX('Measure List'!C:C,'Printable Report'!$A82),"")</f>
        <v/>
      </c>
      <c r="F82" s="279" t="str" cm="1">
        <f t="array" ref="F82">IFERROR(INDEX('Measure List'!D:D,'Printable Report'!$A82),"")</f>
        <v/>
      </c>
      <c r="G82" s="280" t="str" cm="1">
        <f t="array" ref="G82">IFERROR(INDEX('Measure List'!E:E,'Printable Report'!$A82),"")</f>
        <v/>
      </c>
      <c r="H82" s="299" t="str" cm="1">
        <f t="array" ref="H82">IFERROR(INDEX('Measure List'!F:F,'Printable Report'!$A82),"")</f>
        <v/>
      </c>
      <c r="I82" s="282" t="str" cm="1">
        <f t="array" ref="I82">IFERROR(INDEX('Measure List'!G:G,'Printable Report'!$A82),"")</f>
        <v/>
      </c>
      <c r="J82" s="299" t="str" cm="1">
        <f t="array" ref="J82">IFERROR(INDEX('Measure List'!I:I,'Printable Report'!$A82),"")</f>
        <v/>
      </c>
      <c r="K82" s="299" t="str" cm="1">
        <f t="array" ref="K82">IFERROR(INDEX('Measure List'!J:J,'Printable Report'!$A82),"")</f>
        <v/>
      </c>
      <c r="L82" s="299" t="str" cm="1">
        <f t="array" ref="L82">IFERROR(INDEX('Measure List'!K:K,'Printable Report'!$A82),"")</f>
        <v/>
      </c>
      <c r="M82" s="256"/>
      <c r="O82" s="275"/>
    </row>
    <row r="83" spans="1:15" ht="39.6" customHeight="1" x14ac:dyDescent="0.25">
      <c r="A83" s="298" t="str" cm="1">
        <f t="array" ref="A83">IFERROR(SMALL(IF('Measure List'!G$2:G$171&lt;&gt;0,'Measure List'!A$2:A$171),ROW()-26),"")</f>
        <v/>
      </c>
      <c r="B83" s="276"/>
      <c r="C83" s="276"/>
      <c r="D83" s="277" t="str" cm="1">
        <f t="array" ref="D83">IFERROR(INDEX('Measure List'!B:B,'Printable Report'!$A83),"")</f>
        <v/>
      </c>
      <c r="E83" s="278" t="str" cm="1">
        <f t="array" ref="E83">IFERROR(INDEX('Measure List'!C:C,'Printable Report'!$A83),"")</f>
        <v/>
      </c>
      <c r="F83" s="279" t="str" cm="1">
        <f t="array" ref="F83">IFERROR(INDEX('Measure List'!D:D,'Printable Report'!$A83),"")</f>
        <v/>
      </c>
      <c r="G83" s="280" t="str" cm="1">
        <f t="array" ref="G83">IFERROR(INDEX('Measure List'!E:E,'Printable Report'!$A83),"")</f>
        <v/>
      </c>
      <c r="H83" s="299" t="str" cm="1">
        <f t="array" ref="H83">IFERROR(INDEX('Measure List'!F:F,'Printable Report'!$A83),"")</f>
        <v/>
      </c>
      <c r="I83" s="282" t="str" cm="1">
        <f t="array" ref="I83">IFERROR(INDEX('Measure List'!G:G,'Printable Report'!$A83),"")</f>
        <v/>
      </c>
      <c r="J83" s="299" t="str" cm="1">
        <f t="array" ref="J83">IFERROR(INDEX('Measure List'!I:I,'Printable Report'!$A83),"")</f>
        <v/>
      </c>
      <c r="K83" s="299" t="str" cm="1">
        <f t="array" ref="K83">IFERROR(INDEX('Measure List'!J:J,'Printable Report'!$A83),"")</f>
        <v/>
      </c>
      <c r="L83" s="299" t="str" cm="1">
        <f t="array" ref="L83">IFERROR(INDEX('Measure List'!K:K,'Printable Report'!$A83),"")</f>
        <v/>
      </c>
      <c r="M83" s="256"/>
      <c r="O83" s="275"/>
    </row>
    <row r="84" spans="1:15" ht="39.6" customHeight="1" x14ac:dyDescent="0.25">
      <c r="A84" s="298" t="str" cm="1">
        <f t="array" ref="A84">IFERROR(SMALL(IF('Measure List'!G$2:G$171&lt;&gt;0,'Measure List'!A$2:A$171),ROW()-26),"")</f>
        <v/>
      </c>
      <c r="B84" s="276"/>
      <c r="C84" s="276"/>
      <c r="D84" s="277" t="str" cm="1">
        <f t="array" ref="D84">IFERROR(INDEX('Measure List'!B:B,'Printable Report'!$A84),"")</f>
        <v/>
      </c>
      <c r="E84" s="278" t="str" cm="1">
        <f t="array" ref="E84">IFERROR(INDEX('Measure List'!C:C,'Printable Report'!$A84),"")</f>
        <v/>
      </c>
      <c r="F84" s="279" t="str" cm="1">
        <f t="array" ref="F84">IFERROR(INDEX('Measure List'!D:D,'Printable Report'!$A84),"")</f>
        <v/>
      </c>
      <c r="G84" s="280" t="str" cm="1">
        <f t="array" ref="G84">IFERROR(INDEX('Measure List'!E:E,'Printable Report'!$A84),"")</f>
        <v/>
      </c>
      <c r="H84" s="299" t="str" cm="1">
        <f t="array" ref="H84">IFERROR(INDEX('Measure List'!F:F,'Printable Report'!$A84),"")</f>
        <v/>
      </c>
      <c r="I84" s="282" t="str" cm="1">
        <f t="array" ref="I84">IFERROR(INDEX('Measure List'!G:G,'Printable Report'!$A84),"")</f>
        <v/>
      </c>
      <c r="J84" s="299" t="str" cm="1">
        <f t="array" ref="J84">IFERROR(INDEX('Measure List'!I:I,'Printable Report'!$A84),"")</f>
        <v/>
      </c>
      <c r="K84" s="299" t="str" cm="1">
        <f t="array" ref="K84">IFERROR(INDEX('Measure List'!J:J,'Printable Report'!$A84),"")</f>
        <v/>
      </c>
      <c r="L84" s="299" t="str" cm="1">
        <f t="array" ref="L84">IFERROR(INDEX('Measure List'!K:K,'Printable Report'!$A84),"")</f>
        <v/>
      </c>
      <c r="M84" s="256"/>
      <c r="O84" s="275"/>
    </row>
    <row r="85" spans="1:15" ht="39.6" customHeight="1" x14ac:dyDescent="0.25">
      <c r="A85" s="298" t="str" cm="1">
        <f t="array" ref="A85">IFERROR(SMALL(IF('Measure List'!G$2:G$171&lt;&gt;0,'Measure List'!A$2:A$171),ROW()-26),"")</f>
        <v/>
      </c>
      <c r="B85" s="276"/>
      <c r="C85" s="276"/>
      <c r="D85" s="277" t="str" cm="1">
        <f t="array" ref="D85">IFERROR(INDEX('Measure List'!B:B,'Printable Report'!$A85),"")</f>
        <v/>
      </c>
      <c r="E85" s="278" t="str" cm="1">
        <f t="array" ref="E85">IFERROR(INDEX('Measure List'!C:C,'Printable Report'!$A85),"")</f>
        <v/>
      </c>
      <c r="F85" s="279" t="str" cm="1">
        <f t="array" ref="F85">IFERROR(INDEX('Measure List'!D:D,'Printable Report'!$A85),"")</f>
        <v/>
      </c>
      <c r="G85" s="280" t="str" cm="1">
        <f t="array" ref="G85">IFERROR(INDEX('Measure List'!E:E,'Printable Report'!$A85),"")</f>
        <v/>
      </c>
      <c r="H85" s="299" t="str" cm="1">
        <f t="array" ref="H85">IFERROR(INDEX('Measure List'!F:F,'Printable Report'!$A85),"")</f>
        <v/>
      </c>
      <c r="I85" s="282" t="str" cm="1">
        <f t="array" ref="I85">IFERROR(INDEX('Measure List'!G:G,'Printable Report'!$A85),"")</f>
        <v/>
      </c>
      <c r="J85" s="299" t="str" cm="1">
        <f t="array" ref="J85">IFERROR(INDEX('Measure List'!I:I,'Printable Report'!$A85),"")</f>
        <v/>
      </c>
      <c r="K85" s="299" t="str" cm="1">
        <f t="array" ref="K85">IFERROR(INDEX('Measure List'!J:J,'Printable Report'!$A85),"")</f>
        <v/>
      </c>
      <c r="L85" s="299" t="str" cm="1">
        <f t="array" ref="L85">IFERROR(INDEX('Measure List'!K:K,'Printable Report'!$A85),"")</f>
        <v/>
      </c>
      <c r="M85" s="256"/>
      <c r="O85" s="275"/>
    </row>
    <row r="86" spans="1:15" ht="39.6" customHeight="1" x14ac:dyDescent="0.25">
      <c r="A86" s="298" t="str" cm="1">
        <f t="array" ref="A86">IFERROR(SMALL(IF('Measure List'!G$2:G$171&lt;&gt;0,'Measure List'!A$2:A$171),ROW()-26),"")</f>
        <v/>
      </c>
      <c r="B86" s="276"/>
      <c r="C86" s="276"/>
      <c r="D86" s="277" t="str" cm="1">
        <f t="array" ref="D86">IFERROR(INDEX('Measure List'!B:B,'Printable Report'!$A86),"")</f>
        <v/>
      </c>
      <c r="E86" s="278" t="str" cm="1">
        <f t="array" ref="E86">IFERROR(INDEX('Measure List'!C:C,'Printable Report'!$A86),"")</f>
        <v/>
      </c>
      <c r="F86" s="279" t="str" cm="1">
        <f t="array" ref="F86">IFERROR(INDEX('Measure List'!D:D,'Printable Report'!$A86),"")</f>
        <v/>
      </c>
      <c r="G86" s="280" t="str" cm="1">
        <f t="array" ref="G86">IFERROR(INDEX('Measure List'!E:E,'Printable Report'!$A86),"")</f>
        <v/>
      </c>
      <c r="H86" s="299" t="str" cm="1">
        <f t="array" ref="H86">IFERROR(INDEX('Measure List'!F:F,'Printable Report'!$A86),"")</f>
        <v/>
      </c>
      <c r="I86" s="282" t="str" cm="1">
        <f t="array" ref="I86">IFERROR(INDEX('Measure List'!G:G,'Printable Report'!$A86),"")</f>
        <v/>
      </c>
      <c r="J86" s="299" t="str" cm="1">
        <f t="array" ref="J86">IFERROR(INDEX('Measure List'!I:I,'Printable Report'!$A86),"")</f>
        <v/>
      </c>
      <c r="K86" s="299" t="str" cm="1">
        <f t="array" ref="K86">IFERROR(INDEX('Measure List'!J:J,'Printable Report'!$A86),"")</f>
        <v/>
      </c>
      <c r="L86" s="299" t="str" cm="1">
        <f t="array" ref="L86">IFERROR(INDEX('Measure List'!K:K,'Printable Report'!$A86),"")</f>
        <v/>
      </c>
      <c r="M86" s="256"/>
      <c r="O86" s="275"/>
    </row>
    <row r="87" spans="1:15" ht="39.6" customHeight="1" x14ac:dyDescent="0.25">
      <c r="A87" s="298" t="str" cm="1">
        <f t="array" ref="A87">IFERROR(SMALL(IF('Measure List'!G$2:G$171&lt;&gt;0,'Measure List'!A$2:A$171),ROW()-26),"")</f>
        <v/>
      </c>
      <c r="B87" s="276"/>
      <c r="C87" s="276"/>
      <c r="D87" s="277" t="str" cm="1">
        <f t="array" ref="D87">IFERROR(INDEX('Measure List'!B:B,'Printable Report'!$A87),"")</f>
        <v/>
      </c>
      <c r="E87" s="278" t="str" cm="1">
        <f t="array" ref="E87">IFERROR(INDEX('Measure List'!C:C,'Printable Report'!$A87),"")</f>
        <v/>
      </c>
      <c r="F87" s="279" t="str" cm="1">
        <f t="array" ref="F87">IFERROR(INDEX('Measure List'!D:D,'Printable Report'!$A87),"")</f>
        <v/>
      </c>
      <c r="G87" s="280" t="str" cm="1">
        <f t="array" ref="G87">IFERROR(INDEX('Measure List'!E:E,'Printable Report'!$A87),"")</f>
        <v/>
      </c>
      <c r="H87" s="299" t="str" cm="1">
        <f t="array" ref="H87">IFERROR(INDEX('Measure List'!F:F,'Printable Report'!$A87),"")</f>
        <v/>
      </c>
      <c r="I87" s="282" t="str" cm="1">
        <f t="array" ref="I87">IFERROR(INDEX('Measure List'!G:G,'Printable Report'!$A87),"")</f>
        <v/>
      </c>
      <c r="J87" s="299" t="str" cm="1">
        <f t="array" ref="J87">IFERROR(INDEX('Measure List'!I:I,'Printable Report'!$A87),"")</f>
        <v/>
      </c>
      <c r="K87" s="299" t="str" cm="1">
        <f t="array" ref="K87">IFERROR(INDEX('Measure List'!J:J,'Printable Report'!$A87),"")</f>
        <v/>
      </c>
      <c r="L87" s="299" t="str" cm="1">
        <f t="array" ref="L87">IFERROR(INDEX('Measure List'!K:K,'Printable Report'!$A87),"")</f>
        <v/>
      </c>
      <c r="M87" s="256"/>
      <c r="O87" s="275"/>
    </row>
    <row r="88" spans="1:15" ht="39.6" customHeight="1" x14ac:dyDescent="0.25">
      <c r="A88" s="298" t="str" cm="1">
        <f t="array" ref="A88">IFERROR(SMALL(IF('Measure List'!G$2:G$171&lt;&gt;0,'Measure List'!A$2:A$171),ROW()-26),"")</f>
        <v/>
      </c>
      <c r="B88" s="276"/>
      <c r="C88" s="276"/>
      <c r="D88" s="277" t="str" cm="1">
        <f t="array" ref="D88">IFERROR(INDEX('Measure List'!B:B,'Printable Report'!$A88),"")</f>
        <v/>
      </c>
      <c r="E88" s="278" t="str" cm="1">
        <f t="array" ref="E88">IFERROR(INDEX('Measure List'!C:C,'Printable Report'!$A88),"")</f>
        <v/>
      </c>
      <c r="F88" s="279" t="str" cm="1">
        <f t="array" ref="F88">IFERROR(INDEX('Measure List'!D:D,'Printable Report'!$A88),"")</f>
        <v/>
      </c>
      <c r="G88" s="280" t="str" cm="1">
        <f t="array" ref="G88">IFERROR(INDEX('Measure List'!E:E,'Printable Report'!$A88),"")</f>
        <v/>
      </c>
      <c r="H88" s="299" t="str" cm="1">
        <f t="array" ref="H88">IFERROR(INDEX('Measure List'!F:F,'Printable Report'!$A88),"")</f>
        <v/>
      </c>
      <c r="I88" s="282" t="str" cm="1">
        <f t="array" ref="I88">IFERROR(INDEX('Measure List'!G:G,'Printable Report'!$A88),"")</f>
        <v/>
      </c>
      <c r="J88" s="299" t="str" cm="1">
        <f t="array" ref="J88">IFERROR(INDEX('Measure List'!I:I,'Printable Report'!$A88),"")</f>
        <v/>
      </c>
      <c r="K88" s="299" t="str" cm="1">
        <f t="array" ref="K88">IFERROR(INDEX('Measure List'!J:J,'Printable Report'!$A88),"")</f>
        <v/>
      </c>
      <c r="L88" s="299" t="str" cm="1">
        <f t="array" ref="L88">IFERROR(INDEX('Measure List'!K:K,'Printable Report'!$A88),"")</f>
        <v/>
      </c>
      <c r="M88" s="256"/>
      <c r="O88" s="275"/>
    </row>
    <row r="89" spans="1:15" ht="39.6" customHeight="1" x14ac:dyDescent="0.25">
      <c r="A89" s="298" t="str" cm="1">
        <f t="array" ref="A89">IFERROR(SMALL(IF('Measure List'!G$2:G$171&lt;&gt;0,'Measure List'!A$2:A$171),ROW()-26),"")</f>
        <v/>
      </c>
      <c r="B89" s="276"/>
      <c r="C89" s="276"/>
      <c r="D89" s="277" t="str" cm="1">
        <f t="array" ref="D89">IFERROR(INDEX('Measure List'!B:B,'Printable Report'!$A89),"")</f>
        <v/>
      </c>
      <c r="E89" s="278" t="str" cm="1">
        <f t="array" ref="E89">IFERROR(INDEX('Measure List'!C:C,'Printable Report'!$A89),"")</f>
        <v/>
      </c>
      <c r="F89" s="279" t="str" cm="1">
        <f t="array" ref="F89">IFERROR(INDEX('Measure List'!D:D,'Printable Report'!$A89),"")</f>
        <v/>
      </c>
      <c r="G89" s="280" t="str" cm="1">
        <f t="array" ref="G89">IFERROR(INDEX('Measure List'!E:E,'Printable Report'!$A89),"")</f>
        <v/>
      </c>
      <c r="H89" s="299" t="str" cm="1">
        <f t="array" ref="H89">IFERROR(INDEX('Measure List'!F:F,'Printable Report'!$A89),"")</f>
        <v/>
      </c>
      <c r="I89" s="282" t="str" cm="1">
        <f t="array" ref="I89">IFERROR(INDEX('Measure List'!G:G,'Printable Report'!$A89),"")</f>
        <v/>
      </c>
      <c r="J89" s="299" t="str" cm="1">
        <f t="array" ref="J89">IFERROR(INDEX('Measure List'!I:I,'Printable Report'!$A89),"")</f>
        <v/>
      </c>
      <c r="K89" s="299" t="str" cm="1">
        <f t="array" ref="K89">IFERROR(INDEX('Measure List'!J:J,'Printable Report'!$A89),"")</f>
        <v/>
      </c>
      <c r="L89" s="299" t="str" cm="1">
        <f t="array" ref="L89">IFERROR(INDEX('Measure List'!K:K,'Printable Report'!$A89),"")</f>
        <v/>
      </c>
      <c r="M89" s="256"/>
      <c r="O89" s="275"/>
    </row>
    <row r="90" spans="1:15" ht="39.6" customHeight="1" x14ac:dyDescent="0.25">
      <c r="A90" s="298" t="str" cm="1">
        <f t="array" ref="A90">IFERROR(SMALL(IF('Measure List'!G$2:G$171&lt;&gt;0,'Measure List'!A$2:A$171),ROW()-26),"")</f>
        <v/>
      </c>
      <c r="B90" s="276"/>
      <c r="C90" s="276"/>
      <c r="D90" s="277" t="str" cm="1">
        <f t="array" ref="D90">IFERROR(INDEX('Measure List'!B:B,'Printable Report'!$A90),"")</f>
        <v/>
      </c>
      <c r="E90" s="278" t="str" cm="1">
        <f t="array" ref="E90">IFERROR(INDEX('Measure List'!C:C,'Printable Report'!$A90),"")</f>
        <v/>
      </c>
      <c r="F90" s="279" t="str" cm="1">
        <f t="array" ref="F90">IFERROR(INDEX('Measure List'!D:D,'Printable Report'!$A90),"")</f>
        <v/>
      </c>
      <c r="G90" s="280" t="str" cm="1">
        <f t="array" ref="G90">IFERROR(INDEX('Measure List'!E:E,'Printable Report'!$A90),"")</f>
        <v/>
      </c>
      <c r="H90" s="299" t="str" cm="1">
        <f t="array" ref="H90">IFERROR(INDEX('Measure List'!F:F,'Printable Report'!$A90),"")</f>
        <v/>
      </c>
      <c r="I90" s="282" t="str" cm="1">
        <f t="array" ref="I90">IFERROR(INDEX('Measure List'!G:G,'Printable Report'!$A90),"")</f>
        <v/>
      </c>
      <c r="J90" s="299" t="str" cm="1">
        <f t="array" ref="J90">IFERROR(INDEX('Measure List'!I:I,'Printable Report'!$A90),"")</f>
        <v/>
      </c>
      <c r="K90" s="299" t="str" cm="1">
        <f t="array" ref="K90">IFERROR(INDEX('Measure List'!J:J,'Printable Report'!$A90),"")</f>
        <v/>
      </c>
      <c r="L90" s="299" t="str" cm="1">
        <f t="array" ref="L90">IFERROR(INDEX('Measure List'!K:K,'Printable Report'!$A90),"")</f>
        <v/>
      </c>
      <c r="M90" s="256"/>
      <c r="O90" s="275"/>
    </row>
    <row r="91" spans="1:15" ht="39.6" customHeight="1" x14ac:dyDescent="0.25">
      <c r="A91" s="298" t="str" cm="1">
        <f t="array" ref="A91">IFERROR(SMALL(IF('Measure List'!G$2:G$171&lt;&gt;0,'Measure List'!A$2:A$171),ROW()-26),"")</f>
        <v/>
      </c>
      <c r="B91" s="276"/>
      <c r="C91" s="276"/>
      <c r="D91" s="277" t="str" cm="1">
        <f t="array" ref="D91">IFERROR(INDEX('Measure List'!B:B,'Printable Report'!$A91),"")</f>
        <v/>
      </c>
      <c r="E91" s="278" t="str" cm="1">
        <f t="array" ref="E91">IFERROR(INDEX('Measure List'!C:C,'Printable Report'!$A91),"")</f>
        <v/>
      </c>
      <c r="F91" s="279" t="str" cm="1">
        <f t="array" ref="F91">IFERROR(INDEX('Measure List'!D:D,'Printable Report'!$A91),"")</f>
        <v/>
      </c>
      <c r="G91" s="280" t="str" cm="1">
        <f t="array" ref="G91">IFERROR(INDEX('Measure List'!E:E,'Printable Report'!$A91),"")</f>
        <v/>
      </c>
      <c r="H91" s="299" t="str" cm="1">
        <f t="array" ref="H91">IFERROR(INDEX('Measure List'!F:F,'Printable Report'!$A91),"")</f>
        <v/>
      </c>
      <c r="I91" s="282" t="str" cm="1">
        <f t="array" ref="I91">IFERROR(INDEX('Measure List'!G:G,'Printable Report'!$A91),"")</f>
        <v/>
      </c>
      <c r="J91" s="299" t="str" cm="1">
        <f t="array" ref="J91">IFERROR(INDEX('Measure List'!I:I,'Printable Report'!$A91),"")</f>
        <v/>
      </c>
      <c r="K91" s="299" t="str" cm="1">
        <f t="array" ref="K91">IFERROR(INDEX('Measure List'!J:J,'Printable Report'!$A91),"")</f>
        <v/>
      </c>
      <c r="L91" s="299" t="str" cm="1">
        <f t="array" ref="L91">IFERROR(INDEX('Measure List'!K:K,'Printable Report'!$A91),"")</f>
        <v/>
      </c>
      <c r="M91" s="256"/>
      <c r="O91" s="275"/>
    </row>
    <row r="92" spans="1:15" ht="39.6" customHeight="1" x14ac:dyDescent="0.25">
      <c r="A92" s="298" t="str" cm="1">
        <f t="array" ref="A92">IFERROR(SMALL(IF('Measure List'!G$2:G$171&lt;&gt;0,'Measure List'!A$2:A$171),ROW()-26),"")</f>
        <v/>
      </c>
      <c r="B92" s="276"/>
      <c r="C92" s="276"/>
      <c r="D92" s="277" t="str" cm="1">
        <f t="array" ref="D92">IFERROR(INDEX('Measure List'!B:B,'Printable Report'!$A92),"")</f>
        <v/>
      </c>
      <c r="E92" s="278" t="str" cm="1">
        <f t="array" ref="E92">IFERROR(INDEX('Measure List'!C:C,'Printable Report'!$A92),"")</f>
        <v/>
      </c>
      <c r="F92" s="279" t="str" cm="1">
        <f t="array" ref="F92">IFERROR(INDEX('Measure List'!D:D,'Printable Report'!$A92),"")</f>
        <v/>
      </c>
      <c r="G92" s="280" t="str" cm="1">
        <f t="array" ref="G92">IFERROR(INDEX('Measure List'!E:E,'Printable Report'!$A92),"")</f>
        <v/>
      </c>
      <c r="H92" s="299" t="str" cm="1">
        <f t="array" ref="H92">IFERROR(INDEX('Measure List'!F:F,'Printable Report'!$A92),"")</f>
        <v/>
      </c>
      <c r="I92" s="282" t="str" cm="1">
        <f t="array" ref="I92">IFERROR(INDEX('Measure List'!G:G,'Printable Report'!$A92),"")</f>
        <v/>
      </c>
      <c r="J92" s="299" t="str" cm="1">
        <f t="array" ref="J92">IFERROR(INDEX('Measure List'!I:I,'Printable Report'!$A92),"")</f>
        <v/>
      </c>
      <c r="K92" s="299" t="str" cm="1">
        <f t="array" ref="K92">IFERROR(INDEX('Measure List'!J:J,'Printable Report'!$A92),"")</f>
        <v/>
      </c>
      <c r="L92" s="299" t="str" cm="1">
        <f t="array" ref="L92">IFERROR(INDEX('Measure List'!K:K,'Printable Report'!$A92),"")</f>
        <v/>
      </c>
      <c r="M92" s="256"/>
      <c r="O92" s="275"/>
    </row>
    <row r="93" spans="1:15" ht="39.6" customHeight="1" x14ac:dyDescent="0.25">
      <c r="A93" s="298" t="str" cm="1">
        <f t="array" ref="A93">IFERROR(SMALL(IF('Measure List'!G$2:G$171&lt;&gt;0,'Measure List'!A$2:A$171),ROW()-26),"")</f>
        <v/>
      </c>
      <c r="B93" s="276"/>
      <c r="C93" s="276"/>
      <c r="D93" s="277" t="str" cm="1">
        <f t="array" ref="D93">IFERROR(INDEX('Measure List'!B:B,'Printable Report'!$A93),"")</f>
        <v/>
      </c>
      <c r="E93" s="278" t="str" cm="1">
        <f t="array" ref="E93">IFERROR(INDEX('Measure List'!C:C,'Printable Report'!$A93),"")</f>
        <v/>
      </c>
      <c r="F93" s="279" t="str" cm="1">
        <f t="array" ref="F93">IFERROR(INDEX('Measure List'!D:D,'Printable Report'!$A93),"")</f>
        <v/>
      </c>
      <c r="G93" s="280" t="str" cm="1">
        <f t="array" ref="G93">IFERROR(INDEX('Measure List'!E:E,'Printable Report'!$A93),"")</f>
        <v/>
      </c>
      <c r="H93" s="299" t="str" cm="1">
        <f t="array" ref="H93">IFERROR(INDEX('Measure List'!F:F,'Printable Report'!$A93),"")</f>
        <v/>
      </c>
      <c r="I93" s="282" t="str" cm="1">
        <f t="array" ref="I93">IFERROR(INDEX('Measure List'!G:G,'Printable Report'!$A93),"")</f>
        <v/>
      </c>
      <c r="J93" s="299" t="str" cm="1">
        <f t="array" ref="J93">IFERROR(INDEX('Measure List'!I:I,'Printable Report'!$A93),"")</f>
        <v/>
      </c>
      <c r="K93" s="299" t="str" cm="1">
        <f t="array" ref="K93">IFERROR(INDEX('Measure List'!J:J,'Printable Report'!$A93),"")</f>
        <v/>
      </c>
      <c r="L93" s="299" t="str" cm="1">
        <f t="array" ref="L93">IFERROR(INDEX('Measure List'!K:K,'Printable Report'!$A93),"")</f>
        <v/>
      </c>
      <c r="M93" s="256"/>
      <c r="O93" s="275"/>
    </row>
    <row r="94" spans="1:15" ht="39.6" customHeight="1" x14ac:dyDescent="0.25">
      <c r="A94" s="298" t="str" cm="1">
        <f t="array" ref="A94">IFERROR(SMALL(IF('Measure List'!G$2:G$171&lt;&gt;0,'Measure List'!A$2:A$171),ROW()-26),"")</f>
        <v/>
      </c>
      <c r="B94" s="276"/>
      <c r="C94" s="276"/>
      <c r="D94" s="277" t="str" cm="1">
        <f t="array" ref="D94">IFERROR(INDEX('Measure List'!B:B,'Printable Report'!$A94),"")</f>
        <v/>
      </c>
      <c r="E94" s="278" t="str" cm="1">
        <f t="array" ref="E94">IFERROR(INDEX('Measure List'!C:C,'Printable Report'!$A94),"")</f>
        <v/>
      </c>
      <c r="F94" s="279" t="str" cm="1">
        <f t="array" ref="F94">IFERROR(INDEX('Measure List'!D:D,'Printable Report'!$A94),"")</f>
        <v/>
      </c>
      <c r="G94" s="280" t="str" cm="1">
        <f t="array" ref="G94">IFERROR(INDEX('Measure List'!E:E,'Printable Report'!$A94),"")</f>
        <v/>
      </c>
      <c r="H94" s="299" t="str" cm="1">
        <f t="array" ref="H94">IFERROR(INDEX('Measure List'!F:F,'Printable Report'!$A94),"")</f>
        <v/>
      </c>
      <c r="I94" s="282" t="str" cm="1">
        <f t="array" ref="I94">IFERROR(INDEX('Measure List'!G:G,'Printable Report'!$A94),"")</f>
        <v/>
      </c>
      <c r="J94" s="299" t="str" cm="1">
        <f t="array" ref="J94">IFERROR(INDEX('Measure List'!I:I,'Printable Report'!$A94),"")</f>
        <v/>
      </c>
      <c r="K94" s="299" t="str" cm="1">
        <f t="array" ref="K94">IFERROR(INDEX('Measure List'!J:J,'Printable Report'!$A94),"")</f>
        <v/>
      </c>
      <c r="L94" s="299" t="str" cm="1">
        <f t="array" ref="L94">IFERROR(INDEX('Measure List'!K:K,'Printable Report'!$A94),"")</f>
        <v/>
      </c>
      <c r="M94" s="256"/>
      <c r="O94" s="275"/>
    </row>
    <row r="95" spans="1:15" ht="39.6" customHeight="1" x14ac:dyDescent="0.25">
      <c r="A95" s="298" t="str" cm="1">
        <f t="array" ref="A95">IFERROR(SMALL(IF('Measure List'!G$2:G$171&lt;&gt;0,'Measure List'!A$2:A$171),ROW()-26),"")</f>
        <v/>
      </c>
      <c r="B95" s="276"/>
      <c r="C95" s="276"/>
      <c r="D95" s="277" t="str" cm="1">
        <f t="array" ref="D95">IFERROR(INDEX('Measure List'!B:B,'Printable Report'!$A95),"")</f>
        <v/>
      </c>
      <c r="E95" s="278" t="str" cm="1">
        <f t="array" ref="E95">IFERROR(INDEX('Measure List'!C:C,'Printable Report'!$A95),"")</f>
        <v/>
      </c>
      <c r="F95" s="279" t="str" cm="1">
        <f t="array" ref="F95">IFERROR(INDEX('Measure List'!D:D,'Printable Report'!$A95),"")</f>
        <v/>
      </c>
      <c r="G95" s="280" t="str" cm="1">
        <f t="array" ref="G95">IFERROR(INDEX('Measure List'!E:E,'Printable Report'!$A95),"")</f>
        <v/>
      </c>
      <c r="H95" s="299" t="str" cm="1">
        <f t="array" ref="H95">IFERROR(INDEX('Measure List'!F:F,'Printable Report'!$A95),"")</f>
        <v/>
      </c>
      <c r="I95" s="282" t="str" cm="1">
        <f t="array" ref="I95">IFERROR(INDEX('Measure List'!G:G,'Printable Report'!$A95),"")</f>
        <v/>
      </c>
      <c r="J95" s="299" t="str" cm="1">
        <f t="array" ref="J95">IFERROR(INDEX('Measure List'!I:I,'Printable Report'!$A95),"")</f>
        <v/>
      </c>
      <c r="K95" s="299" t="str" cm="1">
        <f t="array" ref="K95">IFERROR(INDEX('Measure List'!J:J,'Printable Report'!$A95),"")</f>
        <v/>
      </c>
      <c r="L95" s="299" t="str" cm="1">
        <f t="array" ref="L95">IFERROR(INDEX('Measure List'!K:K,'Printable Report'!$A95),"")</f>
        <v/>
      </c>
      <c r="M95" s="256"/>
      <c r="O95" s="275"/>
    </row>
    <row r="96" spans="1:15" ht="39.6" customHeight="1" x14ac:dyDescent="0.25">
      <c r="A96" s="298" t="str" cm="1">
        <f t="array" ref="A96">IFERROR(SMALL(IF('Measure List'!G$2:G$171&lt;&gt;0,'Measure List'!A$2:A$171),ROW()-26),"")</f>
        <v/>
      </c>
      <c r="B96" s="276"/>
      <c r="C96" s="276"/>
      <c r="D96" s="277" t="str" cm="1">
        <f t="array" ref="D96">IFERROR(INDEX('Measure List'!B:B,'Printable Report'!$A96),"")</f>
        <v/>
      </c>
      <c r="E96" s="278" t="str" cm="1">
        <f t="array" ref="E96">IFERROR(INDEX('Measure List'!C:C,'Printable Report'!$A96),"")</f>
        <v/>
      </c>
      <c r="F96" s="279" t="str" cm="1">
        <f t="array" ref="F96">IFERROR(INDEX('Measure List'!D:D,'Printable Report'!$A96),"")</f>
        <v/>
      </c>
      <c r="G96" s="280" t="str" cm="1">
        <f t="array" ref="G96">IFERROR(INDEX('Measure List'!E:E,'Printable Report'!$A96),"")</f>
        <v/>
      </c>
      <c r="H96" s="299" t="str" cm="1">
        <f t="array" ref="H96">IFERROR(INDEX('Measure List'!F:F,'Printable Report'!$A96),"")</f>
        <v/>
      </c>
      <c r="I96" s="282" t="str" cm="1">
        <f t="array" ref="I96">IFERROR(INDEX('Measure List'!G:G,'Printable Report'!$A96),"")</f>
        <v/>
      </c>
      <c r="J96" s="299" t="str" cm="1">
        <f t="array" ref="J96">IFERROR(INDEX('Measure List'!I:I,'Printable Report'!$A96),"")</f>
        <v/>
      </c>
      <c r="K96" s="299" t="str" cm="1">
        <f t="array" ref="K96">IFERROR(INDEX('Measure List'!J:J,'Printable Report'!$A96),"")</f>
        <v/>
      </c>
      <c r="L96" s="299" t="str" cm="1">
        <f t="array" ref="L96">IFERROR(INDEX('Measure List'!K:K,'Printable Report'!$A96),"")</f>
        <v/>
      </c>
      <c r="M96" s="256"/>
      <c r="O96" s="275"/>
    </row>
    <row r="97" spans="1:15" ht="39.6" customHeight="1" x14ac:dyDescent="0.25">
      <c r="A97" s="298" t="str" cm="1">
        <f t="array" ref="A97">IFERROR(SMALL(IF('Measure List'!G$2:G$171&lt;&gt;0,'Measure List'!A$2:A$171),ROW()-26),"")</f>
        <v/>
      </c>
      <c r="B97" s="276"/>
      <c r="C97" s="276"/>
      <c r="D97" s="277" t="str" cm="1">
        <f t="array" ref="D97">IFERROR(INDEX('Measure List'!B:B,'Printable Report'!$A97),"")</f>
        <v/>
      </c>
      <c r="E97" s="278" t="str" cm="1">
        <f t="array" ref="E97">IFERROR(INDEX('Measure List'!C:C,'Printable Report'!$A97),"")</f>
        <v/>
      </c>
      <c r="F97" s="279" t="str" cm="1">
        <f t="array" ref="F97">IFERROR(INDEX('Measure List'!D:D,'Printable Report'!$A97),"")</f>
        <v/>
      </c>
      <c r="G97" s="280" t="str" cm="1">
        <f t="array" ref="G97">IFERROR(INDEX('Measure List'!E:E,'Printable Report'!$A97),"")</f>
        <v/>
      </c>
      <c r="H97" s="299" t="str" cm="1">
        <f t="array" ref="H97">IFERROR(INDEX('Measure List'!F:F,'Printable Report'!$A97),"")</f>
        <v/>
      </c>
      <c r="I97" s="282" t="str" cm="1">
        <f t="array" ref="I97">IFERROR(INDEX('Measure List'!G:G,'Printable Report'!$A97),"")</f>
        <v/>
      </c>
      <c r="J97" s="299" t="str" cm="1">
        <f t="array" ref="J97">IFERROR(INDEX('Measure List'!I:I,'Printable Report'!$A97),"")</f>
        <v/>
      </c>
      <c r="K97" s="299" t="str" cm="1">
        <f t="array" ref="K97">IFERROR(INDEX('Measure List'!J:J,'Printable Report'!$A97),"")</f>
        <v/>
      </c>
      <c r="L97" s="299" t="str" cm="1">
        <f t="array" ref="L97">IFERROR(INDEX('Measure List'!K:K,'Printable Report'!$A97),"")</f>
        <v/>
      </c>
      <c r="M97" s="256"/>
      <c r="O97" s="275"/>
    </row>
    <row r="98" spans="1:15" ht="39.6" customHeight="1" x14ac:dyDescent="0.25">
      <c r="A98" s="298" t="str" cm="1">
        <f t="array" ref="A98">IFERROR(SMALL(IF('Measure List'!G$2:G$171&lt;&gt;0,'Measure List'!A$2:A$171),ROW()-26),"")</f>
        <v/>
      </c>
      <c r="B98" s="276"/>
      <c r="C98" s="276"/>
      <c r="D98" s="277" t="str" cm="1">
        <f t="array" ref="D98">IFERROR(INDEX('Measure List'!B:B,'Printable Report'!$A98),"")</f>
        <v/>
      </c>
      <c r="E98" s="278" t="str" cm="1">
        <f t="array" ref="E98">IFERROR(INDEX('Measure List'!C:C,'Printable Report'!$A98),"")</f>
        <v/>
      </c>
      <c r="F98" s="279" t="str" cm="1">
        <f t="array" ref="F98">IFERROR(INDEX('Measure List'!D:D,'Printable Report'!$A98),"")</f>
        <v/>
      </c>
      <c r="G98" s="280" t="str" cm="1">
        <f t="array" ref="G98">IFERROR(INDEX('Measure List'!E:E,'Printable Report'!$A98),"")</f>
        <v/>
      </c>
      <c r="H98" s="299" t="str" cm="1">
        <f t="array" ref="H98">IFERROR(INDEX('Measure List'!F:F,'Printable Report'!$A98),"")</f>
        <v/>
      </c>
      <c r="I98" s="282" t="str" cm="1">
        <f t="array" ref="I98">IFERROR(INDEX('Measure List'!G:G,'Printable Report'!$A98),"")</f>
        <v/>
      </c>
      <c r="J98" s="299" t="str" cm="1">
        <f t="array" ref="J98">IFERROR(INDEX('Measure List'!I:I,'Printable Report'!$A98),"")</f>
        <v/>
      </c>
      <c r="K98" s="299" t="str" cm="1">
        <f t="array" ref="K98">IFERROR(INDEX('Measure List'!J:J,'Printable Report'!$A98),"")</f>
        <v/>
      </c>
      <c r="L98" s="299" t="str" cm="1">
        <f t="array" ref="L98">IFERROR(INDEX('Measure List'!K:K,'Printable Report'!$A98),"")</f>
        <v/>
      </c>
      <c r="M98" s="256"/>
      <c r="O98" s="275"/>
    </row>
    <row r="99" spans="1:15" ht="39.6" customHeight="1" x14ac:dyDescent="0.25">
      <c r="A99" s="298" t="str" cm="1">
        <f t="array" ref="A99">IFERROR(SMALL(IF('Measure List'!G$2:G$171&lt;&gt;0,'Measure List'!A$2:A$171),ROW()-26),"")</f>
        <v/>
      </c>
      <c r="B99" s="276"/>
      <c r="C99" s="276"/>
      <c r="D99" s="277" t="str" cm="1">
        <f t="array" ref="D99">IFERROR(INDEX('Measure List'!B:B,'Printable Report'!$A99),"")</f>
        <v/>
      </c>
      <c r="E99" s="278" t="str" cm="1">
        <f t="array" ref="E99">IFERROR(INDEX('Measure List'!C:C,'Printable Report'!$A99),"")</f>
        <v/>
      </c>
      <c r="F99" s="279" t="str" cm="1">
        <f t="array" ref="F99">IFERROR(INDEX('Measure List'!D:D,'Printable Report'!$A99),"")</f>
        <v/>
      </c>
      <c r="G99" s="280" t="str" cm="1">
        <f t="array" ref="G99">IFERROR(INDEX('Measure List'!E:E,'Printable Report'!$A99),"")</f>
        <v/>
      </c>
      <c r="H99" s="299" t="str" cm="1">
        <f t="array" ref="H99">IFERROR(INDEX('Measure List'!F:F,'Printable Report'!$A99),"")</f>
        <v/>
      </c>
      <c r="I99" s="282" t="str" cm="1">
        <f t="array" ref="I99">IFERROR(INDEX('Measure List'!G:G,'Printable Report'!$A99),"")</f>
        <v/>
      </c>
      <c r="J99" s="299" t="str" cm="1">
        <f t="array" ref="J99">IFERROR(INDEX('Measure List'!I:I,'Printable Report'!$A99),"")</f>
        <v/>
      </c>
      <c r="K99" s="299" t="str" cm="1">
        <f t="array" ref="K99">IFERROR(INDEX('Measure List'!J:J,'Printable Report'!$A99),"")</f>
        <v/>
      </c>
      <c r="L99" s="299" t="str" cm="1">
        <f t="array" ref="L99">IFERROR(INDEX('Measure List'!K:K,'Printable Report'!$A99),"")</f>
        <v/>
      </c>
      <c r="M99" s="256"/>
      <c r="O99" s="275"/>
    </row>
    <row r="100" spans="1:15" ht="39.6" customHeight="1" x14ac:dyDescent="0.25">
      <c r="A100" s="298" t="str" cm="1">
        <f t="array" ref="A100">IFERROR(SMALL(IF('Measure List'!G$2:G$171&lt;&gt;0,'Measure List'!A$2:A$171),ROW()-26),"")</f>
        <v/>
      </c>
      <c r="B100" s="276"/>
      <c r="C100" s="276"/>
      <c r="D100" s="277" t="str" cm="1">
        <f t="array" ref="D100">IFERROR(INDEX('Measure List'!B:B,'Printable Report'!$A100),"")</f>
        <v/>
      </c>
      <c r="E100" s="278" t="str" cm="1">
        <f t="array" ref="E100">IFERROR(INDEX('Measure List'!C:C,'Printable Report'!$A100),"")</f>
        <v/>
      </c>
      <c r="F100" s="279" t="str" cm="1">
        <f t="array" ref="F100">IFERROR(INDEX('Measure List'!D:D,'Printable Report'!$A100),"")</f>
        <v/>
      </c>
      <c r="G100" s="280" t="str" cm="1">
        <f t="array" ref="G100">IFERROR(INDEX('Measure List'!E:E,'Printable Report'!$A100),"")</f>
        <v/>
      </c>
      <c r="H100" s="299" t="str" cm="1">
        <f t="array" ref="H100">IFERROR(INDEX('Measure List'!F:F,'Printable Report'!$A100),"")</f>
        <v/>
      </c>
      <c r="I100" s="282" t="str" cm="1">
        <f t="array" ref="I100">IFERROR(INDEX('Measure List'!G:G,'Printable Report'!$A100),"")</f>
        <v/>
      </c>
      <c r="J100" s="299" t="str" cm="1">
        <f t="array" ref="J100">IFERROR(INDEX('Measure List'!I:I,'Printable Report'!$A100),"")</f>
        <v/>
      </c>
      <c r="K100" s="299" t="str" cm="1">
        <f t="array" ref="K100">IFERROR(INDEX('Measure List'!J:J,'Printable Report'!$A100),"")</f>
        <v/>
      </c>
      <c r="L100" s="299" t="str" cm="1">
        <f t="array" ref="L100">IFERROR(INDEX('Measure List'!K:K,'Printable Report'!$A100),"")</f>
        <v/>
      </c>
      <c r="M100" s="256"/>
      <c r="O100" s="275"/>
    </row>
    <row r="101" spans="1:15" ht="39.6" customHeight="1" x14ac:dyDescent="0.25">
      <c r="A101" s="298" t="str" cm="1">
        <f t="array" ref="A101">IFERROR(SMALL(IF('Measure List'!G$2:G$171&lt;&gt;0,'Measure List'!A$2:A$171),ROW()-26),"")</f>
        <v/>
      </c>
      <c r="B101" s="276"/>
      <c r="C101" s="276"/>
      <c r="D101" s="277" t="str" cm="1">
        <f t="array" ref="D101">IFERROR(INDEX('Measure List'!B:B,'Printable Report'!$A101),"")</f>
        <v/>
      </c>
      <c r="E101" s="278" t="str" cm="1">
        <f t="array" ref="E101">IFERROR(INDEX('Measure List'!C:C,'Printable Report'!$A101),"")</f>
        <v/>
      </c>
      <c r="F101" s="279" t="str" cm="1">
        <f t="array" ref="F101">IFERROR(INDEX('Measure List'!D:D,'Printable Report'!$A101),"")</f>
        <v/>
      </c>
      <c r="G101" s="280" t="str" cm="1">
        <f t="array" ref="G101">IFERROR(INDEX('Measure List'!E:E,'Printable Report'!$A101),"")</f>
        <v/>
      </c>
      <c r="H101" s="299" t="str" cm="1">
        <f t="array" ref="H101">IFERROR(INDEX('Measure List'!F:F,'Printable Report'!$A101),"")</f>
        <v/>
      </c>
      <c r="I101" s="282" t="str" cm="1">
        <f t="array" ref="I101">IFERROR(INDEX('Measure List'!G:G,'Printable Report'!$A101),"")</f>
        <v/>
      </c>
      <c r="J101" s="299" t="str" cm="1">
        <f t="array" ref="J101">IFERROR(INDEX('Measure List'!I:I,'Printable Report'!$A101),"")</f>
        <v/>
      </c>
      <c r="K101" s="299" t="str" cm="1">
        <f t="array" ref="K101">IFERROR(INDEX('Measure List'!J:J,'Printable Report'!$A101),"")</f>
        <v/>
      </c>
      <c r="L101" s="299" t="str" cm="1">
        <f t="array" ref="L101">IFERROR(INDEX('Measure List'!K:K,'Printable Report'!$A101),"")</f>
        <v/>
      </c>
      <c r="M101" s="256"/>
      <c r="O101" s="275"/>
    </row>
    <row r="102" spans="1:15" ht="39.6" customHeight="1" x14ac:dyDescent="0.25">
      <c r="A102" s="298" t="str" cm="1">
        <f t="array" ref="A102">IFERROR(SMALL(IF('Measure List'!G$2:G$171&lt;&gt;0,'Measure List'!A$2:A$171),ROW()-26),"")</f>
        <v/>
      </c>
      <c r="B102" s="276"/>
      <c r="C102" s="276"/>
      <c r="D102" s="277" t="str" cm="1">
        <f t="array" ref="D102">IFERROR(INDEX('Measure List'!B:B,'Printable Report'!$A102),"")</f>
        <v/>
      </c>
      <c r="E102" s="278" t="str" cm="1">
        <f t="array" ref="E102">IFERROR(INDEX('Measure List'!C:C,'Printable Report'!$A102),"")</f>
        <v/>
      </c>
      <c r="F102" s="279" t="str" cm="1">
        <f t="array" ref="F102">IFERROR(INDEX('Measure List'!D:D,'Printable Report'!$A102),"")</f>
        <v/>
      </c>
      <c r="G102" s="280" t="str" cm="1">
        <f t="array" ref="G102">IFERROR(INDEX('Measure List'!E:E,'Printable Report'!$A102),"")</f>
        <v/>
      </c>
      <c r="H102" s="299" t="str" cm="1">
        <f t="array" ref="H102">IFERROR(INDEX('Measure List'!F:F,'Printable Report'!$A102),"")</f>
        <v/>
      </c>
      <c r="I102" s="282" t="str" cm="1">
        <f t="array" ref="I102">IFERROR(INDEX('Measure List'!G:G,'Printable Report'!$A102),"")</f>
        <v/>
      </c>
      <c r="J102" s="299" t="str" cm="1">
        <f t="array" ref="J102">IFERROR(INDEX('Measure List'!I:I,'Printable Report'!$A102),"")</f>
        <v/>
      </c>
      <c r="K102" s="299" t="str" cm="1">
        <f t="array" ref="K102">IFERROR(INDEX('Measure List'!J:J,'Printable Report'!$A102),"")</f>
        <v/>
      </c>
      <c r="L102" s="299" t="str" cm="1">
        <f t="array" ref="L102">IFERROR(INDEX('Measure List'!K:K,'Printable Report'!$A102),"")</f>
        <v/>
      </c>
      <c r="M102" s="256"/>
      <c r="O102" s="275"/>
    </row>
    <row r="103" spans="1:15" ht="39.6" customHeight="1" x14ac:dyDescent="0.25">
      <c r="A103" s="298" t="str" cm="1">
        <f t="array" ref="A103">IFERROR(SMALL(IF('Measure List'!G$2:G$171&lt;&gt;0,'Measure List'!A$2:A$171),ROW()-26),"")</f>
        <v/>
      </c>
      <c r="B103" s="276"/>
      <c r="C103" s="276"/>
      <c r="D103" s="277" t="str" cm="1">
        <f t="array" ref="D103">IFERROR(INDEX('Measure List'!B:B,'Printable Report'!$A103),"")</f>
        <v/>
      </c>
      <c r="E103" s="278" t="str" cm="1">
        <f t="array" ref="E103">IFERROR(INDEX('Measure List'!C:C,'Printable Report'!$A103),"")</f>
        <v/>
      </c>
      <c r="F103" s="279" t="str" cm="1">
        <f t="array" ref="F103">IFERROR(INDEX('Measure List'!D:D,'Printable Report'!$A103),"")</f>
        <v/>
      </c>
      <c r="G103" s="280" t="str" cm="1">
        <f t="array" ref="G103">IFERROR(INDEX('Measure List'!E:E,'Printable Report'!$A103),"")</f>
        <v/>
      </c>
      <c r="H103" s="299" t="str" cm="1">
        <f t="array" ref="H103">IFERROR(INDEX('Measure List'!F:F,'Printable Report'!$A103),"")</f>
        <v/>
      </c>
      <c r="I103" s="282" t="str" cm="1">
        <f t="array" ref="I103">IFERROR(INDEX('Measure List'!G:G,'Printable Report'!$A103),"")</f>
        <v/>
      </c>
      <c r="J103" s="299" t="str" cm="1">
        <f t="array" ref="J103">IFERROR(INDEX('Measure List'!I:I,'Printable Report'!$A103),"")</f>
        <v/>
      </c>
      <c r="K103" s="299" t="str" cm="1">
        <f t="array" ref="K103">IFERROR(INDEX('Measure List'!J:J,'Printable Report'!$A103),"")</f>
        <v/>
      </c>
      <c r="L103" s="299" t="str" cm="1">
        <f t="array" ref="L103">IFERROR(INDEX('Measure List'!K:K,'Printable Report'!$A103),"")</f>
        <v/>
      </c>
      <c r="M103" s="256"/>
      <c r="O103" s="275"/>
    </row>
    <row r="104" spans="1:15" ht="39.6" customHeight="1" x14ac:dyDescent="0.25">
      <c r="A104" s="298" t="str" cm="1">
        <f t="array" ref="A104">IFERROR(SMALL(IF('Measure List'!G$2:G$171&lt;&gt;0,'Measure List'!A$2:A$171),ROW()-26),"")</f>
        <v/>
      </c>
      <c r="B104" s="276"/>
      <c r="C104" s="276"/>
      <c r="D104" s="277" t="str" cm="1">
        <f t="array" ref="D104">IFERROR(INDEX('Measure List'!B:B,'Printable Report'!$A104),"")</f>
        <v/>
      </c>
      <c r="E104" s="278" t="str" cm="1">
        <f t="array" ref="E104">IFERROR(INDEX('Measure List'!C:C,'Printable Report'!$A104),"")</f>
        <v/>
      </c>
      <c r="F104" s="279" t="str" cm="1">
        <f t="array" ref="F104">IFERROR(INDEX('Measure List'!D:D,'Printable Report'!$A104),"")</f>
        <v/>
      </c>
      <c r="G104" s="280" t="str" cm="1">
        <f t="array" ref="G104">IFERROR(INDEX('Measure List'!E:E,'Printable Report'!$A104),"")</f>
        <v/>
      </c>
      <c r="H104" s="299" t="str" cm="1">
        <f t="array" ref="H104">IFERROR(INDEX('Measure List'!F:F,'Printable Report'!$A104),"")</f>
        <v/>
      </c>
      <c r="I104" s="282" t="str" cm="1">
        <f t="array" ref="I104">IFERROR(INDEX('Measure List'!G:G,'Printable Report'!$A104),"")</f>
        <v/>
      </c>
      <c r="J104" s="299" t="str" cm="1">
        <f t="array" ref="J104">IFERROR(INDEX('Measure List'!I:I,'Printable Report'!$A104),"")</f>
        <v/>
      </c>
      <c r="K104" s="299" t="str" cm="1">
        <f t="array" ref="K104">IFERROR(INDEX('Measure List'!J:J,'Printable Report'!$A104),"")</f>
        <v/>
      </c>
      <c r="L104" s="299" t="str" cm="1">
        <f t="array" ref="L104">IFERROR(INDEX('Measure List'!K:K,'Printable Report'!$A104),"")</f>
        <v/>
      </c>
      <c r="M104" s="256"/>
      <c r="O104" s="275"/>
    </row>
    <row r="105" spans="1:15" ht="39.6" customHeight="1" x14ac:dyDescent="0.25">
      <c r="A105" s="298" t="str" cm="1">
        <f t="array" ref="A105">IFERROR(SMALL(IF('Measure List'!G$2:G$171&lt;&gt;0,'Measure List'!A$2:A$171),ROW()-26),"")</f>
        <v/>
      </c>
      <c r="B105" s="276"/>
      <c r="C105" s="276"/>
      <c r="D105" s="277" t="str" cm="1">
        <f t="array" ref="D105">IFERROR(INDEX('Measure List'!B:B,'Printable Report'!$A105),"")</f>
        <v/>
      </c>
      <c r="E105" s="278" t="str" cm="1">
        <f t="array" ref="E105">IFERROR(INDEX('Measure List'!C:C,'Printable Report'!$A105),"")</f>
        <v/>
      </c>
      <c r="F105" s="279" t="str" cm="1">
        <f t="array" ref="F105">IFERROR(INDEX('Measure List'!D:D,'Printable Report'!$A105),"")</f>
        <v/>
      </c>
      <c r="G105" s="280" t="str" cm="1">
        <f t="array" ref="G105">IFERROR(INDEX('Measure List'!E:E,'Printable Report'!$A105),"")</f>
        <v/>
      </c>
      <c r="H105" s="299" t="str" cm="1">
        <f t="array" ref="H105">IFERROR(INDEX('Measure List'!F:F,'Printable Report'!$A105),"")</f>
        <v/>
      </c>
      <c r="I105" s="282" t="str" cm="1">
        <f t="array" ref="I105">IFERROR(INDEX('Measure List'!G:G,'Printable Report'!$A105),"")</f>
        <v/>
      </c>
      <c r="J105" s="299" t="str" cm="1">
        <f t="array" ref="J105">IFERROR(INDEX('Measure List'!I:I,'Printable Report'!$A105),"")</f>
        <v/>
      </c>
      <c r="K105" s="299" t="str" cm="1">
        <f t="array" ref="K105">IFERROR(INDEX('Measure List'!J:J,'Printable Report'!$A105),"")</f>
        <v/>
      </c>
      <c r="L105" s="299" t="str" cm="1">
        <f t="array" ref="L105">IFERROR(INDEX('Measure List'!K:K,'Printable Report'!$A105),"")</f>
        <v/>
      </c>
      <c r="M105" s="256"/>
      <c r="O105" s="275"/>
    </row>
    <row r="106" spans="1:15" ht="39.6" customHeight="1" x14ac:dyDescent="0.25">
      <c r="A106" s="298" t="str" cm="1">
        <f t="array" ref="A106">IFERROR(SMALL(IF('Measure List'!G$2:G$171&lt;&gt;0,'Measure List'!A$2:A$171),ROW()-26),"")</f>
        <v/>
      </c>
      <c r="B106" s="276"/>
      <c r="C106" s="276"/>
      <c r="D106" s="277" t="str" cm="1">
        <f t="array" ref="D106">IFERROR(INDEX('Measure List'!B:B,'Printable Report'!$A106),"")</f>
        <v/>
      </c>
      <c r="E106" s="278" t="str" cm="1">
        <f t="array" ref="E106">IFERROR(INDEX('Measure List'!C:C,'Printable Report'!$A106),"")</f>
        <v/>
      </c>
      <c r="F106" s="279" t="str" cm="1">
        <f t="array" ref="F106">IFERROR(INDEX('Measure List'!D:D,'Printable Report'!$A106),"")</f>
        <v/>
      </c>
      <c r="G106" s="280" t="str" cm="1">
        <f t="array" ref="G106">IFERROR(INDEX('Measure List'!E:E,'Printable Report'!$A106),"")</f>
        <v/>
      </c>
      <c r="H106" s="299" t="str" cm="1">
        <f t="array" ref="H106">IFERROR(INDEX('Measure List'!F:F,'Printable Report'!$A106),"")</f>
        <v/>
      </c>
      <c r="I106" s="282" t="str" cm="1">
        <f t="array" ref="I106">IFERROR(INDEX('Measure List'!G:G,'Printable Report'!$A106),"")</f>
        <v/>
      </c>
      <c r="J106" s="299" t="str" cm="1">
        <f t="array" ref="J106">IFERROR(INDEX('Measure List'!I:I,'Printable Report'!$A106),"")</f>
        <v/>
      </c>
      <c r="K106" s="299" t="str" cm="1">
        <f t="array" ref="K106">IFERROR(INDEX('Measure List'!J:J,'Printable Report'!$A106),"")</f>
        <v/>
      </c>
      <c r="L106" s="299" t="str" cm="1">
        <f t="array" ref="L106">IFERROR(INDEX('Measure List'!K:K,'Printable Report'!$A106),"")</f>
        <v/>
      </c>
      <c r="M106" s="256"/>
      <c r="O106" s="275"/>
    </row>
    <row r="107" spans="1:15" ht="39.6" customHeight="1" x14ac:dyDescent="0.25">
      <c r="A107" s="298" t="str" cm="1">
        <f t="array" ref="A107">IFERROR(SMALL(IF('Measure List'!G$2:G$171&lt;&gt;0,'Measure List'!A$2:A$171),ROW()-26),"")</f>
        <v/>
      </c>
      <c r="B107" s="276"/>
      <c r="C107" s="276"/>
      <c r="D107" s="277" t="str" cm="1">
        <f t="array" ref="D107">IFERROR(INDEX('Measure List'!B:B,'Printable Report'!$A107),"")</f>
        <v/>
      </c>
      <c r="E107" s="278" t="str" cm="1">
        <f t="array" ref="E107">IFERROR(INDEX('Measure List'!C:C,'Printable Report'!$A107),"")</f>
        <v/>
      </c>
      <c r="F107" s="279" t="str" cm="1">
        <f t="array" ref="F107">IFERROR(INDEX('Measure List'!D:D,'Printable Report'!$A107),"")</f>
        <v/>
      </c>
      <c r="G107" s="280" t="str" cm="1">
        <f t="array" ref="G107">IFERROR(INDEX('Measure List'!E:E,'Printable Report'!$A107),"")</f>
        <v/>
      </c>
      <c r="H107" s="299" t="str" cm="1">
        <f t="array" ref="H107">IFERROR(INDEX('Measure List'!F:F,'Printable Report'!$A107),"")</f>
        <v/>
      </c>
      <c r="I107" s="282" t="str" cm="1">
        <f t="array" ref="I107">IFERROR(INDEX('Measure List'!G:G,'Printable Report'!$A107),"")</f>
        <v/>
      </c>
      <c r="J107" s="299" t="str" cm="1">
        <f t="array" ref="J107">IFERROR(INDEX('Measure List'!I:I,'Printable Report'!$A107),"")</f>
        <v/>
      </c>
      <c r="K107" s="299" t="str" cm="1">
        <f t="array" ref="K107">IFERROR(INDEX('Measure List'!J:J,'Printable Report'!$A107),"")</f>
        <v/>
      </c>
      <c r="L107" s="299" t="str" cm="1">
        <f t="array" ref="L107">IFERROR(INDEX('Measure List'!K:K,'Printable Report'!$A107),"")</f>
        <v/>
      </c>
      <c r="M107" s="256"/>
      <c r="O107" s="275"/>
    </row>
    <row r="108" spans="1:15" ht="39.6" customHeight="1" x14ac:dyDescent="0.25">
      <c r="A108" s="298" t="str" cm="1">
        <f t="array" ref="A108">IFERROR(SMALL(IF('Measure List'!G$2:G$171&lt;&gt;0,'Measure List'!A$2:A$171),ROW()-26),"")</f>
        <v/>
      </c>
      <c r="B108" s="276"/>
      <c r="C108" s="276"/>
      <c r="D108" s="277" t="str" cm="1">
        <f t="array" ref="D108">IFERROR(INDEX('Measure List'!B:B,'Printable Report'!$A108),"")</f>
        <v/>
      </c>
      <c r="E108" s="278" t="str" cm="1">
        <f t="array" ref="E108">IFERROR(INDEX('Measure List'!C:C,'Printable Report'!$A108),"")</f>
        <v/>
      </c>
      <c r="F108" s="279" t="str" cm="1">
        <f t="array" ref="F108">IFERROR(INDEX('Measure List'!D:D,'Printable Report'!$A108),"")</f>
        <v/>
      </c>
      <c r="G108" s="280" t="str" cm="1">
        <f t="array" ref="G108">IFERROR(INDEX('Measure List'!E:E,'Printable Report'!$A108),"")</f>
        <v/>
      </c>
      <c r="H108" s="299" t="str" cm="1">
        <f t="array" ref="H108">IFERROR(INDEX('Measure List'!F:F,'Printable Report'!$A108),"")</f>
        <v/>
      </c>
      <c r="I108" s="282" t="str" cm="1">
        <f t="array" ref="I108">IFERROR(INDEX('Measure List'!G:G,'Printable Report'!$A108),"")</f>
        <v/>
      </c>
      <c r="J108" s="299" t="str" cm="1">
        <f t="array" ref="J108">IFERROR(INDEX('Measure List'!I:I,'Printable Report'!$A108),"")</f>
        <v/>
      </c>
      <c r="K108" s="299" t="str" cm="1">
        <f t="array" ref="K108">IFERROR(INDEX('Measure List'!J:J,'Printable Report'!$A108),"")</f>
        <v/>
      </c>
      <c r="L108" s="299" t="str" cm="1">
        <f t="array" ref="L108">IFERROR(INDEX('Measure List'!K:K,'Printable Report'!$A108),"")</f>
        <v/>
      </c>
      <c r="M108" s="256"/>
      <c r="O108" s="275"/>
    </row>
    <row r="109" spans="1:15" ht="39.6" customHeight="1" x14ac:dyDescent="0.25">
      <c r="A109" s="298" t="str" cm="1">
        <f t="array" ref="A109">IFERROR(SMALL(IF('Measure List'!G$2:G$171&lt;&gt;0,'Measure List'!A$2:A$171),ROW()-26),"")</f>
        <v/>
      </c>
      <c r="B109" s="276"/>
      <c r="C109" s="276"/>
      <c r="D109" s="277" t="str" cm="1">
        <f t="array" ref="D109">IFERROR(INDEX('Measure List'!B:B,'Printable Report'!$A109),"")</f>
        <v/>
      </c>
      <c r="E109" s="278" t="str" cm="1">
        <f t="array" ref="E109">IFERROR(INDEX('Measure List'!C:C,'Printable Report'!$A109),"")</f>
        <v/>
      </c>
      <c r="F109" s="279" t="str" cm="1">
        <f t="array" ref="F109">IFERROR(INDEX('Measure List'!D:D,'Printable Report'!$A109),"")</f>
        <v/>
      </c>
      <c r="G109" s="280" t="str" cm="1">
        <f t="array" ref="G109">IFERROR(INDEX('Measure List'!E:E,'Printable Report'!$A109),"")</f>
        <v/>
      </c>
      <c r="H109" s="299" t="str" cm="1">
        <f t="array" ref="H109">IFERROR(INDEX('Measure List'!F:F,'Printable Report'!$A109),"")</f>
        <v/>
      </c>
      <c r="I109" s="282" t="str" cm="1">
        <f t="array" ref="I109">IFERROR(INDEX('Measure List'!G:G,'Printable Report'!$A109),"")</f>
        <v/>
      </c>
      <c r="J109" s="299" t="str" cm="1">
        <f t="array" ref="J109">IFERROR(INDEX('Measure List'!I:I,'Printable Report'!$A109),"")</f>
        <v/>
      </c>
      <c r="K109" s="299" t="str" cm="1">
        <f t="array" ref="K109">IFERROR(INDEX('Measure List'!J:J,'Printable Report'!$A109),"")</f>
        <v/>
      </c>
      <c r="L109" s="299" t="str" cm="1">
        <f t="array" ref="L109">IFERROR(INDEX('Measure List'!K:K,'Printable Report'!$A109),"")</f>
        <v/>
      </c>
      <c r="M109" s="256"/>
      <c r="O109" s="275"/>
    </row>
    <row r="110" spans="1:15" ht="39.6" customHeight="1" x14ac:dyDescent="0.25">
      <c r="A110" s="298" t="str" cm="1">
        <f t="array" ref="A110">IFERROR(SMALL(IF('Measure List'!G$2:G$171&lt;&gt;0,'Measure List'!A$2:A$171),ROW()-26),"")</f>
        <v/>
      </c>
      <c r="B110" s="276"/>
      <c r="C110" s="276"/>
      <c r="D110" s="277" t="str" cm="1">
        <f t="array" ref="D110">IFERROR(INDEX('Measure List'!B:B,'Printable Report'!$A110),"")</f>
        <v/>
      </c>
      <c r="E110" s="278" t="str" cm="1">
        <f t="array" ref="E110">IFERROR(INDEX('Measure List'!C:C,'Printable Report'!$A110),"")</f>
        <v/>
      </c>
      <c r="F110" s="279" t="str" cm="1">
        <f t="array" ref="F110">IFERROR(INDEX('Measure List'!D:D,'Printable Report'!$A110),"")</f>
        <v/>
      </c>
      <c r="G110" s="280" t="str" cm="1">
        <f t="array" ref="G110">IFERROR(INDEX('Measure List'!E:E,'Printable Report'!$A110),"")</f>
        <v/>
      </c>
      <c r="H110" s="299" t="str" cm="1">
        <f t="array" ref="H110">IFERROR(INDEX('Measure List'!F:F,'Printable Report'!$A110),"")</f>
        <v/>
      </c>
      <c r="I110" s="282" t="str" cm="1">
        <f t="array" ref="I110">IFERROR(INDEX('Measure List'!G:G,'Printable Report'!$A110),"")</f>
        <v/>
      </c>
      <c r="J110" s="299" t="str" cm="1">
        <f t="array" ref="J110">IFERROR(INDEX('Measure List'!I:I,'Printable Report'!$A110),"")</f>
        <v/>
      </c>
      <c r="K110" s="299" t="str" cm="1">
        <f t="array" ref="K110">IFERROR(INDEX('Measure List'!J:J,'Printable Report'!$A110),"")</f>
        <v/>
      </c>
      <c r="L110" s="299" t="str" cm="1">
        <f t="array" ref="L110">IFERROR(INDEX('Measure List'!K:K,'Printable Report'!$A110),"")</f>
        <v/>
      </c>
      <c r="M110" s="256"/>
      <c r="O110" s="275"/>
    </row>
    <row r="111" spans="1:15" ht="39.6" customHeight="1" x14ac:dyDescent="0.25">
      <c r="A111" s="298" t="str" cm="1">
        <f t="array" ref="A111">IFERROR(SMALL(IF('Measure List'!G$2:G$171&lt;&gt;0,'Measure List'!A$2:A$171),ROW()-26),"")</f>
        <v/>
      </c>
      <c r="B111" s="276"/>
      <c r="C111" s="276"/>
      <c r="D111" s="277" t="str" cm="1">
        <f t="array" ref="D111">IFERROR(INDEX('Measure List'!B:B,'Printable Report'!$A111),"")</f>
        <v/>
      </c>
      <c r="E111" s="278" t="str" cm="1">
        <f t="array" ref="E111">IFERROR(INDEX('Measure List'!C:C,'Printable Report'!$A111),"")</f>
        <v/>
      </c>
      <c r="F111" s="279" t="str" cm="1">
        <f t="array" ref="F111">IFERROR(INDEX('Measure List'!D:D,'Printable Report'!$A111),"")</f>
        <v/>
      </c>
      <c r="G111" s="280" t="str" cm="1">
        <f t="array" ref="G111">IFERROR(INDEX('Measure List'!E:E,'Printable Report'!$A111),"")</f>
        <v/>
      </c>
      <c r="H111" s="299" t="str" cm="1">
        <f t="array" ref="H111">IFERROR(INDEX('Measure List'!F:F,'Printable Report'!$A111),"")</f>
        <v/>
      </c>
      <c r="I111" s="282" t="str" cm="1">
        <f t="array" ref="I111">IFERROR(INDEX('Measure List'!G:G,'Printable Report'!$A111),"")</f>
        <v/>
      </c>
      <c r="J111" s="299" t="str" cm="1">
        <f t="array" ref="J111">IFERROR(INDEX('Measure List'!I:I,'Printable Report'!$A111),"")</f>
        <v/>
      </c>
      <c r="K111" s="299" t="str" cm="1">
        <f t="array" ref="K111">IFERROR(INDEX('Measure List'!J:J,'Printable Report'!$A111),"")</f>
        <v/>
      </c>
      <c r="L111" s="299" t="str" cm="1">
        <f t="array" ref="L111">IFERROR(INDEX('Measure List'!K:K,'Printable Report'!$A111),"")</f>
        <v/>
      </c>
      <c r="M111" s="256"/>
      <c r="O111" s="275"/>
    </row>
    <row r="112" spans="1:15" ht="39.6" customHeight="1" x14ac:dyDescent="0.25">
      <c r="A112" s="298" t="str" cm="1">
        <f t="array" ref="A112">IFERROR(SMALL(IF('Measure List'!G$2:G$171&lt;&gt;0,'Measure List'!A$2:A$171),ROW()-26),"")</f>
        <v/>
      </c>
      <c r="B112" s="276"/>
      <c r="C112" s="276"/>
      <c r="D112" s="277" t="str" cm="1">
        <f t="array" ref="D112">IFERROR(INDEX('Measure List'!B:B,'Printable Report'!$A112),"")</f>
        <v/>
      </c>
      <c r="E112" s="278" t="str" cm="1">
        <f t="array" ref="E112">IFERROR(INDEX('Measure List'!C:C,'Printable Report'!$A112),"")</f>
        <v/>
      </c>
      <c r="F112" s="279" t="str" cm="1">
        <f t="array" ref="F112">IFERROR(INDEX('Measure List'!D:D,'Printable Report'!$A112),"")</f>
        <v/>
      </c>
      <c r="G112" s="280" t="str" cm="1">
        <f t="array" ref="G112">IFERROR(INDEX('Measure List'!E:E,'Printable Report'!$A112),"")</f>
        <v/>
      </c>
      <c r="H112" s="299" t="str" cm="1">
        <f t="array" ref="H112">IFERROR(INDEX('Measure List'!F:F,'Printable Report'!$A112),"")</f>
        <v/>
      </c>
      <c r="I112" s="282" t="str" cm="1">
        <f t="array" ref="I112">IFERROR(INDEX('Measure List'!G:G,'Printable Report'!$A112),"")</f>
        <v/>
      </c>
      <c r="J112" s="299" t="str" cm="1">
        <f t="array" ref="J112">IFERROR(INDEX('Measure List'!I:I,'Printable Report'!$A112),"")</f>
        <v/>
      </c>
      <c r="K112" s="299" t="str" cm="1">
        <f t="array" ref="K112">IFERROR(INDEX('Measure List'!J:J,'Printable Report'!$A112),"")</f>
        <v/>
      </c>
      <c r="L112" s="299" t="str" cm="1">
        <f t="array" ref="L112">IFERROR(INDEX('Measure List'!K:K,'Printable Report'!$A112),"")</f>
        <v/>
      </c>
      <c r="M112" s="256"/>
      <c r="O112" s="275"/>
    </row>
    <row r="113" spans="1:15" ht="39.6" customHeight="1" x14ac:dyDescent="0.25">
      <c r="A113" s="298" t="str" cm="1">
        <f t="array" ref="A113">IFERROR(SMALL(IF('Measure List'!G$2:G$171&lt;&gt;0,'Measure List'!A$2:A$171),ROW()-26),"")</f>
        <v/>
      </c>
      <c r="B113" s="276"/>
      <c r="C113" s="276"/>
      <c r="D113" s="277" t="str" cm="1">
        <f t="array" ref="D113">IFERROR(INDEX('Measure List'!B:B,'Printable Report'!$A113),"")</f>
        <v/>
      </c>
      <c r="E113" s="278" t="str" cm="1">
        <f t="array" ref="E113">IFERROR(INDEX('Measure List'!C:C,'Printable Report'!$A113),"")</f>
        <v/>
      </c>
      <c r="F113" s="279" t="str" cm="1">
        <f t="array" ref="F113">IFERROR(INDEX('Measure List'!D:D,'Printable Report'!$A113),"")</f>
        <v/>
      </c>
      <c r="G113" s="280" t="str" cm="1">
        <f t="array" ref="G113">IFERROR(INDEX('Measure List'!E:E,'Printable Report'!$A113),"")</f>
        <v/>
      </c>
      <c r="H113" s="299" t="str" cm="1">
        <f t="array" ref="H113">IFERROR(INDEX('Measure List'!F:F,'Printable Report'!$A113),"")</f>
        <v/>
      </c>
      <c r="I113" s="282" t="str" cm="1">
        <f t="array" ref="I113">IFERROR(INDEX('Measure List'!G:G,'Printable Report'!$A113),"")</f>
        <v/>
      </c>
      <c r="J113" s="299" t="str" cm="1">
        <f t="array" ref="J113">IFERROR(INDEX('Measure List'!I:I,'Printable Report'!$A113),"")</f>
        <v/>
      </c>
      <c r="K113" s="299" t="str" cm="1">
        <f t="array" ref="K113">IFERROR(INDEX('Measure List'!J:J,'Printable Report'!$A113),"")</f>
        <v/>
      </c>
      <c r="L113" s="299" t="str" cm="1">
        <f t="array" ref="L113">IFERROR(INDEX('Measure List'!K:K,'Printable Report'!$A113),"")</f>
        <v/>
      </c>
      <c r="M113" s="256"/>
      <c r="O113" s="275"/>
    </row>
    <row r="114" spans="1:15" ht="39.6" customHeight="1" x14ac:dyDescent="0.25">
      <c r="A114" s="298" t="str" cm="1">
        <f t="array" ref="A114">IFERROR(SMALL(IF('Measure List'!G$2:G$171&lt;&gt;0,'Measure List'!A$2:A$171),ROW()-26),"")</f>
        <v/>
      </c>
      <c r="B114" s="276"/>
      <c r="C114" s="276"/>
      <c r="D114" s="277" t="str" cm="1">
        <f t="array" ref="D114">IFERROR(INDEX('Measure List'!B:B,'Printable Report'!$A114),"")</f>
        <v/>
      </c>
      <c r="E114" s="278" t="str" cm="1">
        <f t="array" ref="E114">IFERROR(INDEX('Measure List'!C:C,'Printable Report'!$A114),"")</f>
        <v/>
      </c>
      <c r="F114" s="279" t="str" cm="1">
        <f t="array" ref="F114">IFERROR(INDEX('Measure List'!D:D,'Printable Report'!$A114),"")</f>
        <v/>
      </c>
      <c r="G114" s="280" t="str" cm="1">
        <f t="array" ref="G114">IFERROR(INDEX('Measure List'!E:E,'Printable Report'!$A114),"")</f>
        <v/>
      </c>
      <c r="H114" s="299" t="str" cm="1">
        <f t="array" ref="H114">IFERROR(INDEX('Measure List'!F:F,'Printable Report'!$A114),"")</f>
        <v/>
      </c>
      <c r="I114" s="282" t="str" cm="1">
        <f t="array" ref="I114">IFERROR(INDEX('Measure List'!G:G,'Printable Report'!$A114),"")</f>
        <v/>
      </c>
      <c r="J114" s="299" t="str" cm="1">
        <f t="array" ref="J114">IFERROR(INDEX('Measure List'!I:I,'Printable Report'!$A114),"")</f>
        <v/>
      </c>
      <c r="K114" s="299" t="str" cm="1">
        <f t="array" ref="K114">IFERROR(INDEX('Measure List'!J:J,'Printable Report'!$A114),"")</f>
        <v/>
      </c>
      <c r="L114" s="299" t="str" cm="1">
        <f t="array" ref="L114">IFERROR(INDEX('Measure List'!K:K,'Printable Report'!$A114),"")</f>
        <v/>
      </c>
      <c r="M114" s="256"/>
      <c r="O114" s="275"/>
    </row>
    <row r="115" spans="1:15" ht="39.6" customHeight="1" x14ac:dyDescent="0.25">
      <c r="A115" s="298" t="str" cm="1">
        <f t="array" ref="A115">IFERROR(SMALL(IF('Measure List'!G$2:G$171&lt;&gt;0,'Measure List'!A$2:A$171),ROW()-26),"")</f>
        <v/>
      </c>
      <c r="B115" s="276"/>
      <c r="C115" s="276"/>
      <c r="D115" s="277" t="str" cm="1">
        <f t="array" ref="D115">IFERROR(INDEX('Measure List'!B:B,'Printable Report'!$A115),"")</f>
        <v/>
      </c>
      <c r="E115" s="278" t="str" cm="1">
        <f t="array" ref="E115">IFERROR(INDEX('Measure List'!C:C,'Printable Report'!$A115),"")</f>
        <v/>
      </c>
      <c r="F115" s="279" t="str" cm="1">
        <f t="array" ref="F115">IFERROR(INDEX('Measure List'!D:D,'Printable Report'!$A115),"")</f>
        <v/>
      </c>
      <c r="G115" s="280" t="str" cm="1">
        <f t="array" ref="G115">IFERROR(INDEX('Measure List'!E:E,'Printable Report'!$A115),"")</f>
        <v/>
      </c>
      <c r="H115" s="299" t="str" cm="1">
        <f t="array" ref="H115">IFERROR(INDEX('Measure List'!F:F,'Printable Report'!$A115),"")</f>
        <v/>
      </c>
      <c r="I115" s="282" t="str" cm="1">
        <f t="array" ref="I115">IFERROR(INDEX('Measure List'!G:G,'Printable Report'!$A115),"")</f>
        <v/>
      </c>
      <c r="J115" s="299" t="str" cm="1">
        <f t="array" ref="J115">IFERROR(INDEX('Measure List'!I:I,'Printable Report'!$A115),"")</f>
        <v/>
      </c>
      <c r="K115" s="299" t="str" cm="1">
        <f t="array" ref="K115">IFERROR(INDEX('Measure List'!J:J,'Printable Report'!$A115),"")</f>
        <v/>
      </c>
      <c r="L115" s="299" t="str" cm="1">
        <f t="array" ref="L115">IFERROR(INDEX('Measure List'!K:K,'Printable Report'!$A115),"")</f>
        <v/>
      </c>
      <c r="M115" s="256"/>
      <c r="O115" s="275"/>
    </row>
    <row r="116" spans="1:15" ht="39.6" customHeight="1" x14ac:dyDescent="0.25">
      <c r="A116" s="298" t="str" cm="1">
        <f t="array" ref="A116">IFERROR(SMALL(IF('Measure List'!G$2:G$171&lt;&gt;0,'Measure List'!A$2:A$171),ROW()-26),"")</f>
        <v/>
      </c>
      <c r="B116" s="276"/>
      <c r="C116" s="276"/>
      <c r="D116" s="277" t="str" cm="1">
        <f t="array" ref="D116">IFERROR(INDEX('Measure List'!B:B,'Printable Report'!$A116),"")</f>
        <v/>
      </c>
      <c r="E116" s="278" t="str" cm="1">
        <f t="array" ref="E116">IFERROR(INDEX('Measure List'!C:C,'Printable Report'!$A116),"")</f>
        <v/>
      </c>
      <c r="F116" s="279" t="str" cm="1">
        <f t="array" ref="F116">IFERROR(INDEX('Measure List'!D:D,'Printable Report'!$A116),"")</f>
        <v/>
      </c>
      <c r="G116" s="280" t="str" cm="1">
        <f t="array" ref="G116">IFERROR(INDEX('Measure List'!E:E,'Printable Report'!$A116),"")</f>
        <v/>
      </c>
      <c r="H116" s="299" t="str" cm="1">
        <f t="array" ref="H116">IFERROR(INDEX('Measure List'!F:F,'Printable Report'!$A116),"")</f>
        <v/>
      </c>
      <c r="I116" s="282" t="str" cm="1">
        <f t="array" ref="I116">IFERROR(INDEX('Measure List'!G:G,'Printable Report'!$A116),"")</f>
        <v/>
      </c>
      <c r="J116" s="299" t="str" cm="1">
        <f t="array" ref="J116">IFERROR(INDEX('Measure List'!I:I,'Printable Report'!$A116),"")</f>
        <v/>
      </c>
      <c r="K116" s="299" t="str" cm="1">
        <f t="array" ref="K116">IFERROR(INDEX('Measure List'!J:J,'Printable Report'!$A116),"")</f>
        <v/>
      </c>
      <c r="L116" s="299" t="str" cm="1">
        <f t="array" ref="L116">IFERROR(INDEX('Measure List'!K:K,'Printable Report'!$A116),"")</f>
        <v/>
      </c>
      <c r="M116" s="256"/>
      <c r="O116" s="275"/>
    </row>
    <row r="117" spans="1:15" ht="39.6" customHeight="1" x14ac:dyDescent="0.25">
      <c r="A117" s="298" t="str" cm="1">
        <f t="array" ref="A117">IFERROR(SMALL(IF('Measure List'!G$2:G$171&lt;&gt;0,'Measure List'!A$2:A$171),ROW()-26),"")</f>
        <v/>
      </c>
      <c r="B117" s="276"/>
      <c r="C117" s="276"/>
      <c r="D117" s="277" t="str" cm="1">
        <f t="array" ref="D117">IFERROR(INDEX('Measure List'!B:B,'Printable Report'!$A117),"")</f>
        <v/>
      </c>
      <c r="E117" s="278" t="str" cm="1">
        <f t="array" ref="E117">IFERROR(INDEX('Measure List'!C:C,'Printable Report'!$A117),"")</f>
        <v/>
      </c>
      <c r="F117" s="279" t="str" cm="1">
        <f t="array" ref="F117">IFERROR(INDEX('Measure List'!D:D,'Printable Report'!$A117),"")</f>
        <v/>
      </c>
      <c r="G117" s="280" t="str" cm="1">
        <f t="array" ref="G117">IFERROR(INDEX('Measure List'!E:E,'Printable Report'!$A117),"")</f>
        <v/>
      </c>
      <c r="H117" s="299" t="str" cm="1">
        <f t="array" ref="H117">IFERROR(INDEX('Measure List'!F:F,'Printable Report'!$A117),"")</f>
        <v/>
      </c>
      <c r="I117" s="282" t="str" cm="1">
        <f t="array" ref="I117">IFERROR(INDEX('Measure List'!G:G,'Printable Report'!$A117),"")</f>
        <v/>
      </c>
      <c r="J117" s="299" t="str" cm="1">
        <f t="array" ref="J117">IFERROR(INDEX('Measure List'!I:I,'Printable Report'!$A117),"")</f>
        <v/>
      </c>
      <c r="K117" s="299" t="str" cm="1">
        <f t="array" ref="K117">IFERROR(INDEX('Measure List'!J:J,'Printable Report'!$A117),"")</f>
        <v/>
      </c>
      <c r="L117" s="299" t="str" cm="1">
        <f t="array" ref="L117">IFERROR(INDEX('Measure List'!K:K,'Printable Report'!$A117),"")</f>
        <v/>
      </c>
      <c r="M117" s="256"/>
      <c r="O117" s="275"/>
    </row>
    <row r="118" spans="1:15" ht="39.6" customHeight="1" x14ac:dyDescent="0.25">
      <c r="A118" s="298" t="str" cm="1">
        <f t="array" ref="A118">IFERROR(SMALL(IF('Measure List'!G$2:G$171&lt;&gt;0,'Measure List'!A$2:A$171),ROW()-26),"")</f>
        <v/>
      </c>
      <c r="B118" s="276"/>
      <c r="C118" s="276"/>
      <c r="D118" s="277" t="str" cm="1">
        <f t="array" ref="D118">IFERROR(INDEX('Measure List'!B:B,'Printable Report'!$A118),"")</f>
        <v/>
      </c>
      <c r="E118" s="278" t="str" cm="1">
        <f t="array" ref="E118">IFERROR(INDEX('Measure List'!C:C,'Printable Report'!$A118),"")</f>
        <v/>
      </c>
      <c r="F118" s="279" t="str" cm="1">
        <f t="array" ref="F118">IFERROR(INDEX('Measure List'!D:D,'Printable Report'!$A118),"")</f>
        <v/>
      </c>
      <c r="G118" s="280" t="str" cm="1">
        <f t="array" ref="G118">IFERROR(INDEX('Measure List'!E:E,'Printable Report'!$A118),"")</f>
        <v/>
      </c>
      <c r="H118" s="299" t="str" cm="1">
        <f t="array" ref="H118">IFERROR(INDEX('Measure List'!F:F,'Printable Report'!$A118),"")</f>
        <v/>
      </c>
      <c r="I118" s="282" t="str" cm="1">
        <f t="array" ref="I118">IFERROR(INDEX('Measure List'!G:G,'Printable Report'!$A118),"")</f>
        <v/>
      </c>
      <c r="J118" s="299" t="str" cm="1">
        <f t="array" ref="J118">IFERROR(INDEX('Measure List'!I:I,'Printable Report'!$A118),"")</f>
        <v/>
      </c>
      <c r="K118" s="299" t="str" cm="1">
        <f t="array" ref="K118">IFERROR(INDEX('Measure List'!J:J,'Printable Report'!$A118),"")</f>
        <v/>
      </c>
      <c r="L118" s="299" t="str" cm="1">
        <f t="array" ref="L118">IFERROR(INDEX('Measure List'!K:K,'Printable Report'!$A118),"")</f>
        <v/>
      </c>
      <c r="M118" s="256"/>
      <c r="O118" s="275"/>
    </row>
    <row r="119" spans="1:15" ht="39.6" customHeight="1" x14ac:dyDescent="0.25">
      <c r="A119" s="298" t="str" cm="1">
        <f t="array" ref="A119">IFERROR(SMALL(IF('Measure List'!G$2:G$171&lt;&gt;0,'Measure List'!A$2:A$171),ROW()-26),"")</f>
        <v/>
      </c>
      <c r="B119" s="276"/>
      <c r="C119" s="276"/>
      <c r="D119" s="277" t="str" cm="1">
        <f t="array" ref="D119">IFERROR(INDEX('Measure List'!B:B,'Printable Report'!$A119),"")</f>
        <v/>
      </c>
      <c r="E119" s="278" t="str" cm="1">
        <f t="array" ref="E119">IFERROR(INDEX('Measure List'!C:C,'Printable Report'!$A119),"")</f>
        <v/>
      </c>
      <c r="F119" s="279" t="str" cm="1">
        <f t="array" ref="F119">IFERROR(INDEX('Measure List'!D:D,'Printable Report'!$A119),"")</f>
        <v/>
      </c>
      <c r="G119" s="280" t="str" cm="1">
        <f t="array" ref="G119">IFERROR(INDEX('Measure List'!E:E,'Printable Report'!$A119),"")</f>
        <v/>
      </c>
      <c r="H119" s="299" t="str" cm="1">
        <f t="array" ref="H119">IFERROR(INDEX('Measure List'!F:F,'Printable Report'!$A119),"")</f>
        <v/>
      </c>
      <c r="I119" s="282" t="str" cm="1">
        <f t="array" ref="I119">IFERROR(INDEX('Measure List'!G:G,'Printable Report'!$A119),"")</f>
        <v/>
      </c>
      <c r="J119" s="299" t="str" cm="1">
        <f t="array" ref="J119">IFERROR(INDEX('Measure List'!I:I,'Printable Report'!$A119),"")</f>
        <v/>
      </c>
      <c r="K119" s="299" t="str" cm="1">
        <f t="array" ref="K119">IFERROR(INDEX('Measure List'!J:J,'Printable Report'!$A119),"")</f>
        <v/>
      </c>
      <c r="L119" s="299" t="str" cm="1">
        <f t="array" ref="L119">IFERROR(INDEX('Measure List'!K:K,'Printable Report'!$A119),"")</f>
        <v/>
      </c>
      <c r="M119" s="256"/>
      <c r="O119" s="275"/>
    </row>
    <row r="120" spans="1:15" ht="39.6" customHeight="1" x14ac:dyDescent="0.25">
      <c r="A120" s="298" t="str" cm="1">
        <f t="array" ref="A120">IFERROR(SMALL(IF('Measure List'!G$2:G$171&lt;&gt;0,'Measure List'!A$2:A$171),ROW()-26),"")</f>
        <v/>
      </c>
      <c r="B120" s="276"/>
      <c r="C120" s="276"/>
      <c r="D120" s="277" t="str" cm="1">
        <f t="array" ref="D120">IFERROR(INDEX('Measure List'!B:B,'Printable Report'!$A120),"")</f>
        <v/>
      </c>
      <c r="E120" s="278" t="str" cm="1">
        <f t="array" ref="E120">IFERROR(INDEX('Measure List'!C:C,'Printable Report'!$A120),"")</f>
        <v/>
      </c>
      <c r="F120" s="279" t="str" cm="1">
        <f t="array" ref="F120">IFERROR(INDEX('Measure List'!D:D,'Printable Report'!$A120),"")</f>
        <v/>
      </c>
      <c r="G120" s="280" t="str" cm="1">
        <f t="array" ref="G120">IFERROR(INDEX('Measure List'!E:E,'Printable Report'!$A120),"")</f>
        <v/>
      </c>
      <c r="H120" s="299" t="str" cm="1">
        <f t="array" ref="H120">IFERROR(INDEX('Measure List'!F:F,'Printable Report'!$A120),"")</f>
        <v/>
      </c>
      <c r="I120" s="282" t="str" cm="1">
        <f t="array" ref="I120">IFERROR(INDEX('Measure List'!G:G,'Printable Report'!$A120),"")</f>
        <v/>
      </c>
      <c r="J120" s="299" t="str" cm="1">
        <f t="array" ref="J120">IFERROR(INDEX('Measure List'!I:I,'Printable Report'!$A120),"")</f>
        <v/>
      </c>
      <c r="K120" s="299" t="str" cm="1">
        <f t="array" ref="K120">IFERROR(INDEX('Measure List'!J:J,'Printable Report'!$A120),"")</f>
        <v/>
      </c>
      <c r="L120" s="299" t="str" cm="1">
        <f t="array" ref="L120">IFERROR(INDEX('Measure List'!K:K,'Printable Report'!$A120),"")</f>
        <v/>
      </c>
      <c r="M120" s="256"/>
      <c r="O120" s="275"/>
    </row>
    <row r="121" spans="1:15" ht="39.6" customHeight="1" x14ac:dyDescent="0.25">
      <c r="A121" s="298" t="str" cm="1">
        <f t="array" ref="A121">IFERROR(SMALL(IF('Measure List'!G$2:G$171&lt;&gt;0,'Measure List'!A$2:A$171),ROW()-26),"")</f>
        <v/>
      </c>
      <c r="B121" s="276"/>
      <c r="C121" s="276"/>
      <c r="D121" s="277" t="str" cm="1">
        <f t="array" ref="D121">IFERROR(INDEX('Measure List'!B:B,'Printable Report'!$A121),"")</f>
        <v/>
      </c>
      <c r="E121" s="278" t="str" cm="1">
        <f t="array" ref="E121">IFERROR(INDEX('Measure List'!C:C,'Printable Report'!$A121),"")</f>
        <v/>
      </c>
      <c r="F121" s="279" t="str" cm="1">
        <f t="array" ref="F121">IFERROR(INDEX('Measure List'!D:D,'Printable Report'!$A121),"")</f>
        <v/>
      </c>
      <c r="G121" s="280" t="str" cm="1">
        <f t="array" ref="G121">IFERROR(INDEX('Measure List'!E:E,'Printable Report'!$A121),"")</f>
        <v/>
      </c>
      <c r="H121" s="299" t="str" cm="1">
        <f t="array" ref="H121">IFERROR(INDEX('Measure List'!F:F,'Printable Report'!$A121),"")</f>
        <v/>
      </c>
      <c r="I121" s="282" t="str" cm="1">
        <f t="array" ref="I121">IFERROR(INDEX('Measure List'!G:G,'Printable Report'!$A121),"")</f>
        <v/>
      </c>
      <c r="J121" s="299" t="str" cm="1">
        <f t="array" ref="J121">IFERROR(INDEX('Measure List'!I:I,'Printable Report'!$A121),"")</f>
        <v/>
      </c>
      <c r="K121" s="299" t="str" cm="1">
        <f t="array" ref="K121">IFERROR(INDEX('Measure List'!J:J,'Printable Report'!$A121),"")</f>
        <v/>
      </c>
      <c r="L121" s="299" t="str" cm="1">
        <f t="array" ref="L121">IFERROR(INDEX('Measure List'!K:K,'Printable Report'!$A121),"")</f>
        <v/>
      </c>
      <c r="M121" s="256"/>
      <c r="O121" s="275"/>
    </row>
    <row r="122" spans="1:15" ht="39.6" customHeight="1" x14ac:dyDescent="0.25">
      <c r="A122" s="298" t="str" cm="1">
        <f t="array" ref="A122">IFERROR(SMALL(IF('Measure List'!G$2:G$171&lt;&gt;0,'Measure List'!A$2:A$171),ROW()-26),"")</f>
        <v/>
      </c>
      <c r="B122" s="276"/>
      <c r="C122" s="276"/>
      <c r="D122" s="277" t="str" cm="1">
        <f t="array" ref="D122">IFERROR(INDEX('Measure List'!B:B,'Printable Report'!$A122),"")</f>
        <v/>
      </c>
      <c r="E122" s="278" t="str" cm="1">
        <f t="array" ref="E122">IFERROR(INDEX('Measure List'!C:C,'Printable Report'!$A122),"")</f>
        <v/>
      </c>
      <c r="F122" s="279" t="str" cm="1">
        <f t="array" ref="F122">IFERROR(INDEX('Measure List'!D:D,'Printable Report'!$A122),"")</f>
        <v/>
      </c>
      <c r="G122" s="280" t="str" cm="1">
        <f t="array" ref="G122">IFERROR(INDEX('Measure List'!E:E,'Printable Report'!$A122),"")</f>
        <v/>
      </c>
      <c r="H122" s="299" t="str" cm="1">
        <f t="array" ref="H122">IFERROR(INDEX('Measure List'!F:F,'Printable Report'!$A122),"")</f>
        <v/>
      </c>
      <c r="I122" s="282" t="str" cm="1">
        <f t="array" ref="I122">IFERROR(INDEX('Measure List'!G:G,'Printable Report'!$A122),"")</f>
        <v/>
      </c>
      <c r="J122" s="299" t="str" cm="1">
        <f t="array" ref="J122">IFERROR(INDEX('Measure List'!I:I,'Printable Report'!$A122),"")</f>
        <v/>
      </c>
      <c r="K122" s="299" t="str" cm="1">
        <f t="array" ref="K122">IFERROR(INDEX('Measure List'!J:J,'Printable Report'!$A122),"")</f>
        <v/>
      </c>
      <c r="L122" s="299" t="str" cm="1">
        <f t="array" ref="L122">IFERROR(INDEX('Measure List'!K:K,'Printable Report'!$A122),"")</f>
        <v/>
      </c>
      <c r="M122" s="256"/>
      <c r="O122" s="275"/>
    </row>
    <row r="123" spans="1:15" ht="39.6" customHeight="1" x14ac:dyDescent="0.25">
      <c r="A123" s="298" t="str" cm="1">
        <f t="array" ref="A123">IFERROR(SMALL(IF('Measure List'!G$2:G$171&lt;&gt;0,'Measure List'!A$2:A$171),ROW()-26),"")</f>
        <v/>
      </c>
      <c r="B123" s="276"/>
      <c r="C123" s="276"/>
      <c r="D123" s="277" t="str" cm="1">
        <f t="array" ref="D123">IFERROR(INDEX('Measure List'!B:B,'Printable Report'!$A123),"")</f>
        <v/>
      </c>
      <c r="E123" s="278" t="str" cm="1">
        <f t="array" ref="E123">IFERROR(INDEX('Measure List'!C:C,'Printable Report'!$A123),"")</f>
        <v/>
      </c>
      <c r="F123" s="279" t="str" cm="1">
        <f t="array" ref="F123">IFERROR(INDEX('Measure List'!D:D,'Printable Report'!$A123),"")</f>
        <v/>
      </c>
      <c r="G123" s="280" t="str" cm="1">
        <f t="array" ref="G123">IFERROR(INDEX('Measure List'!E:E,'Printable Report'!$A123),"")</f>
        <v/>
      </c>
      <c r="H123" s="299" t="str" cm="1">
        <f t="array" ref="H123">IFERROR(INDEX('Measure List'!F:F,'Printable Report'!$A123),"")</f>
        <v/>
      </c>
      <c r="I123" s="282" t="str" cm="1">
        <f t="array" ref="I123">IFERROR(INDEX('Measure List'!G:G,'Printable Report'!$A123),"")</f>
        <v/>
      </c>
      <c r="J123" s="299" t="str" cm="1">
        <f t="array" ref="J123">IFERROR(INDEX('Measure List'!I:I,'Printable Report'!$A123),"")</f>
        <v/>
      </c>
      <c r="K123" s="299" t="str" cm="1">
        <f t="array" ref="K123">IFERROR(INDEX('Measure List'!J:J,'Printable Report'!$A123),"")</f>
        <v/>
      </c>
      <c r="L123" s="299" t="str" cm="1">
        <f t="array" ref="L123">IFERROR(INDEX('Measure List'!K:K,'Printable Report'!$A123),"")</f>
        <v/>
      </c>
      <c r="M123" s="256"/>
      <c r="O123" s="275"/>
    </row>
    <row r="124" spans="1:15" ht="39.6" customHeight="1" x14ac:dyDescent="0.25">
      <c r="A124" s="298" t="str" cm="1">
        <f t="array" ref="A124">IFERROR(SMALL(IF('Measure List'!G$2:G$171&lt;&gt;0,'Measure List'!A$2:A$171),ROW()-26),"")</f>
        <v/>
      </c>
      <c r="B124" s="276"/>
      <c r="C124" s="276"/>
      <c r="D124" s="277" t="str" cm="1">
        <f t="array" ref="D124">IFERROR(INDEX('Measure List'!B:B,'Printable Report'!$A124),"")</f>
        <v/>
      </c>
      <c r="E124" s="278" t="str" cm="1">
        <f t="array" ref="E124">IFERROR(INDEX('Measure List'!C:C,'Printable Report'!$A124),"")</f>
        <v/>
      </c>
      <c r="F124" s="279" t="str" cm="1">
        <f t="array" ref="F124">IFERROR(INDEX('Measure List'!D:D,'Printable Report'!$A124),"")</f>
        <v/>
      </c>
      <c r="G124" s="280" t="str" cm="1">
        <f t="array" ref="G124">IFERROR(INDEX('Measure List'!E:E,'Printable Report'!$A124),"")</f>
        <v/>
      </c>
      <c r="H124" s="299" t="str" cm="1">
        <f t="array" ref="H124">IFERROR(INDEX('Measure List'!F:F,'Printable Report'!$A124),"")</f>
        <v/>
      </c>
      <c r="I124" s="282" t="str" cm="1">
        <f t="array" ref="I124">IFERROR(INDEX('Measure List'!G:G,'Printable Report'!$A124),"")</f>
        <v/>
      </c>
      <c r="J124" s="299" t="str" cm="1">
        <f t="array" ref="J124">IFERROR(INDEX('Measure List'!I:I,'Printable Report'!$A124),"")</f>
        <v/>
      </c>
      <c r="K124" s="299" t="str" cm="1">
        <f t="array" ref="K124">IFERROR(INDEX('Measure List'!J:J,'Printable Report'!$A124),"")</f>
        <v/>
      </c>
      <c r="L124" s="299" t="str" cm="1">
        <f t="array" ref="L124">IFERROR(INDEX('Measure List'!K:K,'Printable Report'!$A124),"")</f>
        <v/>
      </c>
      <c r="M124" s="256"/>
      <c r="O124" s="275"/>
    </row>
    <row r="125" spans="1:15" ht="39.6" customHeight="1" x14ac:dyDescent="0.25">
      <c r="A125" s="298" t="str" cm="1">
        <f t="array" ref="A125">IFERROR(SMALL(IF('Measure List'!G$2:G$171&lt;&gt;0,'Measure List'!A$2:A$171),ROW()-26),"")</f>
        <v/>
      </c>
      <c r="B125" s="276"/>
      <c r="C125" s="276"/>
      <c r="D125" s="277" t="str" cm="1">
        <f t="array" ref="D125">IFERROR(INDEX('Measure List'!B:B,'Printable Report'!$A125),"")</f>
        <v/>
      </c>
      <c r="E125" s="278" t="str" cm="1">
        <f t="array" ref="E125">IFERROR(INDEX('Measure List'!C:C,'Printable Report'!$A125),"")</f>
        <v/>
      </c>
      <c r="F125" s="279" t="str" cm="1">
        <f t="array" ref="F125">IFERROR(INDEX('Measure List'!D:D,'Printable Report'!$A125),"")</f>
        <v/>
      </c>
      <c r="G125" s="280" t="str" cm="1">
        <f t="array" ref="G125">IFERROR(INDEX('Measure List'!E:E,'Printable Report'!$A125),"")</f>
        <v/>
      </c>
      <c r="H125" s="299" t="str" cm="1">
        <f t="array" ref="H125">IFERROR(INDEX('Measure List'!F:F,'Printable Report'!$A125),"")</f>
        <v/>
      </c>
      <c r="I125" s="282" t="str" cm="1">
        <f t="array" ref="I125">IFERROR(INDEX('Measure List'!G:G,'Printable Report'!$A125),"")</f>
        <v/>
      </c>
      <c r="J125" s="299" t="str" cm="1">
        <f t="array" ref="J125">IFERROR(INDEX('Measure List'!I:I,'Printable Report'!$A125),"")</f>
        <v/>
      </c>
      <c r="K125" s="299" t="str" cm="1">
        <f t="array" ref="K125">IFERROR(INDEX('Measure List'!J:J,'Printable Report'!$A125),"")</f>
        <v/>
      </c>
      <c r="L125" s="299" t="str" cm="1">
        <f t="array" ref="L125">IFERROR(INDEX('Measure List'!K:K,'Printable Report'!$A125),"")</f>
        <v/>
      </c>
      <c r="M125" s="256"/>
      <c r="O125" s="275"/>
    </row>
    <row r="126" spans="1:15" ht="39.6" customHeight="1" x14ac:dyDescent="0.25">
      <c r="A126" s="298" t="str" cm="1">
        <f t="array" ref="A126">IFERROR(SMALL(IF('Measure List'!G$2:G$171&lt;&gt;0,'Measure List'!A$2:A$171),ROW()-26),"")</f>
        <v/>
      </c>
      <c r="B126" s="276"/>
      <c r="C126" s="276"/>
      <c r="D126" s="277" t="str" cm="1">
        <f t="array" ref="D126">IFERROR(INDEX('Measure List'!B:B,'Printable Report'!$A126),"")</f>
        <v/>
      </c>
      <c r="E126" s="278" t="str" cm="1">
        <f t="array" ref="E126">IFERROR(INDEX('Measure List'!C:C,'Printable Report'!$A126),"")</f>
        <v/>
      </c>
      <c r="F126" s="279" t="str" cm="1">
        <f t="array" ref="F126">IFERROR(INDEX('Measure List'!D:D,'Printable Report'!$A126),"")</f>
        <v/>
      </c>
      <c r="G126" s="280" t="str" cm="1">
        <f t="array" ref="G126">IFERROR(INDEX('Measure List'!E:E,'Printable Report'!$A126),"")</f>
        <v/>
      </c>
      <c r="H126" s="299" t="str" cm="1">
        <f t="array" ref="H126">IFERROR(INDEX('Measure List'!F:F,'Printable Report'!$A126),"")</f>
        <v/>
      </c>
      <c r="I126" s="282" t="str" cm="1">
        <f t="array" ref="I126">IFERROR(INDEX('Measure List'!G:G,'Printable Report'!$A126),"")</f>
        <v/>
      </c>
      <c r="J126" s="299" t="str" cm="1">
        <f t="array" ref="J126">IFERROR(INDEX('Measure List'!I:I,'Printable Report'!$A126),"")</f>
        <v/>
      </c>
      <c r="K126" s="299" t="str" cm="1">
        <f t="array" ref="K126">IFERROR(INDEX('Measure List'!J:J,'Printable Report'!$A126),"")</f>
        <v/>
      </c>
      <c r="L126" s="299" t="str" cm="1">
        <f t="array" ref="L126">IFERROR(INDEX('Measure List'!K:K,'Printable Report'!$A126),"")</f>
        <v/>
      </c>
      <c r="M126" s="256"/>
      <c r="O126" s="275"/>
    </row>
    <row r="127" spans="1:15" ht="39.6" customHeight="1" x14ac:dyDescent="0.25">
      <c r="A127" s="298" t="str" cm="1">
        <f t="array" ref="A127">IFERROR(SMALL(IF('Measure List'!G$2:G$171&lt;&gt;0,'Measure List'!A$2:A$171),ROW()-26),"")</f>
        <v/>
      </c>
      <c r="B127" s="276"/>
      <c r="C127" s="276"/>
      <c r="D127" s="277" t="str" cm="1">
        <f t="array" ref="D127">IFERROR(INDEX('Measure List'!B:B,'Printable Report'!$A127),"")</f>
        <v/>
      </c>
      <c r="E127" s="278" t="str" cm="1">
        <f t="array" ref="E127">IFERROR(INDEX('Measure List'!C:C,'Printable Report'!$A127),"")</f>
        <v/>
      </c>
      <c r="F127" s="279" t="str" cm="1">
        <f t="array" ref="F127">IFERROR(INDEX('Measure List'!D:D,'Printable Report'!$A127),"")</f>
        <v/>
      </c>
      <c r="G127" s="280" t="str" cm="1">
        <f t="array" ref="G127">IFERROR(INDEX('Measure List'!E:E,'Printable Report'!$A127),"")</f>
        <v/>
      </c>
      <c r="H127" s="299" t="str" cm="1">
        <f t="array" ref="H127">IFERROR(INDEX('Measure List'!F:F,'Printable Report'!$A127),"")</f>
        <v/>
      </c>
      <c r="I127" s="282" t="str" cm="1">
        <f t="array" ref="I127">IFERROR(INDEX('Measure List'!G:G,'Printable Report'!$A127),"")</f>
        <v/>
      </c>
      <c r="J127" s="299" t="str" cm="1">
        <f t="array" ref="J127">IFERROR(INDEX('Measure List'!I:I,'Printable Report'!$A127),"")</f>
        <v/>
      </c>
      <c r="K127" s="299" t="str" cm="1">
        <f t="array" ref="K127">IFERROR(INDEX('Measure List'!J:J,'Printable Report'!$A127),"")</f>
        <v/>
      </c>
      <c r="L127" s="299" t="str" cm="1">
        <f t="array" ref="L127">IFERROR(INDEX('Measure List'!K:K,'Printable Report'!$A127),"")</f>
        <v/>
      </c>
      <c r="M127" s="256"/>
      <c r="O127" s="275"/>
    </row>
    <row r="128" spans="1:15" ht="39.6" customHeight="1" x14ac:dyDescent="0.25">
      <c r="A128" s="298" t="str" cm="1">
        <f t="array" ref="A128">IFERROR(SMALL(IF('Measure List'!G$2:G$171&lt;&gt;0,'Measure List'!A$2:A$171),ROW()-26),"")</f>
        <v/>
      </c>
      <c r="B128" s="276"/>
      <c r="C128" s="276"/>
      <c r="D128" s="277" t="str" cm="1">
        <f t="array" ref="D128">IFERROR(INDEX('Measure List'!B:B,'Printable Report'!$A128),"")</f>
        <v/>
      </c>
      <c r="E128" s="278" t="str" cm="1">
        <f t="array" ref="E128">IFERROR(INDEX('Measure List'!C:C,'Printable Report'!$A128),"")</f>
        <v/>
      </c>
      <c r="F128" s="279" t="str" cm="1">
        <f t="array" ref="F128">IFERROR(INDEX('Measure List'!D:D,'Printable Report'!$A128),"")</f>
        <v/>
      </c>
      <c r="G128" s="280" t="str" cm="1">
        <f t="array" ref="G128">IFERROR(INDEX('Measure List'!E:E,'Printable Report'!$A128),"")</f>
        <v/>
      </c>
      <c r="H128" s="299" t="str" cm="1">
        <f t="array" ref="H128">IFERROR(INDEX('Measure List'!F:F,'Printable Report'!$A128),"")</f>
        <v/>
      </c>
      <c r="I128" s="282" t="str" cm="1">
        <f t="array" ref="I128">IFERROR(INDEX('Measure List'!G:G,'Printable Report'!$A128),"")</f>
        <v/>
      </c>
      <c r="J128" s="299" t="str" cm="1">
        <f t="array" ref="J128">IFERROR(INDEX('Measure List'!I:I,'Printable Report'!$A128),"")</f>
        <v/>
      </c>
      <c r="K128" s="299" t="str" cm="1">
        <f t="array" ref="K128">IFERROR(INDEX('Measure List'!J:J,'Printable Report'!$A128),"")</f>
        <v/>
      </c>
      <c r="L128" s="299" t="str" cm="1">
        <f t="array" ref="L128">IFERROR(INDEX('Measure List'!K:K,'Printable Report'!$A128),"")</f>
        <v/>
      </c>
      <c r="M128" s="256"/>
      <c r="O128" s="275"/>
    </row>
    <row r="129" spans="1:21" ht="39.6" customHeight="1" x14ac:dyDescent="0.25">
      <c r="A129" s="298" t="str" cm="1">
        <f t="array" ref="A129">IFERROR(SMALL(IF('Measure List'!G$2:G$171&lt;&gt;0,'Measure List'!A$2:A$171),ROW()-26),"")</f>
        <v/>
      </c>
      <c r="B129" s="276"/>
      <c r="C129" s="276"/>
      <c r="D129" s="277" t="str" cm="1">
        <f t="array" ref="D129">IFERROR(INDEX('Measure List'!B:B,'Printable Report'!$A129),"")</f>
        <v/>
      </c>
      <c r="E129" s="278" t="str" cm="1">
        <f t="array" ref="E129">IFERROR(INDEX('Measure List'!C:C,'Printable Report'!$A129),"")</f>
        <v/>
      </c>
      <c r="F129" s="279" t="str" cm="1">
        <f t="array" ref="F129">IFERROR(INDEX('Measure List'!D:D,'Printable Report'!$A129),"")</f>
        <v/>
      </c>
      <c r="G129" s="280" t="str" cm="1">
        <f t="array" ref="G129">IFERROR(INDEX('Measure List'!E:E,'Printable Report'!$A129),"")</f>
        <v/>
      </c>
      <c r="H129" s="299" t="str" cm="1">
        <f t="array" ref="H129">IFERROR(INDEX('Measure List'!F:F,'Printable Report'!$A129),"")</f>
        <v/>
      </c>
      <c r="I129" s="282" t="str" cm="1">
        <f t="array" ref="I129">IFERROR(INDEX('Measure List'!G:G,'Printable Report'!$A129),"")</f>
        <v/>
      </c>
      <c r="J129" s="299" t="str" cm="1">
        <f t="array" ref="J129">IFERROR(INDEX('Measure List'!I:I,'Printable Report'!$A129),"")</f>
        <v/>
      </c>
      <c r="K129" s="299" t="str" cm="1">
        <f t="array" ref="K129">IFERROR(INDEX('Measure List'!J:J,'Printable Report'!$A129),"")</f>
        <v/>
      </c>
      <c r="L129" s="299" t="str" cm="1">
        <f t="array" ref="L129">IFERROR(INDEX('Measure List'!K:K,'Printable Report'!$A129),"")</f>
        <v/>
      </c>
      <c r="M129" s="256"/>
      <c r="O129" s="275"/>
    </row>
    <row r="130" spans="1:21" ht="39.6" customHeight="1" x14ac:dyDescent="0.25">
      <c r="A130" s="298" t="str" cm="1">
        <f t="array" ref="A130">IFERROR(SMALL(IF('Measure List'!G$2:G$171&lt;&gt;0,'Measure List'!A$2:A$171),ROW()-26),"")</f>
        <v/>
      </c>
      <c r="B130" s="276"/>
      <c r="C130" s="276"/>
      <c r="D130" s="277" t="str" cm="1">
        <f t="array" ref="D130">IFERROR(INDEX('Measure List'!B:B,'Printable Report'!$A130),"")</f>
        <v/>
      </c>
      <c r="E130" s="278" t="str" cm="1">
        <f t="array" ref="E130">IFERROR(INDEX('Measure List'!C:C,'Printable Report'!$A130),"")</f>
        <v/>
      </c>
      <c r="F130" s="279" t="str" cm="1">
        <f t="array" ref="F130">IFERROR(INDEX('Measure List'!D:D,'Printable Report'!$A130),"")</f>
        <v/>
      </c>
      <c r="G130" s="280" t="str" cm="1">
        <f t="array" ref="G130">IFERROR(INDEX('Measure List'!E:E,'Printable Report'!$A130),"")</f>
        <v/>
      </c>
      <c r="H130" s="299" t="str" cm="1">
        <f t="array" ref="H130">IFERROR(INDEX('Measure List'!F:F,'Printable Report'!$A130),"")</f>
        <v/>
      </c>
      <c r="I130" s="282" t="str" cm="1">
        <f t="array" ref="I130">IFERROR(INDEX('Measure List'!G:G,'Printable Report'!$A130),"")</f>
        <v/>
      </c>
      <c r="J130" s="299" t="str" cm="1">
        <f t="array" ref="J130">IFERROR(INDEX('Measure List'!I:I,'Printable Report'!$A130),"")</f>
        <v/>
      </c>
      <c r="K130" s="299" t="str" cm="1">
        <f t="array" ref="K130">IFERROR(INDEX('Measure List'!J:J,'Printable Report'!$A130),"")</f>
        <v/>
      </c>
      <c r="L130" s="299" t="str" cm="1">
        <f t="array" ref="L130">IFERROR(INDEX('Measure List'!K:K,'Printable Report'!$A130),"")</f>
        <v/>
      </c>
      <c r="M130" s="256"/>
      <c r="O130" s="275"/>
    </row>
    <row r="131" spans="1:21" ht="39.6" customHeight="1" x14ac:dyDescent="0.25">
      <c r="A131" s="298" t="str" cm="1">
        <f t="array" ref="A131">IFERROR(SMALL(IF('Measure List'!G$2:G$171&lt;&gt;0,'Measure List'!A$2:A$171),ROW()-26),"")</f>
        <v/>
      </c>
      <c r="B131" s="276"/>
      <c r="C131" s="276"/>
      <c r="D131" s="277" t="str" cm="1">
        <f t="array" ref="D131">IFERROR(INDEX('Measure List'!B:B,'Printable Report'!$A131),"")</f>
        <v/>
      </c>
      <c r="E131" s="278" t="str" cm="1">
        <f t="array" ref="E131">IFERROR(INDEX('Measure List'!C:C,'Printable Report'!$A131),"")</f>
        <v/>
      </c>
      <c r="F131" s="279" t="str" cm="1">
        <f t="array" ref="F131">IFERROR(INDEX('Measure List'!D:D,'Printable Report'!$A131),"")</f>
        <v/>
      </c>
      <c r="G131" s="280" t="str" cm="1">
        <f t="array" ref="G131">IFERROR(INDEX('Measure List'!E:E,'Printable Report'!$A131),"")</f>
        <v/>
      </c>
      <c r="H131" s="299" t="str" cm="1">
        <f t="array" ref="H131">IFERROR(INDEX('Measure List'!F:F,'Printable Report'!$A131),"")</f>
        <v/>
      </c>
      <c r="I131" s="282" t="str" cm="1">
        <f t="array" ref="I131">IFERROR(INDEX('Measure List'!G:G,'Printable Report'!$A131),"")</f>
        <v/>
      </c>
      <c r="J131" s="299" t="str" cm="1">
        <f t="array" ref="J131">IFERROR(INDEX('Measure List'!I:I,'Printable Report'!$A131),"")</f>
        <v/>
      </c>
      <c r="K131" s="299" t="str" cm="1">
        <f t="array" ref="K131">IFERROR(INDEX('Measure List'!J:J,'Printable Report'!$A131),"")</f>
        <v/>
      </c>
      <c r="L131" s="299" t="str" cm="1">
        <f t="array" ref="L131">IFERROR(INDEX('Measure List'!K:K,'Printable Report'!$A131),"")</f>
        <v/>
      </c>
      <c r="M131" s="256"/>
      <c r="O131" s="275"/>
    </row>
    <row r="132" spans="1:21" ht="39.6" customHeight="1" x14ac:dyDescent="0.25">
      <c r="A132" s="298" t="str" cm="1">
        <f t="array" ref="A132">IFERROR(SMALL(IF('Measure List'!G$2:G$171&lt;&gt;0,'Measure List'!A$2:A$171),ROW()-26),"")</f>
        <v/>
      </c>
      <c r="B132" s="276"/>
      <c r="C132" s="276"/>
      <c r="D132" s="277" t="str" cm="1">
        <f t="array" ref="D132">IFERROR(INDEX('Measure List'!B:B,'Printable Report'!$A132),"")</f>
        <v/>
      </c>
      <c r="E132" s="278" t="str" cm="1">
        <f t="array" ref="E132">IFERROR(INDEX('Measure List'!C:C,'Printable Report'!$A132),"")</f>
        <v/>
      </c>
      <c r="F132" s="279" t="str" cm="1">
        <f t="array" ref="F132">IFERROR(INDEX('Measure List'!D:D,'Printable Report'!$A132),"")</f>
        <v/>
      </c>
      <c r="G132" s="280" t="str" cm="1">
        <f t="array" ref="G132">IFERROR(INDEX('Measure List'!E:E,'Printable Report'!$A132),"")</f>
        <v/>
      </c>
      <c r="H132" s="299" t="str" cm="1">
        <f t="array" ref="H132">IFERROR(INDEX('Measure List'!F:F,'Printable Report'!$A132),"")</f>
        <v/>
      </c>
      <c r="I132" s="282" t="str" cm="1">
        <f t="array" ref="I132">IFERROR(INDEX('Measure List'!G:G,'Printable Report'!$A132),"")</f>
        <v/>
      </c>
      <c r="J132" s="299" t="str" cm="1">
        <f t="array" ref="J132">IFERROR(INDEX('Measure List'!I:I,'Printable Report'!$A132),"")</f>
        <v/>
      </c>
      <c r="K132" s="299" t="str" cm="1">
        <f t="array" ref="K132">IFERROR(INDEX('Measure List'!J:J,'Printable Report'!$A132),"")</f>
        <v/>
      </c>
      <c r="L132" s="299" t="str" cm="1">
        <f t="array" ref="L132">IFERROR(INDEX('Measure List'!K:K,'Printable Report'!$A132),"")</f>
        <v/>
      </c>
      <c r="M132" s="256"/>
      <c r="O132" s="275"/>
    </row>
    <row r="133" spans="1:21" ht="39.6" customHeight="1" x14ac:dyDescent="0.25">
      <c r="A133" s="298" t="str" cm="1">
        <f t="array" ref="A133">IFERROR(SMALL(IF('Measure List'!G$2:G$171&lt;&gt;0,'Measure List'!A$2:A$171),ROW()-26),"")</f>
        <v/>
      </c>
      <c r="B133" s="276"/>
      <c r="C133" s="276"/>
      <c r="D133" s="277" t="str" cm="1">
        <f t="array" ref="D133">IFERROR(INDEX('Measure List'!B:B,'Printable Report'!$A133),"")</f>
        <v/>
      </c>
      <c r="E133" s="278" t="str" cm="1">
        <f t="array" ref="E133">IFERROR(INDEX('Measure List'!C:C,'Printable Report'!$A133),"")</f>
        <v/>
      </c>
      <c r="F133" s="279" t="str" cm="1">
        <f t="array" ref="F133">IFERROR(INDEX('Measure List'!D:D,'Printable Report'!$A133),"")</f>
        <v/>
      </c>
      <c r="G133" s="280" t="str" cm="1">
        <f t="array" ref="G133">IFERROR(INDEX('Measure List'!E:E,'Printable Report'!$A133),"")</f>
        <v/>
      </c>
      <c r="H133" s="299" t="str" cm="1">
        <f t="array" ref="H133">IFERROR(INDEX('Measure List'!F:F,'Printable Report'!$A133),"")</f>
        <v/>
      </c>
      <c r="I133" s="282" t="str" cm="1">
        <f t="array" ref="I133">IFERROR(INDEX('Measure List'!G:G,'Printable Report'!$A133),"")</f>
        <v/>
      </c>
      <c r="J133" s="299" t="str" cm="1">
        <f t="array" ref="J133">IFERROR(INDEX('Measure List'!I:I,'Printable Report'!$A133),"")</f>
        <v/>
      </c>
      <c r="K133" s="299" t="str" cm="1">
        <f t="array" ref="K133">IFERROR(INDEX('Measure List'!J:J,'Printable Report'!$A133),"")</f>
        <v/>
      </c>
      <c r="L133" s="299" t="str" cm="1">
        <f t="array" ref="L133">IFERROR(INDEX('Measure List'!K:K,'Printable Report'!$A133),"")</f>
        <v/>
      </c>
      <c r="M133" s="256"/>
      <c r="O133" s="275"/>
    </row>
    <row r="134" spans="1:21" ht="39.6" customHeight="1" x14ac:dyDescent="0.25">
      <c r="A134" s="298" t="str" cm="1">
        <f t="array" ref="A134">IFERROR(SMALL(IF('Measure List'!G$2:G$171&lt;&gt;0,'Measure List'!A$2:A$171),ROW()-26),"")</f>
        <v/>
      </c>
      <c r="B134" s="276"/>
      <c r="C134" s="276"/>
      <c r="D134" s="277" t="str" cm="1">
        <f t="array" ref="D134">IFERROR(INDEX('Measure List'!B:B,'Printable Report'!$A134),"")</f>
        <v/>
      </c>
      <c r="E134" s="278" t="str" cm="1">
        <f t="array" ref="E134">IFERROR(INDEX('Measure List'!C:C,'Printable Report'!$A134),"")</f>
        <v/>
      </c>
      <c r="F134" s="279" t="str" cm="1">
        <f t="array" ref="F134">IFERROR(INDEX('Measure List'!D:D,'Printable Report'!$A134),"")</f>
        <v/>
      </c>
      <c r="G134" s="280" t="str" cm="1">
        <f t="array" ref="G134">IFERROR(INDEX('Measure List'!E:E,'Printable Report'!$A134),"")</f>
        <v/>
      </c>
      <c r="H134" s="299" t="str" cm="1">
        <f t="array" ref="H134">IFERROR(INDEX('Measure List'!F:F,'Printable Report'!$A134),"")</f>
        <v/>
      </c>
      <c r="I134" s="282" t="str" cm="1">
        <f t="array" ref="I134">IFERROR(INDEX('Measure List'!G:G,'Printable Report'!$A134),"")</f>
        <v/>
      </c>
      <c r="J134" s="299" t="str" cm="1">
        <f t="array" ref="J134">IFERROR(INDEX('Measure List'!I:I,'Printable Report'!$A134),"")</f>
        <v/>
      </c>
      <c r="K134" s="299" t="str" cm="1">
        <f t="array" ref="K134">IFERROR(INDEX('Measure List'!J:J,'Printable Report'!$A134),"")</f>
        <v/>
      </c>
      <c r="L134" s="299" t="str" cm="1">
        <f t="array" ref="L134">IFERROR(INDEX('Measure List'!K:K,'Printable Report'!$A134),"")</f>
        <v/>
      </c>
      <c r="M134" s="256"/>
      <c r="O134" s="275"/>
    </row>
    <row r="135" spans="1:21" ht="39.6" customHeight="1" x14ac:dyDescent="0.25">
      <c r="A135" s="298" t="str" cm="1">
        <f t="array" ref="A135">IFERROR(SMALL(IF('Measure List'!G$2:G$171&lt;&gt;0,'Measure List'!A$2:A$171),ROW()-26),"")</f>
        <v/>
      </c>
      <c r="B135" s="276"/>
      <c r="C135" s="276"/>
      <c r="D135" s="277" t="str" cm="1">
        <f t="array" ref="D135">IFERROR(INDEX('Measure List'!B:B,'Printable Report'!$A135),"")</f>
        <v/>
      </c>
      <c r="E135" s="278" t="str" cm="1">
        <f t="array" ref="E135">IFERROR(INDEX('Measure List'!C:C,'Printable Report'!$A135),"")</f>
        <v/>
      </c>
      <c r="F135" s="279" t="str" cm="1">
        <f t="array" ref="F135">IFERROR(INDEX('Measure List'!D:D,'Printable Report'!$A135),"")</f>
        <v/>
      </c>
      <c r="G135" s="280" t="str" cm="1">
        <f t="array" ref="G135">IFERROR(INDEX('Measure List'!E:E,'Printable Report'!$A135),"")</f>
        <v/>
      </c>
      <c r="H135" s="299" t="str" cm="1">
        <f t="array" ref="H135">IFERROR(INDEX('Measure List'!F:F,'Printable Report'!$A135),"")</f>
        <v/>
      </c>
      <c r="I135" s="282" t="str" cm="1">
        <f t="array" ref="I135">IFERROR(INDEX('Measure List'!G:G,'Printable Report'!$A135),"")</f>
        <v/>
      </c>
      <c r="J135" s="299" t="str" cm="1">
        <f t="array" ref="J135">IFERROR(INDEX('Measure List'!I:I,'Printable Report'!$A135),"")</f>
        <v/>
      </c>
      <c r="K135" s="299" t="str" cm="1">
        <f t="array" ref="K135">IFERROR(INDEX('Measure List'!J:J,'Printable Report'!$A135),"")</f>
        <v/>
      </c>
      <c r="L135" s="299" t="str" cm="1">
        <f t="array" ref="L135">IFERROR(INDEX('Measure List'!K:K,'Printable Report'!$A135),"")</f>
        <v/>
      </c>
      <c r="M135" s="256"/>
      <c r="O135" s="275"/>
    </row>
    <row r="136" spans="1:21" ht="39.6" customHeight="1" x14ac:dyDescent="0.25">
      <c r="A136" s="298" t="str" cm="1">
        <f t="array" ref="A136">IFERROR(SMALL(IF('Measure List'!G$2:G$171&lt;&gt;0,'Measure List'!A$2:A$171),ROW()-26),"")</f>
        <v/>
      </c>
      <c r="B136" s="276"/>
      <c r="C136" s="276"/>
      <c r="D136" s="277" t="str" cm="1">
        <f t="array" ref="D136">IFERROR(INDEX('Measure List'!B:B,'Printable Report'!$A136),"")</f>
        <v/>
      </c>
      <c r="E136" s="278" t="str" cm="1">
        <f t="array" ref="E136">IFERROR(INDEX('Measure List'!C:C,'Printable Report'!$A136),"")</f>
        <v/>
      </c>
      <c r="F136" s="279" t="str" cm="1">
        <f t="array" ref="F136">IFERROR(INDEX('Measure List'!D:D,'Printable Report'!$A136),"")</f>
        <v/>
      </c>
      <c r="G136" s="280" t="str" cm="1">
        <f t="array" ref="G136">IFERROR(INDEX('Measure List'!E:E,'Printable Report'!$A136),"")</f>
        <v/>
      </c>
      <c r="H136" s="299" t="str" cm="1">
        <f t="array" ref="H136">IFERROR(INDEX('Measure List'!F:F,'Printable Report'!$A136),"")</f>
        <v/>
      </c>
      <c r="I136" s="282" t="str" cm="1">
        <f t="array" ref="I136">IFERROR(INDEX('Measure List'!G:G,'Printable Report'!$A136),"")</f>
        <v/>
      </c>
      <c r="J136" s="299" t="str" cm="1">
        <f t="array" ref="J136">IFERROR(INDEX('Measure List'!I:I,'Printable Report'!$A136),"")</f>
        <v/>
      </c>
      <c r="K136" s="299" t="str" cm="1">
        <f t="array" ref="K136">IFERROR(INDEX('Measure List'!J:J,'Printable Report'!$A136),"")</f>
        <v/>
      </c>
      <c r="L136" s="299" t="str" cm="1">
        <f t="array" ref="L136">IFERROR(INDEX('Measure List'!K:K,'Printable Report'!$A136),"")</f>
        <v/>
      </c>
      <c r="M136" s="256"/>
      <c r="O136" s="275"/>
    </row>
    <row r="137" spans="1:21" ht="39.6" customHeight="1" x14ac:dyDescent="0.25">
      <c r="A137" s="298" t="str" cm="1">
        <f t="array" ref="A137">IFERROR(SMALL(IF('Measure List'!G$2:G$171&lt;&gt;0,'Measure List'!A$2:A$171),ROW()-26),"")</f>
        <v/>
      </c>
      <c r="B137" s="276"/>
      <c r="C137" s="276"/>
      <c r="D137" s="277" t="str" cm="1">
        <f t="array" ref="D137">IFERROR(INDEX('Measure List'!B:B,'Printable Report'!$A137),"")</f>
        <v/>
      </c>
      <c r="E137" s="278" t="str" cm="1">
        <f t="array" ref="E137">IFERROR(INDEX('Measure List'!C:C,'Printable Report'!$A137),"")</f>
        <v/>
      </c>
      <c r="F137" s="279" t="str" cm="1">
        <f t="array" ref="F137">IFERROR(INDEX('Measure List'!D:D,'Printable Report'!$A137),"")</f>
        <v/>
      </c>
      <c r="G137" s="280" t="str" cm="1">
        <f t="array" ref="G137">IFERROR(INDEX('Measure List'!E:E,'Printable Report'!$A137),"")</f>
        <v/>
      </c>
      <c r="H137" s="299" t="str" cm="1">
        <f t="array" ref="H137">IFERROR(INDEX('Measure List'!F:F,'Printable Report'!$A137),"")</f>
        <v/>
      </c>
      <c r="I137" s="282" t="str" cm="1">
        <f t="array" ref="I137">IFERROR(INDEX('Measure List'!G:G,'Printable Report'!$A137),"")</f>
        <v/>
      </c>
      <c r="J137" s="299" t="str" cm="1">
        <f t="array" ref="J137">IFERROR(INDEX('Measure List'!I:I,'Printable Report'!$A137),"")</f>
        <v/>
      </c>
      <c r="K137" s="299" t="str" cm="1">
        <f t="array" ref="K137">IFERROR(INDEX('Measure List'!J:J,'Printable Report'!$A137),"")</f>
        <v/>
      </c>
      <c r="L137" s="299" t="str" cm="1">
        <f t="array" ref="L137">IFERROR(INDEX('Measure List'!K:K,'Printable Report'!$A137),"")</f>
        <v/>
      </c>
      <c r="M137" s="256"/>
      <c r="O137" s="275"/>
    </row>
    <row r="138" spans="1:21" ht="39.6" customHeight="1" x14ac:dyDescent="0.25">
      <c r="A138" s="298" t="str" cm="1">
        <f t="array" ref="A138">IFERROR(SMALL(IF('Measure List'!G$2:G$171&lt;&gt;0,'Measure List'!A$2:A$171),ROW()-26),"")</f>
        <v/>
      </c>
      <c r="B138" s="276"/>
      <c r="C138" s="276"/>
      <c r="D138" s="277" t="str" cm="1">
        <f t="array" ref="D138">IFERROR(INDEX('Measure List'!B:B,'Printable Report'!$A138),"")</f>
        <v/>
      </c>
      <c r="E138" s="278" t="str" cm="1">
        <f t="array" ref="E138">IFERROR(INDEX('Measure List'!C:C,'Printable Report'!$A138),"")</f>
        <v/>
      </c>
      <c r="F138" s="279" t="str" cm="1">
        <f t="array" ref="F138">IFERROR(INDEX('Measure List'!D:D,'Printable Report'!$A138),"")</f>
        <v/>
      </c>
      <c r="G138" s="280" t="str" cm="1">
        <f t="array" ref="G138">IFERROR(INDEX('Measure List'!E:E,'Printable Report'!$A138),"")</f>
        <v/>
      </c>
      <c r="H138" s="299" t="str" cm="1">
        <f t="array" ref="H138">IFERROR(INDEX('Measure List'!F:F,'Printable Report'!$A138),"")</f>
        <v/>
      </c>
      <c r="I138" s="282" t="str" cm="1">
        <f t="array" ref="I138">IFERROR(INDEX('Measure List'!G:G,'Printable Report'!$A138),"")</f>
        <v/>
      </c>
      <c r="J138" s="299" t="str" cm="1">
        <f t="array" ref="J138">IFERROR(INDEX('Measure List'!I:I,'Printable Report'!$A138),"")</f>
        <v/>
      </c>
      <c r="K138" s="299" t="str" cm="1">
        <f t="array" ref="K138">IFERROR(INDEX('Measure List'!J:J,'Printable Report'!$A138),"")</f>
        <v/>
      </c>
      <c r="L138" s="299" t="str" cm="1">
        <f t="array" ref="L138">IFERROR(INDEX('Measure List'!K:K,'Printable Report'!$A138),"")</f>
        <v/>
      </c>
      <c r="M138" s="256"/>
      <c r="O138" s="275"/>
    </row>
    <row r="139" spans="1:21" s="285" customFormat="1" ht="36.6" customHeight="1" x14ac:dyDescent="0.25">
      <c r="A139" s="298" t="str" cm="1">
        <f t="array" ref="A139">IFERROR(SMALL(IF('Measure List'!G$2:G$171&lt;&gt;0,'Measure List'!A$2:A$171),ROW()-26),"")</f>
        <v/>
      </c>
      <c r="B139" s="276"/>
      <c r="C139" s="276"/>
      <c r="D139" s="277" t="str" cm="1">
        <f t="array" ref="D139">IFERROR(INDEX('Measure List'!B:B,'Printable Report'!$A139),"")</f>
        <v/>
      </c>
      <c r="E139" s="278" t="str" cm="1">
        <f t="array" ref="E139">IFERROR(INDEX('Measure List'!C:C,'Printable Report'!$A139),"")</f>
        <v/>
      </c>
      <c r="F139" s="279" t="str" cm="1">
        <f t="array" ref="F139">IFERROR(INDEX('Measure List'!D:D,'Printable Report'!$A139),"")</f>
        <v/>
      </c>
      <c r="G139" s="280" t="str" cm="1">
        <f t="array" ref="G139">IFERROR(INDEX('Measure List'!E:E,'Printable Report'!$A139),"")</f>
        <v/>
      </c>
      <c r="H139" s="299" t="str" cm="1">
        <f t="array" ref="H139">IFERROR(INDEX('Measure List'!F:F,'Printable Report'!$A139),"")</f>
        <v/>
      </c>
      <c r="I139" s="282" t="str" cm="1">
        <f t="array" ref="I139">IFERROR(INDEX('Measure List'!G:G,'Printable Report'!$A139),"")</f>
        <v/>
      </c>
      <c r="J139" s="299" t="str" cm="1">
        <f t="array" ref="J139">IFERROR(INDEX('Measure List'!I:I,'Printable Report'!$A139),"")</f>
        <v/>
      </c>
      <c r="K139" s="299" t="str" cm="1">
        <f t="array" ref="K139">IFERROR(INDEX('Measure List'!J:J,'Printable Report'!$A139),"")</f>
        <v/>
      </c>
      <c r="L139" s="299" t="str" cm="1">
        <f t="array" ref="L139">IFERROR(INDEX('Measure List'!K:K,'Printable Report'!$A139),"")</f>
        <v/>
      </c>
      <c r="M139" s="256"/>
      <c r="O139" s="286"/>
      <c r="P139" s="269"/>
      <c r="Q139" s="269"/>
      <c r="R139" s="269"/>
      <c r="S139" s="269"/>
      <c r="T139" s="269"/>
      <c r="U139" s="269"/>
    </row>
    <row r="140" spans="1:21" s="285" customFormat="1" ht="36.6" customHeight="1" x14ac:dyDescent="0.25">
      <c r="A140" s="298" t="str" cm="1">
        <f t="array" ref="A140">IFERROR(SMALL(IF('Measure List'!G$2:G$171&lt;&gt;0,'Measure List'!A$2:A$171),ROW()-26),"")</f>
        <v/>
      </c>
      <c r="B140" s="276"/>
      <c r="C140" s="276"/>
      <c r="D140" s="277" t="str" cm="1">
        <f t="array" ref="D140">IFERROR(INDEX('Measure List'!B:B,'Printable Report'!$A140),"")</f>
        <v/>
      </c>
      <c r="E140" s="278" t="str" cm="1">
        <f t="array" ref="E140">IFERROR(INDEX('Measure List'!C:C,'Printable Report'!$A140),"")</f>
        <v/>
      </c>
      <c r="F140" s="279" t="str" cm="1">
        <f t="array" ref="F140">IFERROR(INDEX('Measure List'!D:D,'Printable Report'!$A140),"")</f>
        <v/>
      </c>
      <c r="G140" s="280" t="str" cm="1">
        <f t="array" ref="G140">IFERROR(INDEX('Measure List'!E:E,'Printable Report'!$A140),"")</f>
        <v/>
      </c>
      <c r="H140" s="299" t="str" cm="1">
        <f t="array" ref="H140">IFERROR(INDEX('Measure List'!F:F,'Printable Report'!$A140),"")</f>
        <v/>
      </c>
      <c r="I140" s="282" t="str" cm="1">
        <f t="array" ref="I140">IFERROR(INDEX('Measure List'!G:G,'Printable Report'!$A140),"")</f>
        <v/>
      </c>
      <c r="J140" s="299" t="str" cm="1">
        <f t="array" ref="J140">IFERROR(INDEX('Measure List'!I:I,'Printable Report'!$A140),"")</f>
        <v/>
      </c>
      <c r="K140" s="299" t="str" cm="1">
        <f t="array" ref="K140">IFERROR(INDEX('Measure List'!J:J,'Printable Report'!$A140),"")</f>
        <v/>
      </c>
      <c r="L140" s="299" t="str" cm="1">
        <f t="array" ref="L140">IFERROR(INDEX('Measure List'!K:K,'Printable Report'!$A140),"")</f>
        <v/>
      </c>
      <c r="M140" s="256"/>
      <c r="O140" s="286"/>
      <c r="P140" s="269"/>
      <c r="Q140" s="269"/>
      <c r="R140" s="269"/>
      <c r="S140" s="269"/>
      <c r="T140" s="269"/>
      <c r="U140" s="269"/>
    </row>
    <row r="141" spans="1:21" s="285" customFormat="1" ht="36.6" customHeight="1" x14ac:dyDescent="0.25">
      <c r="A141" s="298" t="str" cm="1">
        <f t="array" ref="A141">IFERROR(SMALL(IF('Measure List'!G$2:G$171&lt;&gt;0,'Measure List'!A$2:A$171),ROW()-26),"")</f>
        <v/>
      </c>
      <c r="B141" s="276"/>
      <c r="C141" s="276"/>
      <c r="D141" s="277" t="str" cm="1">
        <f t="array" ref="D141">IFERROR(INDEX('Measure List'!B:B,'Printable Report'!$A141),"")</f>
        <v/>
      </c>
      <c r="E141" s="278" t="str" cm="1">
        <f t="array" ref="E141">IFERROR(INDEX('Measure List'!C:C,'Printable Report'!$A141),"")</f>
        <v/>
      </c>
      <c r="F141" s="279" t="str" cm="1">
        <f t="array" ref="F141">IFERROR(INDEX('Measure List'!D:D,'Printable Report'!$A141),"")</f>
        <v/>
      </c>
      <c r="G141" s="280" t="str" cm="1">
        <f t="array" ref="G141">IFERROR(INDEX('Measure List'!E:E,'Printable Report'!$A141),"")</f>
        <v/>
      </c>
      <c r="H141" s="299" t="str" cm="1">
        <f t="array" ref="H141">IFERROR(INDEX('Measure List'!F:F,'Printable Report'!$A141),"")</f>
        <v/>
      </c>
      <c r="I141" s="282" t="str" cm="1">
        <f t="array" ref="I141">IFERROR(INDEX('Measure List'!G:G,'Printable Report'!$A141),"")</f>
        <v/>
      </c>
      <c r="J141" s="299" t="str" cm="1">
        <f t="array" ref="J141">IFERROR(INDEX('Measure List'!I:I,'Printable Report'!$A141),"")</f>
        <v/>
      </c>
      <c r="K141" s="299" t="str" cm="1">
        <f t="array" ref="K141">IFERROR(INDEX('Measure List'!J:J,'Printable Report'!$A141),"")</f>
        <v/>
      </c>
      <c r="L141" s="299" t="str" cm="1">
        <f t="array" ref="L141">IFERROR(INDEX('Measure List'!K:K,'Printable Report'!$A141),"")</f>
        <v/>
      </c>
      <c r="M141" s="256"/>
      <c r="O141" s="286"/>
      <c r="P141" s="269"/>
      <c r="Q141" s="269"/>
      <c r="R141" s="269"/>
      <c r="S141" s="269"/>
      <c r="T141" s="269"/>
      <c r="U141" s="269"/>
    </row>
    <row r="142" spans="1:21" s="285" customFormat="1" ht="36.6" customHeight="1" x14ac:dyDescent="0.25">
      <c r="A142" s="298" t="str" cm="1">
        <f t="array" ref="A142">IFERROR(SMALL(IF('Measure List'!G$2:G$171&lt;&gt;0,'Measure List'!A$2:A$171),ROW()-26),"")</f>
        <v/>
      </c>
      <c r="B142" s="276"/>
      <c r="C142" s="276"/>
      <c r="D142" s="277" t="str" cm="1">
        <f t="array" ref="D142">IFERROR(INDEX('Measure List'!B:B,'Printable Report'!$A142),"")</f>
        <v/>
      </c>
      <c r="E142" s="278" t="str" cm="1">
        <f t="array" ref="E142">IFERROR(INDEX('Measure List'!C:C,'Printable Report'!$A142),"")</f>
        <v/>
      </c>
      <c r="F142" s="279" t="str" cm="1">
        <f t="array" ref="F142">IFERROR(INDEX('Measure List'!D:D,'Printable Report'!$A142),"")</f>
        <v/>
      </c>
      <c r="G142" s="280" t="str" cm="1">
        <f t="array" ref="G142">IFERROR(INDEX('Measure List'!E:E,'Printable Report'!$A142),"")</f>
        <v/>
      </c>
      <c r="H142" s="299" t="str" cm="1">
        <f t="array" ref="H142">IFERROR(INDEX('Measure List'!F:F,'Printable Report'!$A142),"")</f>
        <v/>
      </c>
      <c r="I142" s="282" t="str" cm="1">
        <f t="array" ref="I142">IFERROR(INDEX('Measure List'!G:G,'Printable Report'!$A142),"")</f>
        <v/>
      </c>
      <c r="J142" s="299" t="str" cm="1">
        <f t="array" ref="J142">IFERROR(INDEX('Measure List'!I:I,'Printable Report'!$A142),"")</f>
        <v/>
      </c>
      <c r="K142" s="299" t="str" cm="1">
        <f t="array" ref="K142">IFERROR(INDEX('Measure List'!J:J,'Printable Report'!$A142),"")</f>
        <v/>
      </c>
      <c r="L142" s="299" t="str" cm="1">
        <f t="array" ref="L142">IFERROR(INDEX('Measure List'!K:K,'Printable Report'!$A142),"")</f>
        <v/>
      </c>
      <c r="M142" s="256"/>
      <c r="O142" s="286"/>
      <c r="P142" s="269"/>
      <c r="Q142" s="269"/>
      <c r="R142" s="269"/>
      <c r="S142" s="269"/>
      <c r="T142" s="269"/>
      <c r="U142" s="269"/>
    </row>
    <row r="143" spans="1:21" s="285" customFormat="1" ht="36.6" customHeight="1" x14ac:dyDescent="0.25">
      <c r="A143" s="298" t="str" cm="1">
        <f t="array" ref="A143">IFERROR(SMALL(IF('Measure List'!G$2:G$171&lt;&gt;0,'Measure List'!A$2:A$171),ROW()-26),"")</f>
        <v/>
      </c>
      <c r="B143" s="276"/>
      <c r="C143" s="276"/>
      <c r="D143" s="277" t="str" cm="1">
        <f t="array" ref="D143">IFERROR(INDEX('Measure List'!B:B,'Printable Report'!$A143),"")</f>
        <v/>
      </c>
      <c r="E143" s="278" t="str" cm="1">
        <f t="array" ref="E143">IFERROR(INDEX('Measure List'!C:C,'Printable Report'!$A143),"")</f>
        <v/>
      </c>
      <c r="F143" s="279" t="str" cm="1">
        <f t="array" ref="F143">IFERROR(INDEX('Measure List'!D:D,'Printable Report'!$A143),"")</f>
        <v/>
      </c>
      <c r="G143" s="280" t="str" cm="1">
        <f t="array" ref="G143">IFERROR(INDEX('Measure List'!E:E,'Printable Report'!$A143),"")</f>
        <v/>
      </c>
      <c r="H143" s="299" t="str" cm="1">
        <f t="array" ref="H143">IFERROR(INDEX('Measure List'!F:F,'Printable Report'!$A143),"")</f>
        <v/>
      </c>
      <c r="I143" s="282" t="str" cm="1">
        <f t="array" ref="I143">IFERROR(INDEX('Measure List'!G:G,'Printable Report'!$A143),"")</f>
        <v/>
      </c>
      <c r="J143" s="299" t="str" cm="1">
        <f t="array" ref="J143">IFERROR(INDEX('Measure List'!I:I,'Printable Report'!$A143),"")</f>
        <v/>
      </c>
      <c r="K143" s="299" t="str" cm="1">
        <f t="array" ref="K143">IFERROR(INDEX('Measure List'!J:J,'Printable Report'!$A143),"")</f>
        <v/>
      </c>
      <c r="L143" s="299" t="str" cm="1">
        <f t="array" ref="L143">IFERROR(INDEX('Measure List'!K:K,'Printable Report'!$A143),"")</f>
        <v/>
      </c>
      <c r="M143" s="256"/>
      <c r="O143" s="286"/>
      <c r="P143" s="269"/>
      <c r="Q143" s="269"/>
      <c r="R143" s="269"/>
      <c r="S143" s="269"/>
      <c r="T143" s="269"/>
      <c r="U143" s="269"/>
    </row>
    <row r="144" spans="1:21" s="285" customFormat="1" ht="36.6" customHeight="1" x14ac:dyDescent="0.25">
      <c r="A144" s="298" t="str" cm="1">
        <f t="array" ref="A144">IFERROR(SMALL(IF('Measure List'!G$2:G$171&lt;&gt;0,'Measure List'!A$2:A$171),ROW()-26),"")</f>
        <v/>
      </c>
      <c r="B144" s="276"/>
      <c r="C144" s="276"/>
      <c r="D144" s="277" t="str" cm="1">
        <f t="array" ref="D144">IFERROR(INDEX('Measure List'!B:B,'Printable Report'!$A144),"")</f>
        <v/>
      </c>
      <c r="E144" s="278" t="str" cm="1">
        <f t="array" ref="E144">IFERROR(INDEX('Measure List'!C:C,'Printable Report'!$A144),"")</f>
        <v/>
      </c>
      <c r="F144" s="279" t="str" cm="1">
        <f t="array" ref="F144">IFERROR(INDEX('Measure List'!D:D,'Printable Report'!$A144),"")</f>
        <v/>
      </c>
      <c r="G144" s="280" t="str" cm="1">
        <f t="array" ref="G144">IFERROR(INDEX('Measure List'!E:E,'Printable Report'!$A144),"")</f>
        <v/>
      </c>
      <c r="H144" s="299" t="str" cm="1">
        <f t="array" ref="H144">IFERROR(INDEX('Measure List'!F:F,'Printable Report'!$A144),"")</f>
        <v/>
      </c>
      <c r="I144" s="282" t="str" cm="1">
        <f t="array" ref="I144">IFERROR(INDEX('Measure List'!G:G,'Printable Report'!$A144),"")</f>
        <v/>
      </c>
      <c r="J144" s="299" t="str" cm="1">
        <f t="array" ref="J144">IFERROR(INDEX('Measure List'!I:I,'Printable Report'!$A144),"")</f>
        <v/>
      </c>
      <c r="K144" s="299" t="str" cm="1">
        <f t="array" ref="K144">IFERROR(INDEX('Measure List'!J:J,'Printable Report'!$A144),"")</f>
        <v/>
      </c>
      <c r="L144" s="299" t="str" cm="1">
        <f t="array" ref="L144">IFERROR(INDEX('Measure List'!K:K,'Printable Report'!$A144),"")</f>
        <v/>
      </c>
      <c r="M144" s="256"/>
      <c r="O144" s="286"/>
      <c r="P144" s="269"/>
      <c r="Q144" s="269"/>
      <c r="R144" s="269"/>
      <c r="S144" s="269"/>
      <c r="T144" s="269"/>
      <c r="U144" s="269"/>
    </row>
    <row r="145" spans="1:21" s="285" customFormat="1" ht="36.6" customHeight="1" x14ac:dyDescent="0.25">
      <c r="A145" s="298" t="str" cm="1">
        <f t="array" ref="A145">IFERROR(SMALL(IF('Measure List'!G$2:G$171&lt;&gt;0,'Measure List'!A$2:A$171),ROW()-26),"")</f>
        <v/>
      </c>
      <c r="B145" s="276"/>
      <c r="C145" s="276"/>
      <c r="D145" s="277" t="str" cm="1">
        <f t="array" ref="D145">IFERROR(INDEX('Measure List'!B:B,'Printable Report'!$A145),"")</f>
        <v/>
      </c>
      <c r="E145" s="278" t="str" cm="1">
        <f t="array" ref="E145">IFERROR(INDEX('Measure List'!C:C,'Printable Report'!$A145),"")</f>
        <v/>
      </c>
      <c r="F145" s="279" t="str" cm="1">
        <f t="array" ref="F145">IFERROR(INDEX('Measure List'!D:D,'Printable Report'!$A145),"")</f>
        <v/>
      </c>
      <c r="G145" s="280" t="str" cm="1">
        <f t="array" ref="G145">IFERROR(INDEX('Measure List'!E:E,'Printable Report'!$A145),"")</f>
        <v/>
      </c>
      <c r="H145" s="299" t="str" cm="1">
        <f t="array" ref="H145">IFERROR(INDEX('Measure List'!F:F,'Printable Report'!$A145),"")</f>
        <v/>
      </c>
      <c r="I145" s="282" t="str" cm="1">
        <f t="array" ref="I145">IFERROR(INDEX('Measure List'!G:G,'Printable Report'!$A145),"")</f>
        <v/>
      </c>
      <c r="J145" s="299" t="str" cm="1">
        <f t="array" ref="J145">IFERROR(INDEX('Measure List'!I:I,'Printable Report'!$A145),"")</f>
        <v/>
      </c>
      <c r="K145" s="299" t="str" cm="1">
        <f t="array" ref="K145">IFERROR(INDEX('Measure List'!J:J,'Printable Report'!$A145),"")</f>
        <v/>
      </c>
      <c r="L145" s="299" t="str" cm="1">
        <f t="array" ref="L145">IFERROR(INDEX('Measure List'!K:K,'Printable Report'!$A145),"")</f>
        <v/>
      </c>
      <c r="M145" s="256"/>
      <c r="O145" s="286"/>
      <c r="P145" s="269"/>
      <c r="Q145" s="269"/>
      <c r="R145" s="269"/>
      <c r="S145" s="269"/>
      <c r="T145" s="269"/>
      <c r="U145" s="269"/>
    </row>
    <row r="146" spans="1:21" s="285" customFormat="1" ht="36.6" customHeight="1" x14ac:dyDescent="0.25">
      <c r="A146" s="298" t="str" cm="1">
        <f t="array" ref="A146">IFERROR(SMALL(IF('Measure List'!G$2:G$171&lt;&gt;0,'Measure List'!A$2:A$171),ROW()-26),"")</f>
        <v/>
      </c>
      <c r="B146" s="276"/>
      <c r="C146" s="276"/>
      <c r="D146" s="277" t="str" cm="1">
        <f t="array" ref="D146">IFERROR(INDEX('Measure List'!B:B,'Printable Report'!$A146),"")</f>
        <v/>
      </c>
      <c r="E146" s="278" t="str" cm="1">
        <f t="array" ref="E146">IFERROR(INDEX('Measure List'!C:C,'Printable Report'!$A146),"")</f>
        <v/>
      </c>
      <c r="F146" s="279" t="str" cm="1">
        <f t="array" ref="F146">IFERROR(INDEX('Measure List'!D:D,'Printable Report'!$A146),"")</f>
        <v/>
      </c>
      <c r="G146" s="280" t="str" cm="1">
        <f t="array" ref="G146">IFERROR(INDEX('Measure List'!E:E,'Printable Report'!$A146),"")</f>
        <v/>
      </c>
      <c r="H146" s="299" t="str" cm="1">
        <f t="array" ref="H146">IFERROR(INDEX('Measure List'!F:F,'Printable Report'!$A146),"")</f>
        <v/>
      </c>
      <c r="I146" s="282" t="str" cm="1">
        <f t="array" ref="I146">IFERROR(INDEX('Measure List'!G:G,'Printable Report'!$A146),"")</f>
        <v/>
      </c>
      <c r="J146" s="299" t="str" cm="1">
        <f t="array" ref="J146">IFERROR(INDEX('Measure List'!I:I,'Printable Report'!$A146),"")</f>
        <v/>
      </c>
      <c r="K146" s="299" t="str" cm="1">
        <f t="array" ref="K146">IFERROR(INDEX('Measure List'!J:J,'Printable Report'!$A146),"")</f>
        <v/>
      </c>
      <c r="L146" s="299" t="str" cm="1">
        <f t="array" ref="L146">IFERROR(INDEX('Measure List'!K:K,'Printable Report'!$A146),"")</f>
        <v/>
      </c>
      <c r="M146" s="256"/>
      <c r="O146" s="286"/>
      <c r="P146" s="269"/>
      <c r="Q146" s="269"/>
      <c r="R146" s="269"/>
      <c r="T146" s="269"/>
      <c r="U146" s="269"/>
    </row>
    <row r="147" spans="1:21" s="285" customFormat="1" ht="36.6" customHeight="1" x14ac:dyDescent="0.25">
      <c r="A147" s="298" t="str" cm="1">
        <f t="array" ref="A147">IFERROR(SMALL(IF('Measure List'!G$2:G$171&lt;&gt;0,'Measure List'!A$2:A$171),ROW()-26),"")</f>
        <v/>
      </c>
      <c r="B147" s="276"/>
      <c r="C147" s="276"/>
      <c r="D147" s="277" t="str" cm="1">
        <f t="array" ref="D147">IFERROR(INDEX('Measure List'!B:B,'Printable Report'!$A147),"")</f>
        <v/>
      </c>
      <c r="E147" s="278" t="str" cm="1">
        <f t="array" ref="E147">IFERROR(INDEX('Measure List'!C:C,'Printable Report'!$A147),"")</f>
        <v/>
      </c>
      <c r="F147" s="279" t="str" cm="1">
        <f t="array" ref="F147">IFERROR(INDEX('Measure List'!D:D,'Printable Report'!$A147),"")</f>
        <v/>
      </c>
      <c r="G147" s="280" t="str" cm="1">
        <f t="array" ref="G147">IFERROR(INDEX('Measure List'!E:E,'Printable Report'!$A147),"")</f>
        <v/>
      </c>
      <c r="H147" s="299" t="str" cm="1">
        <f t="array" ref="H147">IFERROR(INDEX('Measure List'!F:F,'Printable Report'!$A147),"")</f>
        <v/>
      </c>
      <c r="I147" s="282" t="str" cm="1">
        <f t="array" ref="I147">IFERROR(INDEX('Measure List'!G:G,'Printable Report'!$A147),"")</f>
        <v/>
      </c>
      <c r="J147" s="299" t="str" cm="1">
        <f t="array" ref="J147">IFERROR(INDEX('Measure List'!I:I,'Printable Report'!$A147),"")</f>
        <v/>
      </c>
      <c r="K147" s="299" t="str" cm="1">
        <f t="array" ref="K147">IFERROR(INDEX('Measure List'!J:J,'Printable Report'!$A147),"")</f>
        <v/>
      </c>
      <c r="L147" s="299" t="str" cm="1">
        <f t="array" ref="L147">IFERROR(INDEX('Measure List'!K:K,'Printable Report'!$A147),"")</f>
        <v/>
      </c>
      <c r="M147" s="256"/>
      <c r="O147" s="286"/>
      <c r="P147" s="269"/>
      <c r="Q147" s="269"/>
      <c r="R147" s="269"/>
      <c r="T147" s="269"/>
      <c r="U147" s="269"/>
    </row>
    <row r="148" spans="1:21" s="285" customFormat="1" ht="36.6" customHeight="1" x14ac:dyDescent="0.25">
      <c r="A148" s="298" t="str" cm="1">
        <f t="array" ref="A148">IFERROR(SMALL(IF('Measure List'!G$2:G$171&lt;&gt;0,'Measure List'!A$2:A$171),ROW()-26),"")</f>
        <v/>
      </c>
      <c r="B148" s="276"/>
      <c r="C148" s="276"/>
      <c r="D148" s="277" t="str" cm="1">
        <f t="array" ref="D148">IFERROR(INDEX('Measure List'!B:B,'Printable Report'!$A148),"")</f>
        <v/>
      </c>
      <c r="E148" s="278" t="str" cm="1">
        <f t="array" ref="E148">IFERROR(INDEX('Measure List'!C:C,'Printable Report'!$A148),"")</f>
        <v/>
      </c>
      <c r="F148" s="279" t="str" cm="1">
        <f t="array" ref="F148">IFERROR(INDEX('Measure List'!D:D,'Printable Report'!$A148),"")</f>
        <v/>
      </c>
      <c r="G148" s="280" t="str" cm="1">
        <f t="array" ref="G148">IFERROR(INDEX('Measure List'!E:E,'Printable Report'!$A148),"")</f>
        <v/>
      </c>
      <c r="H148" s="299" t="str" cm="1">
        <f t="array" ref="H148">IFERROR(INDEX('Measure List'!F:F,'Printable Report'!$A148),"")</f>
        <v/>
      </c>
      <c r="I148" s="282" t="str" cm="1">
        <f t="array" ref="I148">IFERROR(INDEX('Measure List'!G:G,'Printable Report'!$A148),"")</f>
        <v/>
      </c>
      <c r="J148" s="299" t="str" cm="1">
        <f t="array" ref="J148">IFERROR(INDEX('Measure List'!I:I,'Printable Report'!$A148),"")</f>
        <v/>
      </c>
      <c r="K148" s="299" t="str" cm="1">
        <f t="array" ref="K148">IFERROR(INDEX('Measure List'!J:J,'Printable Report'!$A148),"")</f>
        <v/>
      </c>
      <c r="L148" s="299" t="str" cm="1">
        <f t="array" ref="L148">IFERROR(INDEX('Measure List'!K:K,'Printable Report'!$A148),"")</f>
        <v/>
      </c>
      <c r="M148" s="256"/>
      <c r="O148" s="286"/>
      <c r="P148" s="269"/>
      <c r="Q148" s="269"/>
      <c r="R148" s="269"/>
      <c r="T148" s="269"/>
      <c r="U148" s="269"/>
    </row>
    <row r="149" spans="1:21" s="285" customFormat="1" ht="36.6" customHeight="1" x14ac:dyDescent="0.25">
      <c r="A149" s="298" t="str" cm="1">
        <f t="array" ref="A149">IFERROR(SMALL(IF('Measure List'!G$2:G$171&lt;&gt;0,'Measure List'!A$2:A$171),ROW()-26),"")</f>
        <v/>
      </c>
      <c r="B149" s="276"/>
      <c r="C149" s="276"/>
      <c r="D149" s="277" t="str" cm="1">
        <f t="array" ref="D149">IFERROR(INDEX('Measure List'!B:B,'Printable Report'!$A149),"")</f>
        <v/>
      </c>
      <c r="E149" s="278" t="str" cm="1">
        <f t="array" ref="E149">IFERROR(INDEX('Measure List'!C:C,'Printable Report'!$A149),"")</f>
        <v/>
      </c>
      <c r="F149" s="279" t="str" cm="1">
        <f t="array" ref="F149">IFERROR(INDEX('Measure List'!D:D,'Printable Report'!$A149),"")</f>
        <v/>
      </c>
      <c r="G149" s="280" t="str" cm="1">
        <f t="array" ref="G149">IFERROR(INDEX('Measure List'!E:E,'Printable Report'!$A149),"")</f>
        <v/>
      </c>
      <c r="H149" s="299" t="str" cm="1">
        <f t="array" ref="H149">IFERROR(INDEX('Measure List'!F:F,'Printable Report'!$A149),"")</f>
        <v/>
      </c>
      <c r="I149" s="282" t="str" cm="1">
        <f t="array" ref="I149">IFERROR(INDEX('Measure List'!G:G,'Printable Report'!$A149),"")</f>
        <v/>
      </c>
      <c r="J149" s="299" t="str" cm="1">
        <f t="array" ref="J149">IFERROR(INDEX('Measure List'!I:I,'Printable Report'!$A149),"")</f>
        <v/>
      </c>
      <c r="K149" s="299" t="str" cm="1">
        <f t="array" ref="K149">IFERROR(INDEX('Measure List'!J:J,'Printable Report'!$A149),"")</f>
        <v/>
      </c>
      <c r="L149" s="299" t="str" cm="1">
        <f t="array" ref="L149">IFERROR(INDEX('Measure List'!K:K,'Printable Report'!$A149),"")</f>
        <v/>
      </c>
      <c r="M149" s="256"/>
      <c r="O149" s="286"/>
      <c r="P149" s="269"/>
      <c r="Q149" s="269"/>
      <c r="R149" s="269"/>
      <c r="T149" s="269"/>
      <c r="U149" s="269"/>
    </row>
    <row r="150" spans="1:21" s="285" customFormat="1" ht="36.6" customHeight="1" x14ac:dyDescent="0.25">
      <c r="A150" s="298" t="str" cm="1">
        <f t="array" ref="A150">IFERROR(SMALL(IF('Measure List'!G$2:G$171&lt;&gt;0,'Measure List'!A$2:A$171),ROW()-26),"")</f>
        <v/>
      </c>
      <c r="B150" s="276"/>
      <c r="C150" s="276"/>
      <c r="D150" s="277" t="str" cm="1">
        <f t="array" ref="D150">IFERROR(INDEX('Measure List'!B:B,'Printable Report'!$A150),"")</f>
        <v/>
      </c>
      <c r="E150" s="278" t="str" cm="1">
        <f t="array" ref="E150">IFERROR(INDEX('Measure List'!C:C,'Printable Report'!$A150),"")</f>
        <v/>
      </c>
      <c r="F150" s="279" t="str" cm="1">
        <f t="array" ref="F150">IFERROR(INDEX('Measure List'!D:D,'Printable Report'!$A150),"")</f>
        <v/>
      </c>
      <c r="G150" s="280" t="str" cm="1">
        <f t="array" ref="G150">IFERROR(INDEX('Measure List'!E:E,'Printable Report'!$A150),"")</f>
        <v/>
      </c>
      <c r="H150" s="299" t="str" cm="1">
        <f t="array" ref="H150">IFERROR(INDEX('Measure List'!F:F,'Printable Report'!$A150),"")</f>
        <v/>
      </c>
      <c r="I150" s="282" t="str" cm="1">
        <f t="array" ref="I150">IFERROR(INDEX('Measure List'!G:G,'Printable Report'!$A150),"")</f>
        <v/>
      </c>
      <c r="J150" s="299" t="str" cm="1">
        <f t="array" ref="J150">IFERROR(INDEX('Measure List'!I:I,'Printable Report'!$A150),"")</f>
        <v/>
      </c>
      <c r="K150" s="299" t="str" cm="1">
        <f t="array" ref="K150">IFERROR(INDEX('Measure List'!J:J,'Printable Report'!$A150),"")</f>
        <v/>
      </c>
      <c r="L150" s="299" t="str" cm="1">
        <f t="array" ref="L150">IFERROR(INDEX('Measure List'!K:K,'Printable Report'!$A150),"")</f>
        <v/>
      </c>
      <c r="M150" s="256"/>
      <c r="O150" s="286"/>
      <c r="P150" s="269"/>
      <c r="Q150" s="269"/>
      <c r="R150" s="269"/>
      <c r="T150" s="269"/>
      <c r="U150" s="269"/>
    </row>
    <row r="151" spans="1:21" s="285" customFormat="1" ht="36.6" customHeight="1" x14ac:dyDescent="0.25">
      <c r="A151" s="298" t="str" cm="1">
        <f t="array" ref="A151">IFERROR(SMALL(IF('Measure List'!G$2:G$171&lt;&gt;0,'Measure List'!A$2:A$171),ROW()-26),"")</f>
        <v/>
      </c>
      <c r="B151" s="276"/>
      <c r="C151" s="276"/>
      <c r="D151" s="277" t="str" cm="1">
        <f t="array" ref="D151">IFERROR(INDEX('Measure List'!B:B,'Printable Report'!$A151),"")</f>
        <v/>
      </c>
      <c r="E151" s="278" t="str" cm="1">
        <f t="array" ref="E151">IFERROR(INDEX('Measure List'!C:C,'Printable Report'!$A151),"")</f>
        <v/>
      </c>
      <c r="F151" s="279" t="str" cm="1">
        <f t="array" ref="F151">IFERROR(INDEX('Measure List'!D:D,'Printable Report'!$A151),"")</f>
        <v/>
      </c>
      <c r="G151" s="280" t="str" cm="1">
        <f t="array" ref="G151">IFERROR(INDEX('Measure List'!E:E,'Printable Report'!$A151),"")</f>
        <v/>
      </c>
      <c r="H151" s="299" t="str" cm="1">
        <f t="array" ref="H151">IFERROR(INDEX('Measure List'!F:F,'Printable Report'!$A151),"")</f>
        <v/>
      </c>
      <c r="I151" s="282" t="str" cm="1">
        <f t="array" ref="I151">IFERROR(INDEX('Measure List'!G:G,'Printable Report'!$A151),"")</f>
        <v/>
      </c>
      <c r="J151" s="299" t="str" cm="1">
        <f t="array" ref="J151">IFERROR(INDEX('Measure List'!I:I,'Printable Report'!$A151),"")</f>
        <v/>
      </c>
      <c r="K151" s="299" t="str" cm="1">
        <f t="array" ref="K151">IFERROR(INDEX('Measure List'!J:J,'Printable Report'!$A151),"")</f>
        <v/>
      </c>
      <c r="L151" s="299" t="str" cm="1">
        <f t="array" ref="L151">IFERROR(INDEX('Measure List'!K:K,'Printable Report'!$A151),"")</f>
        <v/>
      </c>
      <c r="M151" s="256"/>
      <c r="O151" s="286"/>
      <c r="P151" s="269"/>
      <c r="Q151" s="269"/>
      <c r="R151" s="269"/>
      <c r="T151" s="269"/>
      <c r="U151" s="269"/>
    </row>
    <row r="152" spans="1:21" s="285" customFormat="1" ht="36.6" customHeight="1" x14ac:dyDescent="0.25">
      <c r="A152" s="298" t="str" cm="1">
        <f t="array" ref="A152">IFERROR(SMALL(IF('Measure List'!G$2:G$171&lt;&gt;0,'Measure List'!A$2:A$171),ROW()-26),"")</f>
        <v/>
      </c>
      <c r="B152" s="276"/>
      <c r="C152" s="276"/>
      <c r="D152" s="277" t="str" cm="1">
        <f t="array" ref="D152">IFERROR(INDEX('Measure List'!B:B,'Printable Report'!$A152),"")</f>
        <v/>
      </c>
      <c r="E152" s="278" t="str" cm="1">
        <f t="array" ref="E152">IFERROR(INDEX('Measure List'!C:C,'Printable Report'!$A152),"")</f>
        <v/>
      </c>
      <c r="F152" s="279" t="str" cm="1">
        <f t="array" ref="F152">IFERROR(INDEX('Measure List'!D:D,'Printable Report'!$A152),"")</f>
        <v/>
      </c>
      <c r="G152" s="280" t="str" cm="1">
        <f t="array" ref="G152">IFERROR(INDEX('Measure List'!E:E,'Printable Report'!$A152),"")</f>
        <v/>
      </c>
      <c r="H152" s="299" t="str" cm="1">
        <f t="array" ref="H152">IFERROR(INDEX('Measure List'!F:F,'Printable Report'!$A152),"")</f>
        <v/>
      </c>
      <c r="I152" s="282" t="str" cm="1">
        <f t="array" ref="I152">IFERROR(INDEX('Measure List'!G:G,'Printable Report'!$A152),"")</f>
        <v/>
      </c>
      <c r="J152" s="299" t="str" cm="1">
        <f t="array" ref="J152">IFERROR(INDEX('Measure List'!I:I,'Printable Report'!$A152),"")</f>
        <v/>
      </c>
      <c r="K152" s="299" t="str" cm="1">
        <f t="array" ref="K152">IFERROR(INDEX('Measure List'!J:J,'Printable Report'!$A152),"")</f>
        <v/>
      </c>
      <c r="L152" s="299" t="str" cm="1">
        <f t="array" ref="L152">IFERROR(INDEX('Measure List'!K:K,'Printable Report'!$A152),"")</f>
        <v/>
      </c>
      <c r="M152" s="256"/>
      <c r="O152" s="286"/>
      <c r="P152" s="269"/>
      <c r="Q152" s="269"/>
      <c r="R152" s="269"/>
      <c r="T152" s="269"/>
      <c r="U152" s="269"/>
    </row>
    <row r="153" spans="1:21" s="285" customFormat="1" ht="36.6" customHeight="1" x14ac:dyDescent="0.25">
      <c r="A153" s="298" t="str" cm="1">
        <f t="array" ref="A153">IFERROR(SMALL(IF('Measure List'!G$2:G$171&lt;&gt;0,'Measure List'!A$2:A$171),ROW()-26),"")</f>
        <v/>
      </c>
      <c r="B153" s="276"/>
      <c r="C153" s="276"/>
      <c r="D153" s="277" t="str" cm="1">
        <f t="array" ref="D153">IFERROR(INDEX('Measure List'!B:B,'Printable Report'!$A153),"")</f>
        <v/>
      </c>
      <c r="E153" s="278" t="str" cm="1">
        <f t="array" ref="E153">IFERROR(INDEX('Measure List'!C:C,'Printable Report'!$A153),"")</f>
        <v/>
      </c>
      <c r="F153" s="279" t="str" cm="1">
        <f t="array" ref="F153">IFERROR(INDEX('Measure List'!D:D,'Printable Report'!$A153),"")</f>
        <v/>
      </c>
      <c r="G153" s="280" t="str" cm="1">
        <f t="array" ref="G153">IFERROR(INDEX('Measure List'!E:E,'Printable Report'!$A153),"")</f>
        <v/>
      </c>
      <c r="H153" s="299" t="str" cm="1">
        <f t="array" ref="H153">IFERROR(INDEX('Measure List'!F:F,'Printable Report'!$A153),"")</f>
        <v/>
      </c>
      <c r="I153" s="282" t="str" cm="1">
        <f t="array" ref="I153">IFERROR(INDEX('Measure List'!G:G,'Printable Report'!$A153),"")</f>
        <v/>
      </c>
      <c r="J153" s="299" t="str" cm="1">
        <f t="array" ref="J153">IFERROR(INDEX('Measure List'!I:I,'Printable Report'!$A153),"")</f>
        <v/>
      </c>
      <c r="K153" s="299" t="str" cm="1">
        <f t="array" ref="K153">IFERROR(INDEX('Measure List'!J:J,'Printable Report'!$A153),"")</f>
        <v/>
      </c>
      <c r="L153" s="299" t="str" cm="1">
        <f t="array" ref="L153">IFERROR(INDEX('Measure List'!K:K,'Printable Report'!$A153),"")</f>
        <v/>
      </c>
      <c r="M153" s="256"/>
      <c r="O153" s="286"/>
      <c r="P153" s="269"/>
      <c r="Q153" s="269"/>
      <c r="R153" s="269"/>
      <c r="T153" s="269"/>
      <c r="U153" s="269"/>
    </row>
    <row r="154" spans="1:21" s="285" customFormat="1" ht="36.6" customHeight="1" x14ac:dyDescent="0.25">
      <c r="A154" s="298" t="str" cm="1">
        <f t="array" ref="A154">IFERROR(SMALL(IF('Measure List'!G$2:G$171&lt;&gt;0,'Measure List'!A$2:A$171),ROW()-26),"")</f>
        <v/>
      </c>
      <c r="B154" s="276"/>
      <c r="C154" s="276"/>
      <c r="D154" s="277" t="str" cm="1">
        <f t="array" ref="D154">IFERROR(INDEX('Measure List'!B:B,'Printable Report'!$A154),"")</f>
        <v/>
      </c>
      <c r="E154" s="278" t="str" cm="1">
        <f t="array" ref="E154">IFERROR(INDEX('Measure List'!C:C,'Printable Report'!$A154),"")</f>
        <v/>
      </c>
      <c r="F154" s="279" t="str" cm="1">
        <f t="array" ref="F154">IFERROR(INDEX('Measure List'!D:D,'Printable Report'!$A154),"")</f>
        <v/>
      </c>
      <c r="G154" s="280" t="str" cm="1">
        <f t="array" ref="G154">IFERROR(INDEX('Measure List'!E:E,'Printable Report'!$A154),"")</f>
        <v/>
      </c>
      <c r="H154" s="299" t="str" cm="1">
        <f t="array" ref="H154">IFERROR(INDEX('Measure List'!F:F,'Printable Report'!$A154),"")</f>
        <v/>
      </c>
      <c r="I154" s="282" t="str" cm="1">
        <f t="array" ref="I154">IFERROR(INDEX('Measure List'!G:G,'Printable Report'!$A154),"")</f>
        <v/>
      </c>
      <c r="J154" s="299" t="str" cm="1">
        <f t="array" ref="J154">IFERROR(INDEX('Measure List'!I:I,'Printable Report'!$A154),"")</f>
        <v/>
      </c>
      <c r="K154" s="299" t="str" cm="1">
        <f t="array" ref="K154">IFERROR(INDEX('Measure List'!J:J,'Printable Report'!$A154),"")</f>
        <v/>
      </c>
      <c r="L154" s="299" t="str" cm="1">
        <f t="array" ref="L154">IFERROR(INDEX('Measure List'!K:K,'Printable Report'!$A154),"")</f>
        <v/>
      </c>
      <c r="M154" s="256"/>
      <c r="O154" s="286"/>
      <c r="P154" s="269"/>
      <c r="Q154" s="269"/>
      <c r="R154" s="269"/>
      <c r="T154" s="269"/>
      <c r="U154" s="269"/>
    </row>
    <row r="155" spans="1:21" s="285" customFormat="1" ht="36.6" customHeight="1" x14ac:dyDescent="0.25">
      <c r="A155" s="298" t="str" cm="1">
        <f t="array" ref="A155">IFERROR(SMALL(IF('Measure List'!G$2:G$171&lt;&gt;0,'Measure List'!A$2:A$171),ROW()-26),"")</f>
        <v/>
      </c>
      <c r="B155" s="276"/>
      <c r="C155" s="276"/>
      <c r="D155" s="277" t="str" cm="1">
        <f t="array" ref="D155">IFERROR(INDEX('Measure List'!B:B,'Printable Report'!$A155),"")</f>
        <v/>
      </c>
      <c r="E155" s="278" t="str" cm="1">
        <f t="array" ref="E155">IFERROR(INDEX('Measure List'!C:C,'Printable Report'!$A155),"")</f>
        <v/>
      </c>
      <c r="F155" s="279" t="str" cm="1">
        <f t="array" ref="F155">IFERROR(INDEX('Measure List'!D:D,'Printable Report'!$A155),"")</f>
        <v/>
      </c>
      <c r="G155" s="280" t="str" cm="1">
        <f t="array" ref="G155">IFERROR(INDEX('Measure List'!E:E,'Printable Report'!$A155),"")</f>
        <v/>
      </c>
      <c r="H155" s="299" t="str" cm="1">
        <f t="array" ref="H155">IFERROR(INDEX('Measure List'!F:F,'Printable Report'!$A155),"")</f>
        <v/>
      </c>
      <c r="I155" s="282" t="str" cm="1">
        <f t="array" ref="I155">IFERROR(INDEX('Measure List'!G:G,'Printable Report'!$A155),"")</f>
        <v/>
      </c>
      <c r="J155" s="299" t="str" cm="1">
        <f t="array" ref="J155">IFERROR(INDEX('Measure List'!I:I,'Printable Report'!$A155),"")</f>
        <v/>
      </c>
      <c r="K155" s="299" t="str" cm="1">
        <f t="array" ref="K155">IFERROR(INDEX('Measure List'!J:J,'Printable Report'!$A155),"")</f>
        <v/>
      </c>
      <c r="L155" s="299" t="str" cm="1">
        <f t="array" ref="L155">IFERROR(INDEX('Measure List'!K:K,'Printable Report'!$A155),"")</f>
        <v/>
      </c>
      <c r="M155" s="256"/>
      <c r="O155" s="286"/>
      <c r="P155" s="269"/>
      <c r="Q155" s="269"/>
      <c r="R155" s="269"/>
      <c r="T155" s="269"/>
      <c r="U155" s="269"/>
    </row>
    <row r="156" spans="1:21" s="285" customFormat="1" ht="36.6" customHeight="1" x14ac:dyDescent="0.25">
      <c r="A156" s="298" t="str" cm="1">
        <f t="array" ref="A156">IFERROR(SMALL(IF('Measure List'!G$2:G$171&lt;&gt;0,'Measure List'!A$2:A$171),ROW()-26),"")</f>
        <v/>
      </c>
      <c r="B156" s="276"/>
      <c r="C156" s="276"/>
      <c r="D156" s="277" t="str" cm="1">
        <f t="array" ref="D156">IFERROR(INDEX('Measure List'!B:B,'Printable Report'!$A156),"")</f>
        <v/>
      </c>
      <c r="E156" s="278" t="str" cm="1">
        <f t="array" ref="E156">IFERROR(INDEX('Measure List'!C:C,'Printable Report'!$A156),"")</f>
        <v/>
      </c>
      <c r="F156" s="279" t="str" cm="1">
        <f t="array" ref="F156">IFERROR(INDEX('Measure List'!D:D,'Printable Report'!$A156),"")</f>
        <v/>
      </c>
      <c r="G156" s="280" t="str" cm="1">
        <f t="array" ref="G156">IFERROR(INDEX('Measure List'!E:E,'Printable Report'!$A156),"")</f>
        <v/>
      </c>
      <c r="H156" s="299" t="str" cm="1">
        <f t="array" ref="H156">IFERROR(INDEX('Measure List'!F:F,'Printable Report'!$A156),"")</f>
        <v/>
      </c>
      <c r="I156" s="282" t="str" cm="1">
        <f t="array" ref="I156">IFERROR(INDEX('Measure List'!G:G,'Printable Report'!$A156),"")</f>
        <v/>
      </c>
      <c r="J156" s="299" t="str" cm="1">
        <f t="array" ref="J156">IFERROR(INDEX('Measure List'!I:I,'Printable Report'!$A156),"")</f>
        <v/>
      </c>
      <c r="K156" s="299" t="str" cm="1">
        <f t="array" ref="K156">IFERROR(INDEX('Measure List'!J:J,'Printable Report'!$A156),"")</f>
        <v/>
      </c>
      <c r="L156" s="299" t="str" cm="1">
        <f t="array" ref="L156">IFERROR(INDEX('Measure List'!K:K,'Printable Report'!$A156),"")</f>
        <v/>
      </c>
      <c r="M156" s="256"/>
      <c r="O156" s="286"/>
      <c r="P156" s="269"/>
      <c r="Q156" s="269"/>
      <c r="R156" s="269"/>
      <c r="T156" s="269"/>
      <c r="U156" s="269"/>
    </row>
    <row r="157" spans="1:21" s="285" customFormat="1" ht="36.6" customHeight="1" x14ac:dyDescent="0.25">
      <c r="A157" s="298" t="str" cm="1">
        <f t="array" ref="A157">IFERROR(SMALL(IF('Measure List'!G$2:G$171&lt;&gt;0,'Measure List'!A$2:A$171),ROW()-26),"")</f>
        <v/>
      </c>
      <c r="B157" s="276"/>
      <c r="C157" s="276"/>
      <c r="D157" s="277" t="str" cm="1">
        <f t="array" ref="D157">IFERROR(INDEX('Measure List'!B:B,'Printable Report'!$A157),"")</f>
        <v/>
      </c>
      <c r="E157" s="278" t="str" cm="1">
        <f t="array" ref="E157">IFERROR(INDEX('Measure List'!C:C,'Printable Report'!$A157),"")</f>
        <v/>
      </c>
      <c r="F157" s="279" t="str" cm="1">
        <f t="array" ref="F157">IFERROR(INDEX('Measure List'!D:D,'Printable Report'!$A157),"")</f>
        <v/>
      </c>
      <c r="G157" s="280" t="str" cm="1">
        <f t="array" ref="G157">IFERROR(INDEX('Measure List'!E:E,'Printable Report'!$A157),"")</f>
        <v/>
      </c>
      <c r="H157" s="299" t="str" cm="1">
        <f t="array" ref="H157">IFERROR(INDEX('Measure List'!F:F,'Printable Report'!$A157),"")</f>
        <v/>
      </c>
      <c r="I157" s="282" t="str" cm="1">
        <f t="array" ref="I157">IFERROR(INDEX('Measure List'!G:G,'Printable Report'!$A157),"")</f>
        <v/>
      </c>
      <c r="J157" s="299" t="str" cm="1">
        <f t="array" ref="J157">IFERROR(INDEX('Measure List'!I:I,'Printable Report'!$A157),"")</f>
        <v/>
      </c>
      <c r="K157" s="299" t="str" cm="1">
        <f t="array" ref="K157">IFERROR(INDEX('Measure List'!J:J,'Printable Report'!$A157),"")</f>
        <v/>
      </c>
      <c r="L157" s="299" t="str" cm="1">
        <f t="array" ref="L157">IFERROR(INDEX('Measure List'!K:K,'Printable Report'!$A157),"")</f>
        <v/>
      </c>
      <c r="M157" s="256"/>
      <c r="O157" s="286"/>
      <c r="P157" s="269"/>
      <c r="Q157" s="269"/>
      <c r="R157" s="269"/>
      <c r="T157" s="269"/>
      <c r="U157" s="269"/>
    </row>
    <row r="158" spans="1:21" s="285" customFormat="1" ht="36.6" customHeight="1" x14ac:dyDescent="0.25">
      <c r="A158" s="298" t="str" cm="1">
        <f t="array" ref="A158">IFERROR(SMALL(IF('Measure List'!G$2:G$171&lt;&gt;0,'Measure List'!A$2:A$171),ROW()-26),"")</f>
        <v/>
      </c>
      <c r="B158" s="276"/>
      <c r="C158" s="276"/>
      <c r="D158" s="277" t="str" cm="1">
        <f t="array" ref="D158">IFERROR(INDEX('Measure List'!B:B,'Printable Report'!$A158),"")</f>
        <v/>
      </c>
      <c r="E158" s="278" t="str" cm="1">
        <f t="array" ref="E158">IFERROR(INDEX('Measure List'!C:C,'Printable Report'!$A158),"")</f>
        <v/>
      </c>
      <c r="F158" s="279" t="str" cm="1">
        <f t="array" ref="F158">IFERROR(INDEX('Measure List'!D:D,'Printable Report'!$A158),"")</f>
        <v/>
      </c>
      <c r="G158" s="280" t="str" cm="1">
        <f t="array" ref="G158">IFERROR(INDEX('Measure List'!E:E,'Printable Report'!$A158),"")</f>
        <v/>
      </c>
      <c r="H158" s="299" t="str" cm="1">
        <f t="array" ref="H158">IFERROR(INDEX('Measure List'!F:F,'Printable Report'!$A158),"")</f>
        <v/>
      </c>
      <c r="I158" s="282" t="str" cm="1">
        <f t="array" ref="I158">IFERROR(INDEX('Measure List'!G:G,'Printable Report'!$A158),"")</f>
        <v/>
      </c>
      <c r="J158" s="299" t="str" cm="1">
        <f t="array" ref="J158">IFERROR(INDEX('Measure List'!I:I,'Printable Report'!$A158),"")</f>
        <v/>
      </c>
      <c r="K158" s="299" t="str" cm="1">
        <f t="array" ref="K158">IFERROR(INDEX('Measure List'!J:J,'Printable Report'!$A158),"")</f>
        <v/>
      </c>
      <c r="L158" s="299" t="str" cm="1">
        <f t="array" ref="L158">IFERROR(INDEX('Measure List'!K:K,'Printable Report'!$A158),"")</f>
        <v/>
      </c>
      <c r="M158" s="256"/>
      <c r="O158" s="286"/>
      <c r="P158" s="269"/>
      <c r="Q158" s="269"/>
      <c r="R158" s="269"/>
      <c r="T158" s="269"/>
      <c r="U158" s="269"/>
    </row>
    <row r="159" spans="1:21" s="285" customFormat="1" ht="36.6" customHeight="1" x14ac:dyDescent="0.25">
      <c r="A159" s="298" t="str" cm="1">
        <f t="array" ref="A159">IFERROR(SMALL(IF('Measure List'!G$2:G$171&lt;&gt;0,'Measure List'!A$2:A$171),ROW()-26),"")</f>
        <v/>
      </c>
      <c r="B159" s="276"/>
      <c r="C159" s="276"/>
      <c r="D159" s="277" t="str" cm="1">
        <f t="array" ref="D159">IFERROR(INDEX('Measure List'!B:B,'Printable Report'!$A159),"")</f>
        <v/>
      </c>
      <c r="E159" s="278" t="str" cm="1">
        <f t="array" ref="E159">IFERROR(INDEX('Measure List'!C:C,'Printable Report'!$A159),"")</f>
        <v/>
      </c>
      <c r="F159" s="279" t="str" cm="1">
        <f t="array" ref="F159">IFERROR(INDEX('Measure List'!D:D,'Printable Report'!$A159),"")</f>
        <v/>
      </c>
      <c r="G159" s="280" t="str" cm="1">
        <f t="array" ref="G159">IFERROR(INDEX('Measure List'!E:E,'Printable Report'!$A159),"")</f>
        <v/>
      </c>
      <c r="H159" s="299" t="str" cm="1">
        <f t="array" ref="H159">IFERROR(INDEX('Measure List'!F:F,'Printable Report'!$A159),"")</f>
        <v/>
      </c>
      <c r="I159" s="282" t="str" cm="1">
        <f t="array" ref="I159">IFERROR(INDEX('Measure List'!G:G,'Printable Report'!$A159),"")</f>
        <v/>
      </c>
      <c r="J159" s="299" t="str" cm="1">
        <f t="array" ref="J159">IFERROR(INDEX('Measure List'!I:I,'Printable Report'!$A159),"")</f>
        <v/>
      </c>
      <c r="K159" s="299" t="str" cm="1">
        <f t="array" ref="K159">IFERROR(INDEX('Measure List'!J:J,'Printable Report'!$A159),"")</f>
        <v/>
      </c>
      <c r="L159" s="299" t="str" cm="1">
        <f t="array" ref="L159">IFERROR(INDEX('Measure List'!K:K,'Printable Report'!$A159),"")</f>
        <v/>
      </c>
      <c r="M159" s="256"/>
      <c r="O159" s="286"/>
      <c r="P159" s="269"/>
      <c r="Q159" s="269"/>
      <c r="R159" s="269"/>
      <c r="T159" s="269"/>
      <c r="U159" s="269"/>
    </row>
    <row r="160" spans="1:21" s="285" customFormat="1" ht="36.6" customHeight="1" x14ac:dyDescent="0.25">
      <c r="A160" s="298" t="str" cm="1">
        <f t="array" ref="A160">IFERROR(SMALL(IF('Measure List'!G$2:G$171&lt;&gt;0,'Measure List'!A$2:A$171),ROW()-26),"")</f>
        <v/>
      </c>
      <c r="B160" s="276"/>
      <c r="C160" s="276"/>
      <c r="D160" s="277" t="str" cm="1">
        <f t="array" ref="D160">IFERROR(INDEX('Measure List'!B:B,'Printable Report'!$A160),"")</f>
        <v/>
      </c>
      <c r="E160" s="278" t="str" cm="1">
        <f t="array" ref="E160">IFERROR(INDEX('Measure List'!C:C,'Printable Report'!$A160),"")</f>
        <v/>
      </c>
      <c r="F160" s="279" t="str" cm="1">
        <f t="array" ref="F160">IFERROR(INDEX('Measure List'!D:D,'Printable Report'!$A160),"")</f>
        <v/>
      </c>
      <c r="G160" s="280" t="str" cm="1">
        <f t="array" ref="G160">IFERROR(INDEX('Measure List'!E:E,'Printable Report'!$A160),"")</f>
        <v/>
      </c>
      <c r="H160" s="299" t="str" cm="1">
        <f t="array" ref="H160">IFERROR(INDEX('Measure List'!F:F,'Printable Report'!$A160),"")</f>
        <v/>
      </c>
      <c r="I160" s="282" t="str" cm="1">
        <f t="array" ref="I160">IFERROR(INDEX('Measure List'!G:G,'Printable Report'!$A160),"")</f>
        <v/>
      </c>
      <c r="J160" s="299" t="str" cm="1">
        <f t="array" ref="J160">IFERROR(INDEX('Measure List'!I:I,'Printable Report'!$A160),"")</f>
        <v/>
      </c>
      <c r="K160" s="299" t="str" cm="1">
        <f t="array" ref="K160">IFERROR(INDEX('Measure List'!J:J,'Printable Report'!$A160),"")</f>
        <v/>
      </c>
      <c r="L160" s="299" t="str" cm="1">
        <f t="array" ref="L160">IFERROR(INDEX('Measure List'!K:K,'Printable Report'!$A160),"")</f>
        <v/>
      </c>
      <c r="M160" s="256"/>
      <c r="O160" s="286"/>
      <c r="P160" s="269"/>
      <c r="Q160" s="269"/>
      <c r="R160" s="269"/>
      <c r="T160" s="269"/>
      <c r="U160" s="269"/>
    </row>
    <row r="161" spans="1:21" s="285" customFormat="1" ht="36.6" customHeight="1" x14ac:dyDescent="0.25">
      <c r="A161" s="298" t="str" cm="1">
        <f t="array" ref="A161">IFERROR(SMALL(IF('Measure List'!G$2:G$171&lt;&gt;0,'Measure List'!A$2:A$171),ROW()-26),"")</f>
        <v/>
      </c>
      <c r="B161" s="276"/>
      <c r="C161" s="276"/>
      <c r="D161" s="277" t="str" cm="1">
        <f t="array" ref="D161">IFERROR(INDEX('Measure List'!B:B,'Printable Report'!$A161),"")</f>
        <v/>
      </c>
      <c r="E161" s="278" t="str" cm="1">
        <f t="array" ref="E161">IFERROR(INDEX('Measure List'!C:C,'Printable Report'!$A161),"")</f>
        <v/>
      </c>
      <c r="F161" s="279" t="str" cm="1">
        <f t="array" ref="F161">IFERROR(INDEX('Measure List'!D:D,'Printable Report'!$A161),"")</f>
        <v/>
      </c>
      <c r="G161" s="280" t="str" cm="1">
        <f t="array" ref="G161">IFERROR(INDEX('Measure List'!E:E,'Printable Report'!$A161),"")</f>
        <v/>
      </c>
      <c r="H161" s="299" t="str" cm="1">
        <f t="array" ref="H161">IFERROR(INDEX('Measure List'!F:F,'Printable Report'!$A161),"")</f>
        <v/>
      </c>
      <c r="I161" s="282" t="str" cm="1">
        <f t="array" ref="I161">IFERROR(INDEX('Measure List'!G:G,'Printable Report'!$A161),"")</f>
        <v/>
      </c>
      <c r="J161" s="299" t="str" cm="1">
        <f t="array" ref="J161">IFERROR(INDEX('Measure List'!I:I,'Printable Report'!$A161),"")</f>
        <v/>
      </c>
      <c r="K161" s="299" t="str" cm="1">
        <f t="array" ref="K161">IFERROR(INDEX('Measure List'!J:J,'Printable Report'!$A161),"")</f>
        <v/>
      </c>
      <c r="L161" s="299" t="str" cm="1">
        <f t="array" ref="L161">IFERROR(INDEX('Measure List'!K:K,'Printable Report'!$A161),"")</f>
        <v/>
      </c>
      <c r="M161" s="256"/>
      <c r="O161" s="286"/>
      <c r="P161" s="269"/>
      <c r="Q161" s="269"/>
      <c r="R161" s="269"/>
      <c r="T161" s="269"/>
      <c r="U161" s="269"/>
    </row>
    <row r="162" spans="1:21" s="285" customFormat="1" ht="36.6" customHeight="1" x14ac:dyDescent="0.25">
      <c r="A162" s="298" t="str" cm="1">
        <f t="array" ref="A162">IFERROR(SMALL(IF('Measure List'!G$2:G$171&lt;&gt;0,'Measure List'!A$2:A$171),ROW()-26),"")</f>
        <v/>
      </c>
      <c r="B162" s="276"/>
      <c r="C162" s="276"/>
      <c r="D162" s="277" t="str" cm="1">
        <f t="array" ref="D162">IFERROR(INDEX('Measure List'!B:B,'Printable Report'!$A162),"")</f>
        <v/>
      </c>
      <c r="E162" s="278" t="str" cm="1">
        <f t="array" ref="E162">IFERROR(INDEX('Measure List'!C:C,'Printable Report'!$A162),"")</f>
        <v/>
      </c>
      <c r="F162" s="279" t="str" cm="1">
        <f t="array" ref="F162">IFERROR(INDEX('Measure List'!D:D,'Printable Report'!$A162),"")</f>
        <v/>
      </c>
      <c r="G162" s="280" t="str" cm="1">
        <f t="array" ref="G162">IFERROR(INDEX('Measure List'!E:E,'Printable Report'!$A162),"")</f>
        <v/>
      </c>
      <c r="H162" s="299" t="str" cm="1">
        <f t="array" ref="H162">IFERROR(INDEX('Measure List'!F:F,'Printable Report'!$A162),"")</f>
        <v/>
      </c>
      <c r="I162" s="282" t="str" cm="1">
        <f t="array" ref="I162">IFERROR(INDEX('Measure List'!G:G,'Printable Report'!$A162),"")</f>
        <v/>
      </c>
      <c r="J162" s="299" t="str" cm="1">
        <f t="array" ref="J162">IFERROR(INDEX('Measure List'!I:I,'Printable Report'!$A162),"")</f>
        <v/>
      </c>
      <c r="K162" s="299" t="str" cm="1">
        <f t="array" ref="K162">IFERROR(INDEX('Measure List'!J:J,'Printable Report'!$A162),"")</f>
        <v/>
      </c>
      <c r="L162" s="299" t="str" cm="1">
        <f t="array" ref="L162">IFERROR(INDEX('Measure List'!K:K,'Printable Report'!$A162),"")</f>
        <v/>
      </c>
      <c r="M162" s="256"/>
      <c r="O162" s="286"/>
      <c r="P162" s="269"/>
      <c r="Q162" s="269"/>
      <c r="R162" s="269"/>
      <c r="T162" s="269"/>
      <c r="U162" s="269"/>
    </row>
    <row r="163" spans="1:21" s="285" customFormat="1" ht="36.6" customHeight="1" x14ac:dyDescent="0.25">
      <c r="A163" s="298" t="str" cm="1">
        <f t="array" ref="A163">IFERROR(SMALL(IF('Measure List'!G$2:G$171&lt;&gt;0,'Measure List'!A$2:A$171),ROW()-26),"")</f>
        <v/>
      </c>
      <c r="B163" s="276"/>
      <c r="C163" s="276"/>
      <c r="D163" s="277" t="str" cm="1">
        <f t="array" ref="D163">IFERROR(INDEX('Measure List'!B:B,'Printable Report'!$A163),"")</f>
        <v/>
      </c>
      <c r="E163" s="278" t="str" cm="1">
        <f t="array" ref="E163">IFERROR(INDEX('Measure List'!C:C,'Printable Report'!$A163),"")</f>
        <v/>
      </c>
      <c r="F163" s="279" t="str" cm="1">
        <f t="array" ref="F163">IFERROR(INDEX('Measure List'!D:D,'Printable Report'!$A163),"")</f>
        <v/>
      </c>
      <c r="G163" s="280" t="str" cm="1">
        <f t="array" ref="G163">IFERROR(INDEX('Measure List'!E:E,'Printable Report'!$A163),"")</f>
        <v/>
      </c>
      <c r="H163" s="299" t="str" cm="1">
        <f t="array" ref="H163">IFERROR(INDEX('Measure List'!F:F,'Printable Report'!$A163),"")</f>
        <v/>
      </c>
      <c r="I163" s="282" t="str" cm="1">
        <f t="array" ref="I163">IFERROR(INDEX('Measure List'!G:G,'Printable Report'!$A163),"")</f>
        <v/>
      </c>
      <c r="J163" s="299" t="str" cm="1">
        <f t="array" ref="J163">IFERROR(INDEX('Measure List'!I:I,'Printable Report'!$A163),"")</f>
        <v/>
      </c>
      <c r="K163" s="299" t="str" cm="1">
        <f t="array" ref="K163">IFERROR(INDEX('Measure List'!J:J,'Printable Report'!$A163),"")</f>
        <v/>
      </c>
      <c r="L163" s="299" t="str" cm="1">
        <f t="array" ref="L163">IFERROR(INDEX('Measure List'!K:K,'Printable Report'!$A163),"")</f>
        <v/>
      </c>
      <c r="M163" s="256"/>
      <c r="O163" s="286"/>
      <c r="P163" s="269"/>
      <c r="Q163" s="269"/>
      <c r="R163" s="269"/>
      <c r="T163" s="269"/>
      <c r="U163" s="269"/>
    </row>
    <row r="164" spans="1:21" s="285" customFormat="1" ht="36.6" customHeight="1" x14ac:dyDescent="0.25">
      <c r="A164" s="298" t="str" cm="1">
        <f t="array" ref="A164">IFERROR(SMALL(IF('Measure List'!G$2:G$171&lt;&gt;0,'Measure List'!A$2:A$171),ROW()-26),"")</f>
        <v/>
      </c>
      <c r="B164" s="276"/>
      <c r="C164" s="276"/>
      <c r="D164" s="277" t="str" cm="1">
        <f t="array" ref="D164">IFERROR(INDEX('Measure List'!B:B,'Printable Report'!$A164),"")</f>
        <v/>
      </c>
      <c r="E164" s="278" t="str" cm="1">
        <f t="array" ref="E164">IFERROR(INDEX('Measure List'!C:C,'Printable Report'!$A164),"")</f>
        <v/>
      </c>
      <c r="F164" s="279" t="str" cm="1">
        <f t="array" ref="F164">IFERROR(INDEX('Measure List'!D:D,'Printable Report'!$A164),"")</f>
        <v/>
      </c>
      <c r="G164" s="280" t="str" cm="1">
        <f t="array" ref="G164">IFERROR(INDEX('Measure List'!E:E,'Printable Report'!$A164),"")</f>
        <v/>
      </c>
      <c r="H164" s="299" t="str" cm="1">
        <f t="array" ref="H164">IFERROR(INDEX('Measure List'!F:F,'Printable Report'!$A164),"")</f>
        <v/>
      </c>
      <c r="I164" s="282" t="str" cm="1">
        <f t="array" ref="I164">IFERROR(INDEX('Measure List'!G:G,'Printable Report'!$A164),"")</f>
        <v/>
      </c>
      <c r="J164" s="299" t="str" cm="1">
        <f t="array" ref="J164">IFERROR(INDEX('Measure List'!I:I,'Printable Report'!$A164),"")</f>
        <v/>
      </c>
      <c r="K164" s="299" t="str" cm="1">
        <f t="array" ref="K164">IFERROR(INDEX('Measure List'!J:J,'Printable Report'!$A164),"")</f>
        <v/>
      </c>
      <c r="L164" s="299" t="str" cm="1">
        <f t="array" ref="L164">IFERROR(INDEX('Measure List'!K:K,'Printable Report'!$A164),"")</f>
        <v/>
      </c>
      <c r="M164" s="256"/>
      <c r="O164" s="286"/>
      <c r="P164" s="269"/>
      <c r="Q164" s="269"/>
      <c r="R164" s="269"/>
      <c r="T164" s="269"/>
      <c r="U164" s="269"/>
    </row>
    <row r="165" spans="1:21" s="285" customFormat="1" ht="36.6" customHeight="1" x14ac:dyDescent="0.25">
      <c r="A165" s="298" t="str" cm="1">
        <f t="array" ref="A165">IFERROR(SMALL(IF('Measure List'!G$2:G$171&lt;&gt;0,'Measure List'!A$2:A$171),ROW()-26),"")</f>
        <v/>
      </c>
      <c r="B165" s="276"/>
      <c r="C165" s="276"/>
      <c r="D165" s="277" t="str" cm="1">
        <f t="array" ref="D165">IFERROR(INDEX('Measure List'!B:B,'Printable Report'!$A165),"")</f>
        <v/>
      </c>
      <c r="E165" s="278" t="str" cm="1">
        <f t="array" ref="E165">IFERROR(INDEX('Measure List'!C:C,'Printable Report'!$A165),"")</f>
        <v/>
      </c>
      <c r="F165" s="279" t="str" cm="1">
        <f t="array" ref="F165">IFERROR(INDEX('Measure List'!D:D,'Printable Report'!$A165),"")</f>
        <v/>
      </c>
      <c r="G165" s="280" t="str" cm="1">
        <f t="array" ref="G165">IFERROR(INDEX('Measure List'!E:E,'Printable Report'!$A165),"")</f>
        <v/>
      </c>
      <c r="H165" s="299" t="str" cm="1">
        <f t="array" ref="H165">IFERROR(INDEX('Measure List'!F:F,'Printable Report'!$A165),"")</f>
        <v/>
      </c>
      <c r="I165" s="282" t="str" cm="1">
        <f t="array" ref="I165">IFERROR(INDEX('Measure List'!G:G,'Printable Report'!$A165),"")</f>
        <v/>
      </c>
      <c r="J165" s="299" t="str" cm="1">
        <f t="array" ref="J165">IFERROR(INDEX('Measure List'!I:I,'Printable Report'!$A165),"")</f>
        <v/>
      </c>
      <c r="K165" s="299" t="str" cm="1">
        <f t="array" ref="K165">IFERROR(INDEX('Measure List'!J:J,'Printable Report'!$A165),"")</f>
        <v/>
      </c>
      <c r="L165" s="299" t="str" cm="1">
        <f t="array" ref="L165">IFERROR(INDEX('Measure List'!K:K,'Printable Report'!$A165),"")</f>
        <v/>
      </c>
      <c r="M165" s="256"/>
      <c r="O165" s="286"/>
      <c r="P165" s="269"/>
      <c r="Q165" s="269"/>
      <c r="R165" s="269"/>
      <c r="T165" s="269"/>
      <c r="U165" s="269"/>
    </row>
    <row r="166" spans="1:21" s="285" customFormat="1" ht="36.6" customHeight="1" x14ac:dyDescent="0.25">
      <c r="A166" s="298" t="str" cm="1">
        <f t="array" ref="A166">IFERROR(SMALL(IF('Measure List'!G$2:G$171&lt;&gt;0,'Measure List'!A$2:A$171),ROW()-26),"")</f>
        <v/>
      </c>
      <c r="B166" s="276"/>
      <c r="C166" s="276"/>
      <c r="D166" s="277" t="str" cm="1">
        <f t="array" ref="D166">IFERROR(INDEX('Measure List'!B:B,'Printable Report'!$A166),"")</f>
        <v/>
      </c>
      <c r="E166" s="278" t="str" cm="1">
        <f t="array" ref="E166">IFERROR(INDEX('Measure List'!C:C,'Printable Report'!$A166),"")</f>
        <v/>
      </c>
      <c r="F166" s="279" t="str" cm="1">
        <f t="array" ref="F166">IFERROR(INDEX('Measure List'!D:D,'Printable Report'!$A166),"")</f>
        <v/>
      </c>
      <c r="G166" s="280" t="str" cm="1">
        <f t="array" ref="G166">IFERROR(INDEX('Measure List'!E:E,'Printable Report'!$A166),"")</f>
        <v/>
      </c>
      <c r="H166" s="299" t="str" cm="1">
        <f t="array" ref="H166">IFERROR(INDEX('Measure List'!F:F,'Printable Report'!$A166),"")</f>
        <v/>
      </c>
      <c r="I166" s="282" t="str" cm="1">
        <f t="array" ref="I166">IFERROR(INDEX('Measure List'!G:G,'Printable Report'!$A166),"")</f>
        <v/>
      </c>
      <c r="J166" s="299" t="str" cm="1">
        <f t="array" ref="J166">IFERROR(INDEX('Measure List'!I:I,'Printable Report'!$A166),"")</f>
        <v/>
      </c>
      <c r="K166" s="299" t="str" cm="1">
        <f t="array" ref="K166">IFERROR(INDEX('Measure List'!J:J,'Printable Report'!$A166),"")</f>
        <v/>
      </c>
      <c r="L166" s="299" t="str" cm="1">
        <f t="array" ref="L166">IFERROR(INDEX('Measure List'!K:K,'Printable Report'!$A166),"")</f>
        <v/>
      </c>
      <c r="M166" s="256"/>
      <c r="O166" s="286"/>
      <c r="P166" s="269"/>
      <c r="Q166" s="269"/>
      <c r="R166" s="269"/>
      <c r="T166" s="269"/>
      <c r="U166" s="269"/>
    </row>
    <row r="167" spans="1:21" s="285" customFormat="1" ht="39.6" customHeight="1" x14ac:dyDescent="0.25">
      <c r="A167" s="298" t="str" cm="1">
        <f t="array" ref="A167">IFERROR(SMALL(IF('Measure List'!G$2:G$171&lt;&gt;0,'Measure List'!A$2:A$171),ROW()-26),"")</f>
        <v/>
      </c>
      <c r="B167" s="276"/>
      <c r="C167" s="276"/>
      <c r="D167" s="277" t="str" cm="1">
        <f t="array" ref="D167">IFERROR(INDEX('Measure List'!B:B,'Printable Report'!$A167),"")</f>
        <v/>
      </c>
      <c r="E167" s="278" t="str" cm="1">
        <f t="array" ref="E167">IFERROR(INDEX('Measure List'!C:C,'Printable Report'!$A167),"")</f>
        <v/>
      </c>
      <c r="F167" s="279" t="str" cm="1">
        <f t="array" ref="F167">IFERROR(INDEX('Measure List'!D:D,'Printable Report'!$A167),"")</f>
        <v/>
      </c>
      <c r="G167" s="280" t="str" cm="1">
        <f t="array" ref="G167">IFERROR(INDEX('Measure List'!E:E,'Printable Report'!$A167),"")</f>
        <v/>
      </c>
      <c r="H167" s="299" t="str" cm="1">
        <f t="array" ref="H167">IFERROR(INDEX('Measure List'!F:F,'Printable Report'!$A167),"")</f>
        <v/>
      </c>
      <c r="I167" s="282" t="str" cm="1">
        <f t="array" ref="I167">IFERROR(INDEX('Measure List'!G:G,'Printable Report'!$A167),"")</f>
        <v/>
      </c>
      <c r="J167" s="299" t="str" cm="1">
        <f t="array" ref="J167">IFERROR(INDEX('Measure List'!I:I,'Printable Report'!$A167),"")</f>
        <v/>
      </c>
      <c r="K167" s="299" t="str" cm="1">
        <f t="array" ref="K167">IFERROR(INDEX('Measure List'!J:J,'Printable Report'!$A167),"")</f>
        <v/>
      </c>
      <c r="L167" s="299" t="str" cm="1">
        <f t="array" ref="L167">IFERROR(INDEX('Measure List'!K:K,'Printable Report'!$A167),"")</f>
        <v/>
      </c>
      <c r="M167" s="287"/>
      <c r="O167" s="286"/>
      <c r="P167" s="269"/>
      <c r="Q167" s="269"/>
      <c r="R167" s="269"/>
    </row>
    <row r="168" spans="1:21" s="285" customFormat="1" ht="39.6" customHeight="1" x14ac:dyDescent="0.25">
      <c r="A168" s="298" t="str" cm="1">
        <f t="array" ref="A168">IFERROR(SMALL(IF('Measure List'!G$2:G$171&lt;&gt;0,'Measure List'!A$2:A$171),ROW()-26),"")</f>
        <v/>
      </c>
      <c r="B168" s="276"/>
      <c r="C168" s="276"/>
      <c r="D168" s="277" t="str" cm="1">
        <f t="array" ref="D168">IFERROR(INDEX('Measure List'!B:B,'Printable Report'!$A168),"")</f>
        <v/>
      </c>
      <c r="E168" s="278" t="str" cm="1">
        <f t="array" ref="E168">IFERROR(INDEX('Measure List'!C:C,'Printable Report'!$A168),"")</f>
        <v/>
      </c>
      <c r="F168" s="279" t="str" cm="1">
        <f t="array" ref="F168">IFERROR(INDEX('Measure List'!D:D,'Printable Report'!$A168),"")</f>
        <v/>
      </c>
      <c r="G168" s="280" t="str" cm="1">
        <f t="array" ref="G168">IFERROR(INDEX('Measure List'!E:E,'Printable Report'!$A168),"")</f>
        <v/>
      </c>
      <c r="H168" s="299" t="str" cm="1">
        <f t="array" ref="H168">IFERROR(INDEX('Measure List'!F:F,'Printable Report'!$A168),"")</f>
        <v/>
      </c>
      <c r="I168" s="282" t="str" cm="1">
        <f t="array" ref="I168">IFERROR(INDEX('Measure List'!G:G,'Printable Report'!$A168),"")</f>
        <v/>
      </c>
      <c r="J168" s="299" t="str" cm="1">
        <f t="array" ref="J168">IFERROR(INDEX('Measure List'!I:I,'Printable Report'!$A168),"")</f>
        <v/>
      </c>
      <c r="K168" s="299" t="str" cm="1">
        <f t="array" ref="K168">IFERROR(INDEX('Measure List'!J:J,'Printable Report'!$A168),"")</f>
        <v/>
      </c>
      <c r="L168" s="299" t="str" cm="1">
        <f t="array" ref="L168">IFERROR(INDEX('Measure List'!K:K,'Printable Report'!$A168),"")</f>
        <v/>
      </c>
      <c r="M168" s="287"/>
      <c r="O168" s="286"/>
      <c r="P168" s="269"/>
      <c r="Q168" s="269"/>
      <c r="R168" s="269"/>
    </row>
    <row r="169" spans="1:21" s="285" customFormat="1" ht="39.6" customHeight="1" x14ac:dyDescent="0.25">
      <c r="A169" s="298" t="str" cm="1">
        <f t="array" ref="A169">IFERROR(SMALL(IF('Measure List'!G$2:G$171&lt;&gt;0,'Measure List'!A$2:A$171),ROW()-26),"")</f>
        <v/>
      </c>
      <c r="B169" s="276"/>
      <c r="C169" s="276"/>
      <c r="D169" s="277" t="str" cm="1">
        <f t="array" ref="D169">IFERROR(INDEX('Measure List'!B:B,'Printable Report'!$A169),"")</f>
        <v/>
      </c>
      <c r="E169" s="278" t="str" cm="1">
        <f t="array" ref="E169">IFERROR(INDEX('Measure List'!C:C,'Printable Report'!$A169),"")</f>
        <v/>
      </c>
      <c r="F169" s="279" t="str" cm="1">
        <f t="array" ref="F169">IFERROR(INDEX('Measure List'!D:D,'Printable Report'!$A169),"")</f>
        <v/>
      </c>
      <c r="G169" s="280" t="str" cm="1">
        <f t="array" ref="G169">IFERROR(INDEX('Measure List'!E:E,'Printable Report'!$A169),"")</f>
        <v/>
      </c>
      <c r="H169" s="299" t="str" cm="1">
        <f t="array" ref="H169">IFERROR(INDEX('Measure List'!F:F,'Printable Report'!$A169),"")</f>
        <v/>
      </c>
      <c r="I169" s="282" t="str" cm="1">
        <f t="array" ref="I169">IFERROR(INDEX('Measure List'!G:G,'Printable Report'!$A169),"")</f>
        <v/>
      </c>
      <c r="J169" s="299" t="str" cm="1">
        <f t="array" ref="J169">IFERROR(INDEX('Measure List'!I:I,'Printable Report'!$A169),"")</f>
        <v/>
      </c>
      <c r="K169" s="299" t="str" cm="1">
        <f t="array" ref="K169">IFERROR(INDEX('Measure List'!J:J,'Printable Report'!$A169),"")</f>
        <v/>
      </c>
      <c r="L169" s="299" t="str" cm="1">
        <f t="array" ref="L169">IFERROR(INDEX('Measure List'!K:K,'Printable Report'!$A169),"")</f>
        <v/>
      </c>
      <c r="M169" s="287"/>
      <c r="O169" s="286"/>
      <c r="P169" s="269"/>
      <c r="Q169" s="269"/>
      <c r="R169" s="269"/>
    </row>
    <row r="170" spans="1:21" s="285" customFormat="1" ht="39.6" customHeight="1" x14ac:dyDescent="0.25">
      <c r="A170" s="298" t="str" cm="1">
        <f t="array" ref="A170">IFERROR(SMALL(IF('Measure List'!G$2:G$171&lt;&gt;0,'Measure List'!A$2:A$171),ROW()-26),"")</f>
        <v/>
      </c>
      <c r="B170" s="276"/>
      <c r="C170" s="276"/>
      <c r="D170" s="277" t="str" cm="1">
        <f t="array" ref="D170">IFERROR(INDEX('Measure List'!B:B,'Printable Report'!$A170),"")</f>
        <v/>
      </c>
      <c r="E170" s="278" t="str" cm="1">
        <f t="array" ref="E170">IFERROR(INDEX('Measure List'!C:C,'Printable Report'!$A170),"")</f>
        <v/>
      </c>
      <c r="F170" s="279" t="str" cm="1">
        <f t="array" ref="F170">IFERROR(INDEX('Measure List'!D:D,'Printable Report'!$A170),"")</f>
        <v/>
      </c>
      <c r="G170" s="280" t="str" cm="1">
        <f t="array" ref="G170">IFERROR(INDEX('Measure List'!E:E,'Printable Report'!$A170),"")</f>
        <v/>
      </c>
      <c r="H170" s="299" t="str" cm="1">
        <f t="array" ref="H170">IFERROR(INDEX('Measure List'!F:F,'Printable Report'!$A170),"")</f>
        <v/>
      </c>
      <c r="I170" s="282" t="str" cm="1">
        <f t="array" ref="I170">IFERROR(INDEX('Measure List'!G:G,'Printable Report'!$A170),"")</f>
        <v/>
      </c>
      <c r="J170" s="299" t="str" cm="1">
        <f t="array" ref="J170">IFERROR(INDEX('Measure List'!I:I,'Printable Report'!$A170),"")</f>
        <v/>
      </c>
      <c r="K170" s="299" t="str" cm="1">
        <f t="array" ref="K170">IFERROR(INDEX('Measure List'!J:J,'Printable Report'!$A170),"")</f>
        <v/>
      </c>
      <c r="L170" s="299" t="str" cm="1">
        <f t="array" ref="L170">IFERROR(INDEX('Measure List'!K:K,'Printable Report'!$A170),"")</f>
        <v/>
      </c>
      <c r="M170" s="287"/>
      <c r="O170" s="286"/>
      <c r="P170" s="269"/>
      <c r="Q170" s="269"/>
      <c r="R170" s="269"/>
    </row>
    <row r="171" spans="1:21" s="285" customFormat="1" ht="39.6" customHeight="1" x14ac:dyDescent="0.25">
      <c r="A171" s="298" t="str" cm="1">
        <f t="array" ref="A171">IFERROR(SMALL(IF('Measure List'!G$2:G$171&lt;&gt;0,'Measure List'!A$2:A$171),ROW()-26),"")</f>
        <v/>
      </c>
      <c r="B171" s="276"/>
      <c r="C171" s="276"/>
      <c r="D171" s="277" t="str" cm="1">
        <f t="array" ref="D171">IFERROR(INDEX('Measure List'!B:B,'Printable Report'!$A171),"")</f>
        <v/>
      </c>
      <c r="E171" s="278" t="str" cm="1">
        <f t="array" ref="E171">IFERROR(INDEX('Measure List'!C:C,'Printable Report'!$A171),"")</f>
        <v/>
      </c>
      <c r="F171" s="279" t="str" cm="1">
        <f t="array" ref="F171">IFERROR(INDEX('Measure List'!D:D,'Printable Report'!$A171),"")</f>
        <v/>
      </c>
      <c r="G171" s="280" t="str" cm="1">
        <f t="array" ref="G171">IFERROR(INDEX('Measure List'!E:E,'Printable Report'!$A171),"")</f>
        <v/>
      </c>
      <c r="H171" s="299" t="str" cm="1">
        <f t="array" ref="H171">IFERROR(INDEX('Measure List'!F:F,'Printable Report'!$A171),"")</f>
        <v/>
      </c>
      <c r="I171" s="282" t="str" cm="1">
        <f t="array" ref="I171">IFERROR(INDEX('Measure List'!G:G,'Printable Report'!$A171),"")</f>
        <v/>
      </c>
      <c r="J171" s="299" t="str" cm="1">
        <f t="array" ref="J171">IFERROR(INDEX('Measure List'!I:I,'Printable Report'!$A171),"")</f>
        <v/>
      </c>
      <c r="K171" s="299" t="str" cm="1">
        <f t="array" ref="K171">IFERROR(INDEX('Measure List'!J:J,'Printable Report'!$A171),"")</f>
        <v/>
      </c>
      <c r="L171" s="299" t="str" cm="1">
        <f t="array" ref="L171">IFERROR(INDEX('Measure List'!K:K,'Printable Report'!$A171),"")</f>
        <v/>
      </c>
      <c r="M171" s="287"/>
      <c r="O171" s="286"/>
      <c r="P171" s="269"/>
      <c r="Q171" s="269"/>
      <c r="R171" s="269"/>
    </row>
    <row r="172" spans="1:21" s="285" customFormat="1" ht="39.6" customHeight="1" x14ac:dyDescent="0.25">
      <c r="A172" s="298" t="str" cm="1">
        <f t="array" ref="A172">IFERROR(SMALL(IF('Measure List'!G$2:G$171&lt;&gt;0,'Measure List'!A$2:A$171),ROW()-26),"")</f>
        <v/>
      </c>
      <c r="B172" s="276"/>
      <c r="C172" s="276"/>
      <c r="D172" s="277" t="str" cm="1">
        <f t="array" ref="D172">IFERROR(INDEX('Measure List'!B:B,'Printable Report'!$A172),"")</f>
        <v/>
      </c>
      <c r="E172" s="278" t="str" cm="1">
        <f t="array" ref="E172">IFERROR(INDEX('Measure List'!C:C,'Printable Report'!$A172),"")</f>
        <v/>
      </c>
      <c r="F172" s="279" t="str" cm="1">
        <f t="array" ref="F172">IFERROR(INDEX('Measure List'!D:D,'Printable Report'!$A172),"")</f>
        <v/>
      </c>
      <c r="G172" s="280" t="str" cm="1">
        <f t="array" ref="G172">IFERROR(INDEX('Measure List'!E:E,'Printable Report'!$A172),"")</f>
        <v/>
      </c>
      <c r="H172" s="299" t="str" cm="1">
        <f t="array" ref="H172">IFERROR(INDEX('Measure List'!F:F,'Printable Report'!$A172),"")</f>
        <v/>
      </c>
      <c r="I172" s="282" t="str" cm="1">
        <f t="array" ref="I172">IFERROR(INDEX('Measure List'!G:G,'Printable Report'!$A172),"")</f>
        <v/>
      </c>
      <c r="J172" s="299" t="str" cm="1">
        <f t="array" ref="J172">IFERROR(INDEX('Measure List'!I:I,'Printable Report'!$A172),"")</f>
        <v/>
      </c>
      <c r="K172" s="299" t="str" cm="1">
        <f t="array" ref="K172">IFERROR(INDEX('Measure List'!J:J,'Printable Report'!$A172),"")</f>
        <v/>
      </c>
      <c r="L172" s="299" t="str" cm="1">
        <f t="array" ref="L172">IFERROR(INDEX('Measure List'!K:K,'Printable Report'!$A172),"")</f>
        <v/>
      </c>
      <c r="M172" s="287"/>
      <c r="O172" s="286"/>
      <c r="P172" s="269"/>
      <c r="Q172" s="269"/>
      <c r="R172" s="269"/>
    </row>
    <row r="173" spans="1:21" s="285" customFormat="1" ht="39.6" customHeight="1" x14ac:dyDescent="0.25">
      <c r="A173" s="298" t="str" cm="1">
        <f t="array" ref="A173">IFERROR(SMALL(IF('Measure List'!G$2:G$171&lt;&gt;0,'Measure List'!A$2:A$171),ROW()-26),"")</f>
        <v/>
      </c>
      <c r="B173" s="276"/>
      <c r="C173" s="276"/>
      <c r="D173" s="277" t="str" cm="1">
        <f t="array" ref="D173">IFERROR(INDEX('Measure List'!B:B,'Printable Report'!$A173),"")</f>
        <v/>
      </c>
      <c r="E173" s="278" t="str" cm="1">
        <f t="array" ref="E173">IFERROR(INDEX('Measure List'!C:C,'Printable Report'!$A173),"")</f>
        <v/>
      </c>
      <c r="F173" s="279" t="str" cm="1">
        <f t="array" ref="F173">IFERROR(INDEX('Measure List'!D:D,'Printable Report'!$A173),"")</f>
        <v/>
      </c>
      <c r="G173" s="280" t="str" cm="1">
        <f t="array" ref="G173">IFERROR(INDEX('Measure List'!E:E,'Printable Report'!$A173),"")</f>
        <v/>
      </c>
      <c r="H173" s="299" t="str" cm="1">
        <f t="array" ref="H173">IFERROR(INDEX('Measure List'!F:F,'Printable Report'!$A173),"")</f>
        <v/>
      </c>
      <c r="I173" s="282" t="str" cm="1">
        <f t="array" ref="I173">IFERROR(INDEX('Measure List'!G:G,'Printable Report'!$A173),"")</f>
        <v/>
      </c>
      <c r="J173" s="299" t="str" cm="1">
        <f t="array" ref="J173">IFERROR(INDEX('Measure List'!I:I,'Printable Report'!$A173),"")</f>
        <v/>
      </c>
      <c r="K173" s="299" t="str" cm="1">
        <f t="array" ref="K173">IFERROR(INDEX('Measure List'!J:J,'Printable Report'!$A173),"")</f>
        <v/>
      </c>
      <c r="L173" s="299" t="str" cm="1">
        <f t="array" ref="L173">IFERROR(INDEX('Measure List'!K:K,'Printable Report'!$A173),"")</f>
        <v/>
      </c>
      <c r="M173" s="287"/>
      <c r="O173" s="286"/>
      <c r="P173" s="269"/>
      <c r="Q173" s="269"/>
      <c r="R173" s="269"/>
    </row>
    <row r="174" spans="1:21" s="285" customFormat="1" ht="39.6" customHeight="1" x14ac:dyDescent="0.25">
      <c r="A174" s="298" t="str" cm="1">
        <f t="array" ref="A174">IFERROR(SMALL(IF('Measure List'!G$2:G$171&lt;&gt;0,'Measure List'!A$2:A$171),ROW()-26),"")</f>
        <v/>
      </c>
      <c r="B174" s="276"/>
      <c r="C174" s="276"/>
      <c r="D174" s="277" t="str" cm="1">
        <f t="array" ref="D174">IFERROR(INDEX('Measure List'!B:B,'Printable Report'!$A174),"")</f>
        <v/>
      </c>
      <c r="E174" s="278" t="str" cm="1">
        <f t="array" ref="E174">IFERROR(INDEX('Measure List'!C:C,'Printable Report'!$A174),"")</f>
        <v/>
      </c>
      <c r="F174" s="279" t="str" cm="1">
        <f t="array" ref="F174">IFERROR(INDEX('Measure List'!D:D,'Printable Report'!$A174),"")</f>
        <v/>
      </c>
      <c r="G174" s="280" t="str" cm="1">
        <f t="array" ref="G174">IFERROR(INDEX('Measure List'!E:E,'Printable Report'!$A174),"")</f>
        <v/>
      </c>
      <c r="H174" s="299" t="str" cm="1">
        <f t="array" ref="H174">IFERROR(INDEX('Measure List'!F:F,'Printable Report'!$A174),"")</f>
        <v/>
      </c>
      <c r="I174" s="282" t="str" cm="1">
        <f t="array" ref="I174">IFERROR(INDEX('Measure List'!G:G,'Printable Report'!$A174),"")</f>
        <v/>
      </c>
      <c r="J174" s="299" t="str" cm="1">
        <f t="array" ref="J174">IFERROR(INDEX('Measure List'!I:I,'Printable Report'!$A174),"")</f>
        <v/>
      </c>
      <c r="K174" s="299" t="str" cm="1">
        <f t="array" ref="K174">IFERROR(INDEX('Measure List'!J:J,'Printable Report'!$A174),"")</f>
        <v/>
      </c>
      <c r="L174" s="299" t="str" cm="1">
        <f t="array" ref="L174">IFERROR(INDEX('Measure List'!K:K,'Printable Report'!$A174),"")</f>
        <v/>
      </c>
      <c r="M174" s="287"/>
      <c r="O174" s="286"/>
      <c r="P174" s="269"/>
      <c r="Q174" s="269"/>
      <c r="R174" s="269"/>
    </row>
    <row r="175" spans="1:21" s="285" customFormat="1" ht="39.6" customHeight="1" x14ac:dyDescent="0.25">
      <c r="A175" s="298" t="str" cm="1">
        <f t="array" ref="A175">IFERROR(SMALL(IF('Measure List'!G$2:G$171&lt;&gt;0,'Measure List'!A$2:A$171),ROW()-26),"")</f>
        <v/>
      </c>
      <c r="B175" s="276"/>
      <c r="C175" s="276"/>
      <c r="D175" s="277" t="str" cm="1">
        <f t="array" ref="D175">IFERROR(INDEX('Measure List'!B:B,'Printable Report'!$A175),"")</f>
        <v/>
      </c>
      <c r="E175" s="278" t="str" cm="1">
        <f t="array" ref="E175">IFERROR(INDEX('Measure List'!C:C,'Printable Report'!$A175),"")</f>
        <v/>
      </c>
      <c r="F175" s="279" t="str" cm="1">
        <f t="array" ref="F175">IFERROR(INDEX('Measure List'!D:D,'Printable Report'!$A175),"")</f>
        <v/>
      </c>
      <c r="G175" s="280" t="str" cm="1">
        <f t="array" ref="G175">IFERROR(INDEX('Measure List'!E:E,'Printable Report'!$A175),"")</f>
        <v/>
      </c>
      <c r="H175" s="299" t="str" cm="1">
        <f t="array" ref="H175">IFERROR(INDEX('Measure List'!F:F,'Printable Report'!$A175),"")</f>
        <v/>
      </c>
      <c r="I175" s="282" t="str" cm="1">
        <f t="array" ref="I175">IFERROR(INDEX('Measure List'!G:G,'Printable Report'!$A175),"")</f>
        <v/>
      </c>
      <c r="J175" s="299" t="str" cm="1">
        <f t="array" ref="J175">IFERROR(INDEX('Measure List'!I:I,'Printable Report'!$A175),"")</f>
        <v/>
      </c>
      <c r="K175" s="299" t="str" cm="1">
        <f t="array" ref="K175">IFERROR(INDEX('Measure List'!J:J,'Printable Report'!$A175),"")</f>
        <v/>
      </c>
      <c r="L175" s="299" t="str" cm="1">
        <f t="array" ref="L175">IFERROR(INDEX('Measure List'!K:K,'Printable Report'!$A175),"")</f>
        <v/>
      </c>
      <c r="M175" s="287"/>
      <c r="O175" s="286"/>
      <c r="P175" s="269"/>
      <c r="Q175" s="269"/>
      <c r="R175" s="269"/>
    </row>
    <row r="176" spans="1:21" s="285" customFormat="1" ht="39.6" customHeight="1" x14ac:dyDescent="0.25">
      <c r="A176" s="298" t="str" cm="1">
        <f t="array" ref="A176">IFERROR(SMALL(IF('Measure List'!G$2:G$171&lt;&gt;0,'Measure List'!A$2:A$171),ROW()-26),"")</f>
        <v/>
      </c>
      <c r="B176" s="276"/>
      <c r="C176" s="276"/>
      <c r="D176" s="277" t="str" cm="1">
        <f t="array" ref="D176">IFERROR(INDEX('Measure List'!B:B,'Printable Report'!$A176),"")</f>
        <v/>
      </c>
      <c r="E176" s="278" t="str" cm="1">
        <f t="array" ref="E176">IFERROR(INDEX('Measure List'!C:C,'Printable Report'!$A176),"")</f>
        <v/>
      </c>
      <c r="F176" s="279" t="str" cm="1">
        <f t="array" ref="F176">IFERROR(INDEX('Measure List'!D:D,'Printable Report'!$A176),"")</f>
        <v/>
      </c>
      <c r="G176" s="280" t="str" cm="1">
        <f t="array" ref="G176">IFERROR(INDEX('Measure List'!E:E,'Printable Report'!$A176),"")</f>
        <v/>
      </c>
      <c r="H176" s="299" t="str" cm="1">
        <f t="array" ref="H176">IFERROR(INDEX('Measure List'!F:F,'Printable Report'!$A176),"")</f>
        <v/>
      </c>
      <c r="I176" s="282" t="str" cm="1">
        <f t="array" ref="I176">IFERROR(INDEX('Measure List'!G:G,'Printable Report'!$A176),"")</f>
        <v/>
      </c>
      <c r="J176" s="299" t="str" cm="1">
        <f t="array" ref="J176">IFERROR(INDEX('Measure List'!I:I,'Printable Report'!$A176),"")</f>
        <v/>
      </c>
      <c r="K176" s="299" t="str" cm="1">
        <f t="array" ref="K176">IFERROR(INDEX('Measure List'!J:J,'Printable Report'!$A176),"")</f>
        <v/>
      </c>
      <c r="L176" s="299" t="str" cm="1">
        <f t="array" ref="L176">IFERROR(INDEX('Measure List'!K:K,'Printable Report'!$A176),"")</f>
        <v/>
      </c>
      <c r="M176" s="287"/>
      <c r="O176" s="286"/>
      <c r="P176" s="269"/>
      <c r="Q176" s="269"/>
      <c r="R176" s="269"/>
    </row>
    <row r="177" spans="1:18" s="285" customFormat="1" ht="39.6" customHeight="1" x14ac:dyDescent="0.25">
      <c r="A177" s="298" t="str" cm="1">
        <f t="array" ref="A177">IFERROR(SMALL(IF('Measure List'!G$2:G$171&lt;&gt;0,'Measure List'!A$2:A$171),ROW()-26),"")</f>
        <v/>
      </c>
      <c r="B177" s="276"/>
      <c r="C177" s="276"/>
      <c r="D177" s="277" t="str" cm="1">
        <f t="array" ref="D177">IFERROR(INDEX('Measure List'!B:B,'Printable Report'!$A177),"")</f>
        <v/>
      </c>
      <c r="E177" s="278" t="str" cm="1">
        <f t="array" ref="E177">IFERROR(INDEX('Measure List'!C:C,'Printable Report'!$A177),"")</f>
        <v/>
      </c>
      <c r="F177" s="279" t="str" cm="1">
        <f t="array" ref="F177">IFERROR(INDEX('Measure List'!D:D,'Printable Report'!$A177),"")</f>
        <v/>
      </c>
      <c r="G177" s="280" t="str" cm="1">
        <f t="array" ref="G177">IFERROR(INDEX('Measure List'!E:E,'Printable Report'!$A177),"")</f>
        <v/>
      </c>
      <c r="H177" s="299" t="str" cm="1">
        <f t="array" ref="H177">IFERROR(INDEX('Measure List'!F:F,'Printable Report'!$A177),"")</f>
        <v/>
      </c>
      <c r="I177" s="282" t="str" cm="1">
        <f t="array" ref="I177">IFERROR(INDEX('Measure List'!G:G,'Printable Report'!$A177),"")</f>
        <v/>
      </c>
      <c r="J177" s="299" t="str" cm="1">
        <f t="array" ref="J177">IFERROR(INDEX('Measure List'!I:I,'Printable Report'!$A177),"")</f>
        <v/>
      </c>
      <c r="K177" s="299" t="str" cm="1">
        <f t="array" ref="K177">IFERROR(INDEX('Measure List'!J:J,'Printable Report'!$A177),"")</f>
        <v/>
      </c>
      <c r="L177" s="299" t="str" cm="1">
        <f t="array" ref="L177">IFERROR(INDEX('Measure List'!K:K,'Printable Report'!$A177),"")</f>
        <v/>
      </c>
      <c r="M177" s="287"/>
      <c r="O177" s="286"/>
      <c r="P177" s="269"/>
      <c r="Q177" s="269"/>
      <c r="R177" s="269"/>
    </row>
    <row r="178" spans="1:18" s="285" customFormat="1" ht="39.6" customHeight="1" x14ac:dyDescent="0.25">
      <c r="A178" s="298" t="str" cm="1">
        <f t="array" ref="A178">IFERROR(SMALL(IF('Measure List'!G$2:G$171&lt;&gt;0,'Measure List'!A$2:A$171),ROW()-26),"")</f>
        <v/>
      </c>
      <c r="B178" s="276"/>
      <c r="C178" s="276"/>
      <c r="D178" s="277" t="str" cm="1">
        <f t="array" ref="D178">IFERROR(INDEX('Measure List'!B:B,'Printable Report'!$A178),"")</f>
        <v/>
      </c>
      <c r="E178" s="278" t="str" cm="1">
        <f t="array" ref="E178">IFERROR(INDEX('Measure List'!C:C,'Printable Report'!$A178),"")</f>
        <v/>
      </c>
      <c r="F178" s="279" t="str" cm="1">
        <f t="array" ref="F178">IFERROR(INDEX('Measure List'!D:D,'Printable Report'!$A178),"")</f>
        <v/>
      </c>
      <c r="G178" s="280" t="str" cm="1">
        <f t="array" ref="G178">IFERROR(INDEX('Measure List'!E:E,'Printable Report'!$A178),"")</f>
        <v/>
      </c>
      <c r="H178" s="299" t="str" cm="1">
        <f t="array" ref="H178">IFERROR(INDEX('Measure List'!F:F,'Printable Report'!$A178),"")</f>
        <v/>
      </c>
      <c r="I178" s="282" t="str" cm="1">
        <f t="array" ref="I178">IFERROR(INDEX('Measure List'!G:G,'Printable Report'!$A178),"")</f>
        <v/>
      </c>
      <c r="J178" s="299" t="str" cm="1">
        <f t="array" ref="J178">IFERROR(INDEX('Measure List'!I:I,'Printable Report'!$A178),"")</f>
        <v/>
      </c>
      <c r="K178" s="299" t="str" cm="1">
        <f t="array" ref="K178">IFERROR(INDEX('Measure List'!J:J,'Printable Report'!$A178),"")</f>
        <v/>
      </c>
      <c r="L178" s="299" t="str" cm="1">
        <f t="array" ref="L178">IFERROR(INDEX('Measure List'!K:K,'Printable Report'!$A178),"")</f>
        <v/>
      </c>
      <c r="M178" s="287"/>
      <c r="O178" s="286"/>
      <c r="P178" s="269"/>
      <c r="Q178" s="269"/>
      <c r="R178" s="269"/>
    </row>
    <row r="179" spans="1:18" s="285" customFormat="1" ht="39.6" customHeight="1" x14ac:dyDescent="0.25">
      <c r="A179" s="298" t="str" cm="1">
        <f t="array" ref="A179">IFERROR(SMALL(IF('Measure List'!G$2:G$171&lt;&gt;0,'Measure List'!A$2:A$171),ROW()-26),"")</f>
        <v/>
      </c>
      <c r="B179" s="276"/>
      <c r="C179" s="276"/>
      <c r="D179" s="277" t="str" cm="1">
        <f t="array" ref="D179">IFERROR(INDEX('Measure List'!B:B,'Printable Report'!$A179),"")</f>
        <v/>
      </c>
      <c r="E179" s="278" t="str" cm="1">
        <f t="array" ref="E179">IFERROR(INDEX('Measure List'!C:C,'Printable Report'!$A179),"")</f>
        <v/>
      </c>
      <c r="F179" s="279" t="str" cm="1">
        <f t="array" ref="F179">IFERROR(INDEX('Measure List'!D:D,'Printable Report'!$A179),"")</f>
        <v/>
      </c>
      <c r="G179" s="280" t="str" cm="1">
        <f t="array" ref="G179">IFERROR(INDEX('Measure List'!E:E,'Printable Report'!$A179),"")</f>
        <v/>
      </c>
      <c r="H179" s="299" t="str" cm="1">
        <f t="array" ref="H179">IFERROR(INDEX('Measure List'!F:F,'Printable Report'!$A179),"")</f>
        <v/>
      </c>
      <c r="I179" s="282" t="str" cm="1">
        <f t="array" ref="I179">IFERROR(INDEX('Measure List'!G:G,'Printable Report'!$A179),"")</f>
        <v/>
      </c>
      <c r="J179" s="299" t="str" cm="1">
        <f t="array" ref="J179">IFERROR(INDEX('Measure List'!I:I,'Printable Report'!$A179),"")</f>
        <v/>
      </c>
      <c r="K179" s="299" t="str" cm="1">
        <f t="array" ref="K179">IFERROR(INDEX('Measure List'!J:J,'Printable Report'!$A179),"")</f>
        <v/>
      </c>
      <c r="L179" s="299" t="str" cm="1">
        <f t="array" ref="L179">IFERROR(INDEX('Measure List'!K:K,'Printable Report'!$A179),"")</f>
        <v/>
      </c>
      <c r="M179" s="287"/>
      <c r="O179" s="286"/>
      <c r="P179" s="269"/>
      <c r="Q179" s="269"/>
      <c r="R179" s="269"/>
    </row>
    <row r="180" spans="1:18" s="285" customFormat="1" ht="39.6" customHeight="1" x14ac:dyDescent="0.25">
      <c r="A180" s="298" t="str" cm="1">
        <f t="array" ref="A180">IFERROR(SMALL(IF('Measure List'!G$2:G$171&lt;&gt;0,'Measure List'!A$2:A$171),ROW()-26),"")</f>
        <v/>
      </c>
      <c r="B180" s="276"/>
      <c r="C180" s="276"/>
      <c r="D180" s="277" t="str" cm="1">
        <f t="array" ref="D180">IFERROR(INDEX('Measure List'!B:B,'Printable Report'!$A180),"")</f>
        <v/>
      </c>
      <c r="E180" s="278" t="str" cm="1">
        <f t="array" ref="E180">IFERROR(INDEX('Measure List'!C:C,'Printable Report'!$A180),"")</f>
        <v/>
      </c>
      <c r="F180" s="279" t="str" cm="1">
        <f t="array" ref="F180">IFERROR(INDEX('Measure List'!D:D,'Printable Report'!$A180),"")</f>
        <v/>
      </c>
      <c r="G180" s="280" t="str" cm="1">
        <f t="array" ref="G180">IFERROR(INDEX('Measure List'!E:E,'Printable Report'!$A180),"")</f>
        <v/>
      </c>
      <c r="H180" s="299" t="str" cm="1">
        <f t="array" ref="H180">IFERROR(INDEX('Measure List'!F:F,'Printable Report'!$A180),"")</f>
        <v/>
      </c>
      <c r="I180" s="282" t="str" cm="1">
        <f t="array" ref="I180">IFERROR(INDEX('Measure List'!G:G,'Printable Report'!$A180),"")</f>
        <v/>
      </c>
      <c r="J180" s="299" t="str" cm="1">
        <f t="array" ref="J180">IFERROR(INDEX('Measure List'!I:I,'Printable Report'!$A180),"")</f>
        <v/>
      </c>
      <c r="K180" s="299" t="str" cm="1">
        <f t="array" ref="K180">IFERROR(INDEX('Measure List'!J:J,'Printable Report'!$A180),"")</f>
        <v/>
      </c>
      <c r="L180" s="299" t="str" cm="1">
        <f t="array" ref="L180">IFERROR(INDEX('Measure List'!K:K,'Printable Report'!$A180),"")</f>
        <v/>
      </c>
      <c r="M180" s="287"/>
      <c r="O180" s="286"/>
      <c r="P180" s="269"/>
      <c r="Q180" s="269"/>
      <c r="R180" s="269"/>
    </row>
    <row r="181" spans="1:18" s="285" customFormat="1" ht="39.6" customHeight="1" x14ac:dyDescent="0.25">
      <c r="A181" s="298" t="str" cm="1">
        <f t="array" ref="A181">IFERROR(SMALL(IF('Measure List'!G$2:G$171&lt;&gt;0,'Measure List'!A$2:A$171),ROW()-26),"")</f>
        <v/>
      </c>
      <c r="B181" s="276"/>
      <c r="C181" s="276"/>
      <c r="D181" s="277" t="str" cm="1">
        <f t="array" ref="D181">IFERROR(INDEX('Measure List'!B:B,'Printable Report'!$A181),"")</f>
        <v/>
      </c>
      <c r="E181" s="278" t="str" cm="1">
        <f t="array" ref="E181">IFERROR(INDEX('Measure List'!C:C,'Printable Report'!$A181),"")</f>
        <v/>
      </c>
      <c r="F181" s="279" t="str" cm="1">
        <f t="array" ref="F181">IFERROR(INDEX('Measure List'!D:D,'Printable Report'!$A181),"")</f>
        <v/>
      </c>
      <c r="G181" s="280" t="str" cm="1">
        <f t="array" ref="G181">IFERROR(INDEX('Measure List'!E:E,'Printable Report'!$A181),"")</f>
        <v/>
      </c>
      <c r="H181" s="299" t="str" cm="1">
        <f t="array" ref="H181">IFERROR(INDEX('Measure List'!F:F,'Printable Report'!$A181),"")</f>
        <v/>
      </c>
      <c r="I181" s="282" t="str" cm="1">
        <f t="array" ref="I181">IFERROR(INDEX('Measure List'!G:G,'Printable Report'!$A181),"")</f>
        <v/>
      </c>
      <c r="J181" s="299" t="str" cm="1">
        <f t="array" ref="J181">IFERROR(INDEX('Measure List'!I:I,'Printable Report'!$A181),"")</f>
        <v/>
      </c>
      <c r="K181" s="299" t="str" cm="1">
        <f t="array" ref="K181">IFERROR(INDEX('Measure List'!J:J,'Printable Report'!$A181),"")</f>
        <v/>
      </c>
      <c r="L181" s="299" t="str" cm="1">
        <f t="array" ref="L181">IFERROR(INDEX('Measure List'!K:K,'Printable Report'!$A181),"")</f>
        <v/>
      </c>
      <c r="M181" s="287"/>
      <c r="O181" s="286"/>
      <c r="P181" s="269"/>
      <c r="Q181" s="269"/>
      <c r="R181" s="269"/>
    </row>
    <row r="182" spans="1:18" s="285" customFormat="1" ht="39.6" customHeight="1" x14ac:dyDescent="0.25">
      <c r="A182" s="298" t="str" cm="1">
        <f t="array" ref="A182">IFERROR(SMALL(IF('Measure List'!G$2:G$171&lt;&gt;0,'Measure List'!A$2:A$171),ROW()-26),"")</f>
        <v/>
      </c>
      <c r="B182" s="276"/>
      <c r="C182" s="276"/>
      <c r="D182" s="277" t="str" cm="1">
        <f t="array" ref="D182">IFERROR(INDEX('Measure List'!B:B,'Printable Report'!$A182),"")</f>
        <v/>
      </c>
      <c r="E182" s="278" t="str" cm="1">
        <f t="array" ref="E182">IFERROR(INDEX('Measure List'!C:C,'Printable Report'!$A182),"")</f>
        <v/>
      </c>
      <c r="F182" s="279" t="str" cm="1">
        <f t="array" ref="F182">IFERROR(INDEX('Measure List'!D:D,'Printable Report'!$A182),"")</f>
        <v/>
      </c>
      <c r="G182" s="280" t="str" cm="1">
        <f t="array" ref="G182">IFERROR(INDEX('Measure List'!E:E,'Printable Report'!$A182),"")</f>
        <v/>
      </c>
      <c r="H182" s="299" t="str" cm="1">
        <f t="array" ref="H182">IFERROR(INDEX('Measure List'!F:F,'Printable Report'!$A182),"")</f>
        <v/>
      </c>
      <c r="I182" s="282" t="str" cm="1">
        <f t="array" ref="I182">IFERROR(INDEX('Measure List'!G:G,'Printable Report'!$A182),"")</f>
        <v/>
      </c>
      <c r="J182" s="299" t="str" cm="1">
        <f t="array" ref="J182">IFERROR(INDEX('Measure List'!I:I,'Printable Report'!$A182),"")</f>
        <v/>
      </c>
      <c r="K182" s="299" t="str" cm="1">
        <f t="array" ref="K182">IFERROR(INDEX('Measure List'!J:J,'Printable Report'!$A182),"")</f>
        <v/>
      </c>
      <c r="L182" s="299" t="str" cm="1">
        <f t="array" ref="L182">IFERROR(INDEX('Measure List'!K:K,'Printable Report'!$A182),"")</f>
        <v/>
      </c>
      <c r="M182" s="287"/>
      <c r="O182" s="286"/>
      <c r="P182" s="269"/>
      <c r="Q182" s="269"/>
      <c r="R182" s="269"/>
    </row>
    <row r="183" spans="1:18" s="285" customFormat="1" ht="39.6" customHeight="1" x14ac:dyDescent="0.25">
      <c r="A183" s="298" t="str" cm="1">
        <f t="array" ref="A183">IFERROR(SMALL(IF('Measure List'!G$2:G$171&lt;&gt;0,'Measure List'!A$2:A$171),ROW()-26),"")</f>
        <v/>
      </c>
      <c r="B183" s="276"/>
      <c r="C183" s="276"/>
      <c r="D183" s="277" t="str" cm="1">
        <f t="array" ref="D183">IFERROR(INDEX('Measure List'!B:B,'Printable Report'!$A183),"")</f>
        <v/>
      </c>
      <c r="E183" s="278" t="str" cm="1">
        <f t="array" ref="E183">IFERROR(INDEX('Measure List'!C:C,'Printable Report'!$A183),"")</f>
        <v/>
      </c>
      <c r="F183" s="279" t="str" cm="1">
        <f t="array" ref="F183">IFERROR(INDEX('Measure List'!D:D,'Printable Report'!$A183),"")</f>
        <v/>
      </c>
      <c r="G183" s="280" t="str" cm="1">
        <f t="array" ref="G183">IFERROR(INDEX('Measure List'!E:E,'Printable Report'!$A183),"")</f>
        <v/>
      </c>
      <c r="H183" s="299" t="str" cm="1">
        <f t="array" ref="H183">IFERROR(INDEX('Measure List'!F:F,'Printable Report'!$A183),"")</f>
        <v/>
      </c>
      <c r="I183" s="282" t="str" cm="1">
        <f t="array" ref="I183">IFERROR(INDEX('Measure List'!G:G,'Printable Report'!$A183),"")</f>
        <v/>
      </c>
      <c r="J183" s="299" t="str" cm="1">
        <f t="array" ref="J183">IFERROR(INDEX('Measure List'!I:I,'Printable Report'!$A183),"")</f>
        <v/>
      </c>
      <c r="K183" s="299" t="str" cm="1">
        <f t="array" ref="K183">IFERROR(INDEX('Measure List'!J:J,'Printable Report'!$A183),"")</f>
        <v/>
      </c>
      <c r="L183" s="299" t="str" cm="1">
        <f t="array" ref="L183">IFERROR(INDEX('Measure List'!K:K,'Printable Report'!$A183),"")</f>
        <v/>
      </c>
      <c r="M183" s="287"/>
      <c r="O183" s="286"/>
      <c r="P183" s="269"/>
      <c r="Q183" s="269"/>
      <c r="R183" s="269"/>
    </row>
    <row r="184" spans="1:18" s="285" customFormat="1" ht="39.6" customHeight="1" x14ac:dyDescent="0.25">
      <c r="A184" s="298" t="str" cm="1">
        <f t="array" ref="A184">IFERROR(SMALL(IF('Measure List'!G$2:G$171&lt;&gt;0,'Measure List'!A$2:A$171),ROW()-26),"")</f>
        <v/>
      </c>
      <c r="B184" s="276"/>
      <c r="C184" s="276"/>
      <c r="D184" s="277" t="str" cm="1">
        <f t="array" ref="D184">IFERROR(INDEX('Measure List'!B:B,'Printable Report'!$A184),"")</f>
        <v/>
      </c>
      <c r="E184" s="278" t="str" cm="1">
        <f t="array" ref="E184">IFERROR(INDEX('Measure List'!C:C,'Printable Report'!$A184),"")</f>
        <v/>
      </c>
      <c r="F184" s="279" t="str" cm="1">
        <f t="array" ref="F184">IFERROR(INDEX('Measure List'!D:D,'Printable Report'!$A184),"")</f>
        <v/>
      </c>
      <c r="G184" s="280" t="str" cm="1">
        <f t="array" ref="G184">IFERROR(INDEX('Measure List'!E:E,'Printable Report'!$A184),"")</f>
        <v/>
      </c>
      <c r="H184" s="299" t="str" cm="1">
        <f t="array" ref="H184">IFERROR(INDEX('Measure List'!F:F,'Printable Report'!$A184),"")</f>
        <v/>
      </c>
      <c r="I184" s="282" t="str" cm="1">
        <f t="array" ref="I184">IFERROR(INDEX('Measure List'!G:G,'Printable Report'!$A184),"")</f>
        <v/>
      </c>
      <c r="J184" s="299" t="str" cm="1">
        <f t="array" ref="J184">IFERROR(INDEX('Measure List'!I:I,'Printable Report'!$A184),"")</f>
        <v/>
      </c>
      <c r="K184" s="299" t="str" cm="1">
        <f t="array" ref="K184">IFERROR(INDEX('Measure List'!J:J,'Printable Report'!$A184),"")</f>
        <v/>
      </c>
      <c r="L184" s="299" t="str" cm="1">
        <f t="array" ref="L184">IFERROR(INDEX('Measure List'!K:K,'Printable Report'!$A184),"")</f>
        <v/>
      </c>
      <c r="M184" s="287"/>
      <c r="O184" s="286"/>
      <c r="P184" s="269"/>
      <c r="Q184" s="269"/>
      <c r="R184" s="269"/>
    </row>
    <row r="185" spans="1:18" s="285" customFormat="1" ht="39.6" customHeight="1" x14ac:dyDescent="0.25">
      <c r="A185" s="298" t="str" cm="1">
        <f t="array" ref="A185">IFERROR(SMALL(IF('Measure List'!G$2:G$171&lt;&gt;0,'Measure List'!A$2:A$171),ROW()-26),"")</f>
        <v/>
      </c>
      <c r="B185" s="276"/>
      <c r="C185" s="276"/>
      <c r="D185" s="277" t="str" cm="1">
        <f t="array" ref="D185">IFERROR(INDEX('Measure List'!B:B,'Printable Report'!$A185),"")</f>
        <v/>
      </c>
      <c r="E185" s="278" t="str" cm="1">
        <f t="array" ref="E185">IFERROR(INDEX('Measure List'!C:C,'Printable Report'!$A185),"")</f>
        <v/>
      </c>
      <c r="F185" s="279" t="str" cm="1">
        <f t="array" ref="F185">IFERROR(INDEX('Measure List'!D:D,'Printable Report'!$A185),"")</f>
        <v/>
      </c>
      <c r="G185" s="280" t="str" cm="1">
        <f t="array" ref="G185">IFERROR(INDEX('Measure List'!E:E,'Printable Report'!$A185),"")</f>
        <v/>
      </c>
      <c r="H185" s="299" t="str" cm="1">
        <f t="array" ref="H185">IFERROR(INDEX('Measure List'!F:F,'Printable Report'!$A185),"")</f>
        <v/>
      </c>
      <c r="I185" s="282" t="str" cm="1">
        <f t="array" ref="I185">IFERROR(INDEX('Measure List'!G:G,'Printable Report'!$A185),"")</f>
        <v/>
      </c>
      <c r="J185" s="299" t="str" cm="1">
        <f t="array" ref="J185">IFERROR(INDEX('Measure List'!I:I,'Printable Report'!$A185),"")</f>
        <v/>
      </c>
      <c r="K185" s="299" t="str" cm="1">
        <f t="array" ref="K185">IFERROR(INDEX('Measure List'!J:J,'Printable Report'!$A185),"")</f>
        <v/>
      </c>
      <c r="L185" s="299" t="str" cm="1">
        <f t="array" ref="L185">IFERROR(INDEX('Measure List'!K:K,'Printable Report'!$A185),"")</f>
        <v/>
      </c>
      <c r="M185" s="287"/>
      <c r="O185" s="286"/>
      <c r="P185" s="269"/>
      <c r="Q185" s="269"/>
      <c r="R185" s="269"/>
    </row>
    <row r="186" spans="1:18" s="285" customFormat="1" ht="39.6" customHeight="1" x14ac:dyDescent="0.25">
      <c r="A186" s="298" t="str" cm="1">
        <f t="array" ref="A186">IFERROR(SMALL(IF('Measure List'!G$2:G$171&lt;&gt;0,'Measure List'!A$2:A$171),ROW()-26),"")</f>
        <v/>
      </c>
      <c r="B186" s="276"/>
      <c r="C186" s="276"/>
      <c r="D186" s="277" t="str" cm="1">
        <f t="array" ref="D186">IFERROR(INDEX('Measure List'!B:B,'Printable Report'!$A186),"")</f>
        <v/>
      </c>
      <c r="E186" s="278" t="str" cm="1">
        <f t="array" ref="E186">IFERROR(INDEX('Measure List'!C:C,'Printable Report'!$A186),"")</f>
        <v/>
      </c>
      <c r="F186" s="279" t="str" cm="1">
        <f t="array" ref="F186">IFERROR(INDEX('Measure List'!D:D,'Printable Report'!$A186),"")</f>
        <v/>
      </c>
      <c r="G186" s="280" t="str" cm="1">
        <f t="array" ref="G186">IFERROR(INDEX('Measure List'!E:E,'Printable Report'!$A186),"")</f>
        <v/>
      </c>
      <c r="H186" s="299" t="str" cm="1">
        <f t="array" ref="H186">IFERROR(INDEX('Measure List'!F:F,'Printable Report'!$A186),"")</f>
        <v/>
      </c>
      <c r="I186" s="282" t="str" cm="1">
        <f t="array" ref="I186">IFERROR(INDEX('Measure List'!G:G,'Printable Report'!$A186),"")</f>
        <v/>
      </c>
      <c r="J186" s="299" t="str" cm="1">
        <f t="array" ref="J186">IFERROR(INDEX('Measure List'!I:I,'Printable Report'!$A186),"")</f>
        <v/>
      </c>
      <c r="K186" s="299" t="str" cm="1">
        <f t="array" ref="K186">IFERROR(INDEX('Measure List'!J:J,'Printable Report'!$A186),"")</f>
        <v/>
      </c>
      <c r="L186" s="299" t="str" cm="1">
        <f t="array" ref="L186">IFERROR(INDEX('Measure List'!K:K,'Printable Report'!$A186),"")</f>
        <v/>
      </c>
      <c r="M186" s="287"/>
      <c r="O186" s="286"/>
      <c r="P186" s="269"/>
      <c r="Q186" s="269"/>
      <c r="R186" s="269"/>
    </row>
    <row r="187" spans="1:18" s="285" customFormat="1" ht="39.6" customHeight="1" x14ac:dyDescent="0.25">
      <c r="A187" s="298" t="str" cm="1">
        <f t="array" ref="A187">IFERROR(SMALL(IF('Measure List'!G$2:G$171&lt;&gt;0,'Measure List'!A$2:A$171),ROW()-26),"")</f>
        <v/>
      </c>
      <c r="B187" s="276"/>
      <c r="C187" s="276"/>
      <c r="D187" s="277" t="str" cm="1">
        <f t="array" ref="D187">IFERROR(INDEX('Measure List'!B:B,'Printable Report'!$A187),"")</f>
        <v/>
      </c>
      <c r="E187" s="278" t="str" cm="1">
        <f t="array" ref="E187">IFERROR(INDEX('Measure List'!C:C,'Printable Report'!$A187),"")</f>
        <v/>
      </c>
      <c r="F187" s="279" t="str" cm="1">
        <f t="array" ref="F187">IFERROR(INDEX('Measure List'!D:D,'Printable Report'!$A187),"")</f>
        <v/>
      </c>
      <c r="G187" s="280" t="str" cm="1">
        <f t="array" ref="G187">IFERROR(INDEX('Measure List'!E:E,'Printable Report'!$A187),"")</f>
        <v/>
      </c>
      <c r="H187" s="299" t="str" cm="1">
        <f t="array" ref="H187">IFERROR(INDEX('Measure List'!F:F,'Printable Report'!$A187),"")</f>
        <v/>
      </c>
      <c r="I187" s="282" t="str" cm="1">
        <f t="array" ref="I187">IFERROR(INDEX('Measure List'!G:G,'Printable Report'!$A187),"")</f>
        <v/>
      </c>
      <c r="J187" s="299" t="str" cm="1">
        <f t="array" ref="J187">IFERROR(INDEX('Measure List'!I:I,'Printable Report'!$A187),"")</f>
        <v/>
      </c>
      <c r="K187" s="299" t="str" cm="1">
        <f t="array" ref="K187">IFERROR(INDEX('Measure List'!J:J,'Printable Report'!$A187),"")</f>
        <v/>
      </c>
      <c r="L187" s="299" t="str" cm="1">
        <f t="array" ref="L187">IFERROR(INDEX('Measure List'!K:K,'Printable Report'!$A187),"")</f>
        <v/>
      </c>
      <c r="M187" s="287"/>
      <c r="O187" s="286"/>
      <c r="P187" s="269"/>
      <c r="Q187" s="269"/>
      <c r="R187" s="269"/>
    </row>
    <row r="188" spans="1:18" s="285" customFormat="1" ht="39.6" customHeight="1" x14ac:dyDescent="0.25">
      <c r="A188" s="276"/>
      <c r="B188" s="276"/>
      <c r="C188" s="276"/>
      <c r="D188" s="277"/>
      <c r="E188" s="278"/>
      <c r="F188" s="279"/>
      <c r="G188" s="280"/>
      <c r="H188" s="281"/>
      <c r="I188" s="282"/>
      <c r="J188" s="281"/>
      <c r="K188" s="283"/>
      <c r="L188" s="284"/>
      <c r="M188" s="287"/>
      <c r="O188" s="286"/>
      <c r="P188" s="269"/>
      <c r="Q188" s="269"/>
      <c r="R188" s="269"/>
    </row>
    <row r="189" spans="1:18" s="285" customFormat="1" ht="39.6" customHeight="1" x14ac:dyDescent="0.25">
      <c r="A189" s="276"/>
      <c r="B189" s="276"/>
      <c r="C189" s="276"/>
      <c r="D189" s="277"/>
      <c r="E189" s="278"/>
      <c r="F189" s="279"/>
      <c r="G189" s="280"/>
      <c r="H189" s="281"/>
      <c r="I189" s="282"/>
      <c r="J189" s="281"/>
      <c r="K189" s="283"/>
      <c r="L189" s="284"/>
      <c r="M189" s="287"/>
      <c r="O189" s="286"/>
      <c r="P189" s="269"/>
      <c r="Q189" s="269"/>
      <c r="R189" s="269"/>
    </row>
    <row r="190" spans="1:18" s="285" customFormat="1" ht="39.6" customHeight="1" x14ac:dyDescent="0.25">
      <c r="A190" s="276"/>
      <c r="B190" s="276"/>
      <c r="C190" s="276"/>
      <c r="D190" s="277"/>
      <c r="E190" s="278"/>
      <c r="F190" s="279"/>
      <c r="G190" s="280"/>
      <c r="H190" s="281"/>
      <c r="I190" s="282"/>
      <c r="J190" s="281"/>
      <c r="K190" s="283"/>
      <c r="L190" s="284"/>
      <c r="M190" s="287"/>
      <c r="O190" s="286"/>
      <c r="P190" s="269"/>
      <c r="Q190" s="269"/>
      <c r="R190" s="269"/>
    </row>
    <row r="191" spans="1:18" s="285" customFormat="1" ht="39.6" customHeight="1" x14ac:dyDescent="0.25">
      <c r="A191" s="276"/>
      <c r="B191" s="276"/>
      <c r="C191" s="276"/>
      <c r="D191" s="277"/>
      <c r="E191" s="278"/>
      <c r="F191" s="279"/>
      <c r="G191" s="280"/>
      <c r="H191" s="281"/>
      <c r="I191" s="282"/>
      <c r="J191" s="281"/>
      <c r="K191" s="283"/>
      <c r="L191" s="284"/>
      <c r="M191" s="287"/>
      <c r="O191" s="286"/>
      <c r="P191" s="269"/>
      <c r="Q191" s="269"/>
      <c r="R191" s="269"/>
    </row>
    <row r="192" spans="1:18" s="285" customFormat="1" ht="39.6" customHeight="1" x14ac:dyDescent="0.25">
      <c r="A192" s="276"/>
      <c r="B192" s="276"/>
      <c r="C192" s="276"/>
      <c r="D192" s="277"/>
      <c r="E192" s="278"/>
      <c r="F192" s="279"/>
      <c r="G192" s="280"/>
      <c r="H192" s="281"/>
      <c r="I192" s="282"/>
      <c r="J192" s="281"/>
      <c r="K192" s="283"/>
      <c r="L192" s="284"/>
      <c r="M192" s="287"/>
      <c r="O192" s="286"/>
      <c r="P192" s="269"/>
      <c r="Q192" s="269"/>
      <c r="R192" s="269"/>
    </row>
    <row r="193" spans="1:18" s="285" customFormat="1" ht="39.6" customHeight="1" x14ac:dyDescent="0.25">
      <c r="A193" s="276"/>
      <c r="B193" s="276"/>
      <c r="C193" s="276"/>
      <c r="D193" s="277"/>
      <c r="E193" s="278"/>
      <c r="F193" s="279"/>
      <c r="G193" s="280"/>
      <c r="H193" s="281"/>
      <c r="I193" s="282"/>
      <c r="J193" s="281"/>
      <c r="K193" s="283"/>
      <c r="L193" s="284"/>
      <c r="M193" s="287"/>
      <c r="O193" s="286"/>
      <c r="P193" s="269"/>
      <c r="Q193" s="269"/>
      <c r="R193" s="269"/>
    </row>
    <row r="194" spans="1:18" s="285" customFormat="1" ht="39.6" customHeight="1" x14ac:dyDescent="0.25">
      <c r="A194" s="276"/>
      <c r="B194" s="276"/>
      <c r="C194" s="276"/>
      <c r="D194" s="277"/>
      <c r="E194" s="278"/>
      <c r="F194" s="279"/>
      <c r="G194" s="280"/>
      <c r="H194" s="281"/>
      <c r="I194" s="282"/>
      <c r="J194" s="281"/>
      <c r="K194" s="283"/>
      <c r="L194" s="284"/>
      <c r="M194" s="287"/>
      <c r="O194" s="286"/>
      <c r="P194" s="269"/>
      <c r="Q194" s="269"/>
      <c r="R194" s="269"/>
    </row>
    <row r="195" spans="1:18" s="285" customFormat="1" ht="39.6" customHeight="1" x14ac:dyDescent="0.25">
      <c r="A195" s="276"/>
      <c r="B195" s="276"/>
      <c r="C195" s="276"/>
      <c r="D195" s="277"/>
      <c r="E195" s="278"/>
      <c r="F195" s="279"/>
      <c r="G195" s="280"/>
      <c r="H195" s="281"/>
      <c r="I195" s="282"/>
      <c r="J195" s="281"/>
      <c r="K195" s="283"/>
      <c r="L195" s="284"/>
      <c r="M195" s="287"/>
      <c r="O195" s="286"/>
      <c r="P195" s="269"/>
      <c r="Q195" s="269"/>
      <c r="R195" s="269"/>
    </row>
    <row r="196" spans="1:18" s="285" customFormat="1" ht="39.6" customHeight="1" x14ac:dyDescent="0.25">
      <c r="A196" s="276"/>
      <c r="B196" s="276"/>
      <c r="C196" s="276"/>
      <c r="D196" s="277"/>
      <c r="E196" s="278"/>
      <c r="F196" s="279"/>
      <c r="G196" s="280"/>
      <c r="H196" s="281"/>
      <c r="I196" s="282"/>
      <c r="J196" s="281"/>
      <c r="K196" s="283"/>
      <c r="L196" s="284"/>
      <c r="M196" s="287"/>
      <c r="O196" s="286"/>
      <c r="P196" s="269"/>
      <c r="Q196" s="269"/>
      <c r="R196" s="269"/>
    </row>
    <row r="197" spans="1:18" s="285" customFormat="1" ht="39.6" customHeight="1" x14ac:dyDescent="0.25">
      <c r="A197" s="276"/>
      <c r="B197" s="276"/>
      <c r="C197" s="276"/>
      <c r="D197" s="277"/>
      <c r="E197" s="278"/>
      <c r="F197" s="279"/>
      <c r="G197" s="280"/>
      <c r="H197" s="281"/>
      <c r="I197" s="282"/>
      <c r="J197" s="281"/>
      <c r="K197" s="283"/>
      <c r="L197" s="284"/>
      <c r="M197" s="287"/>
      <c r="O197" s="286"/>
      <c r="P197" s="269"/>
      <c r="Q197" s="269"/>
      <c r="R197" s="269"/>
    </row>
    <row r="198" spans="1:18" s="285" customFormat="1" ht="39.6" customHeight="1" x14ac:dyDescent="0.25">
      <c r="A198" s="276"/>
      <c r="B198" s="276"/>
      <c r="C198" s="276"/>
      <c r="D198" s="277"/>
      <c r="E198" s="278"/>
      <c r="F198" s="279"/>
      <c r="G198" s="280"/>
      <c r="H198" s="281"/>
      <c r="I198" s="282"/>
      <c r="J198" s="281"/>
      <c r="K198" s="283"/>
      <c r="L198" s="284"/>
      <c r="M198" s="287"/>
      <c r="O198" s="286"/>
      <c r="P198" s="269"/>
      <c r="Q198" s="269"/>
      <c r="R198" s="269"/>
    </row>
    <row r="199" spans="1:18" s="285" customFormat="1" ht="39.6" customHeight="1" x14ac:dyDescent="0.25">
      <c r="A199" s="276"/>
      <c r="B199" s="276"/>
      <c r="C199" s="276"/>
      <c r="D199" s="277"/>
      <c r="E199" s="278"/>
      <c r="F199" s="279"/>
      <c r="G199" s="280"/>
      <c r="H199" s="281"/>
      <c r="I199" s="282"/>
      <c r="J199" s="281"/>
      <c r="K199" s="283"/>
      <c r="L199" s="284"/>
      <c r="M199" s="287"/>
      <c r="O199" s="286"/>
      <c r="P199" s="269"/>
      <c r="Q199" s="269"/>
      <c r="R199" s="269"/>
    </row>
    <row r="200" spans="1:18" s="285" customFormat="1" ht="39.6" customHeight="1" x14ac:dyDescent="0.25">
      <c r="A200" s="276"/>
      <c r="B200" s="276"/>
      <c r="C200" s="276"/>
      <c r="D200" s="277"/>
      <c r="E200" s="278"/>
      <c r="F200" s="279"/>
      <c r="G200" s="280"/>
      <c r="H200" s="281"/>
      <c r="I200" s="282"/>
      <c r="J200" s="281"/>
      <c r="K200" s="283"/>
      <c r="L200" s="284"/>
      <c r="M200" s="287"/>
      <c r="O200" s="286"/>
      <c r="P200" s="269"/>
      <c r="Q200" s="269"/>
      <c r="R200" s="269"/>
    </row>
    <row r="201" spans="1:18" s="285" customFormat="1" ht="39.6" customHeight="1" x14ac:dyDescent="0.25">
      <c r="A201" s="276"/>
      <c r="B201" s="276"/>
      <c r="C201" s="276"/>
      <c r="D201" s="277"/>
      <c r="E201" s="278"/>
      <c r="F201" s="279"/>
      <c r="G201" s="280"/>
      <c r="H201" s="281"/>
      <c r="I201" s="282"/>
      <c r="J201" s="281"/>
      <c r="K201" s="283"/>
      <c r="L201" s="284"/>
      <c r="M201" s="287"/>
      <c r="O201" s="286"/>
      <c r="P201" s="269"/>
      <c r="Q201" s="269"/>
      <c r="R201" s="269"/>
    </row>
    <row r="202" spans="1:18" s="285" customFormat="1" ht="39.6" customHeight="1" x14ac:dyDescent="0.25">
      <c r="A202" s="276"/>
      <c r="B202" s="276"/>
      <c r="C202" s="276"/>
      <c r="D202" s="277"/>
      <c r="E202" s="278"/>
      <c r="F202" s="279"/>
      <c r="G202" s="280"/>
      <c r="H202" s="281"/>
      <c r="I202" s="282"/>
      <c r="J202" s="281"/>
      <c r="K202" s="283"/>
      <c r="L202" s="284"/>
      <c r="M202" s="287"/>
      <c r="O202" s="286"/>
      <c r="P202" s="269"/>
      <c r="Q202" s="269"/>
      <c r="R202" s="269"/>
    </row>
    <row r="203" spans="1:18" s="285" customFormat="1" ht="39.6" customHeight="1" x14ac:dyDescent="0.25">
      <c r="A203" s="276"/>
      <c r="B203" s="276"/>
      <c r="C203" s="276"/>
      <c r="D203" s="277"/>
      <c r="E203" s="278"/>
      <c r="F203" s="279"/>
      <c r="G203" s="280"/>
      <c r="H203" s="281"/>
      <c r="I203" s="282"/>
      <c r="J203" s="281"/>
      <c r="K203" s="283"/>
      <c r="L203" s="284"/>
      <c r="M203" s="287"/>
      <c r="O203" s="286"/>
      <c r="P203" s="269"/>
      <c r="Q203" s="269"/>
      <c r="R203" s="269"/>
    </row>
    <row r="204" spans="1:18" s="285" customFormat="1" ht="39.6" customHeight="1" x14ac:dyDescent="0.25">
      <c r="A204" s="276"/>
      <c r="B204" s="276"/>
      <c r="C204" s="276"/>
      <c r="D204" s="277"/>
      <c r="E204" s="278"/>
      <c r="F204" s="279"/>
      <c r="G204" s="280"/>
      <c r="H204" s="281"/>
      <c r="I204" s="282"/>
      <c r="J204" s="281"/>
      <c r="K204" s="283"/>
      <c r="L204" s="284"/>
      <c r="M204" s="287"/>
      <c r="O204" s="286"/>
      <c r="P204" s="269"/>
      <c r="Q204" s="269"/>
      <c r="R204" s="269"/>
    </row>
    <row r="205" spans="1:18" s="285" customFormat="1" ht="39.6" customHeight="1" x14ac:dyDescent="0.25">
      <c r="A205" s="276"/>
      <c r="B205" s="276"/>
      <c r="C205" s="276"/>
      <c r="D205" s="277"/>
      <c r="E205" s="278"/>
      <c r="F205" s="279"/>
      <c r="G205" s="280"/>
      <c r="H205" s="281"/>
      <c r="I205" s="282"/>
      <c r="J205" s="281"/>
      <c r="K205" s="283"/>
      <c r="L205" s="284"/>
      <c r="M205" s="287"/>
      <c r="O205" s="286"/>
      <c r="P205" s="269"/>
      <c r="Q205" s="269"/>
      <c r="R205" s="269"/>
    </row>
    <row r="206" spans="1:18" s="285" customFormat="1" ht="39.6" customHeight="1" x14ac:dyDescent="0.25">
      <c r="A206" s="276"/>
      <c r="B206" s="276"/>
      <c r="C206" s="276"/>
      <c r="D206" s="277"/>
      <c r="E206" s="278"/>
      <c r="F206" s="279"/>
      <c r="G206" s="280"/>
      <c r="H206" s="281"/>
      <c r="I206" s="282"/>
      <c r="J206" s="281"/>
      <c r="K206" s="283"/>
      <c r="L206" s="284"/>
      <c r="M206" s="287"/>
      <c r="O206" s="286"/>
      <c r="P206" s="269"/>
      <c r="Q206" s="269"/>
      <c r="R206" s="269"/>
    </row>
    <row r="207" spans="1:18" s="285" customFormat="1" ht="39.6" customHeight="1" x14ac:dyDescent="0.25">
      <c r="A207" s="276"/>
      <c r="B207" s="276"/>
      <c r="C207" s="276"/>
      <c r="D207" s="277"/>
      <c r="E207" s="278"/>
      <c r="F207" s="279"/>
      <c r="G207" s="280"/>
      <c r="H207" s="281"/>
      <c r="I207" s="282"/>
      <c r="J207" s="281"/>
      <c r="K207" s="283"/>
      <c r="L207" s="284"/>
      <c r="M207" s="287"/>
      <c r="O207" s="286"/>
      <c r="P207" s="269"/>
      <c r="Q207" s="269"/>
      <c r="R207" s="269"/>
    </row>
    <row r="208" spans="1:18" s="285" customFormat="1" ht="39.6" customHeight="1" x14ac:dyDescent="0.25">
      <c r="A208" s="276"/>
      <c r="B208" s="276"/>
      <c r="C208" s="276"/>
      <c r="D208" s="277"/>
      <c r="E208" s="278"/>
      <c r="F208" s="279"/>
      <c r="G208" s="280"/>
      <c r="H208" s="281"/>
      <c r="I208" s="282"/>
      <c r="J208" s="281"/>
      <c r="K208" s="283"/>
      <c r="L208" s="284"/>
      <c r="M208" s="287"/>
      <c r="O208" s="286"/>
      <c r="P208" s="269"/>
      <c r="Q208" s="269"/>
      <c r="R208" s="269"/>
    </row>
    <row r="209" spans="1:18" s="285" customFormat="1" ht="39.6" customHeight="1" x14ac:dyDescent="0.25">
      <c r="A209" s="276"/>
      <c r="B209" s="276"/>
      <c r="C209" s="276"/>
      <c r="D209" s="277"/>
      <c r="E209" s="278"/>
      <c r="F209" s="279"/>
      <c r="G209" s="280"/>
      <c r="H209" s="281"/>
      <c r="I209" s="282"/>
      <c r="J209" s="281"/>
      <c r="K209" s="283"/>
      <c r="L209" s="284"/>
      <c r="M209" s="287"/>
      <c r="O209" s="286"/>
      <c r="P209" s="269"/>
      <c r="Q209" s="269"/>
      <c r="R209" s="269"/>
    </row>
    <row r="210" spans="1:18" s="285" customFormat="1" ht="39.6" customHeight="1" x14ac:dyDescent="0.25">
      <c r="A210" s="276"/>
      <c r="B210" s="276"/>
      <c r="C210" s="276"/>
      <c r="D210" s="277"/>
      <c r="E210" s="278"/>
      <c r="F210" s="279"/>
      <c r="G210" s="280"/>
      <c r="H210" s="281"/>
      <c r="I210" s="282"/>
      <c r="J210" s="281"/>
      <c r="K210" s="283"/>
      <c r="L210" s="284"/>
      <c r="M210" s="287"/>
      <c r="O210" s="286"/>
      <c r="P210" s="269"/>
      <c r="Q210" s="269"/>
      <c r="R210" s="269"/>
    </row>
    <row r="211" spans="1:18" s="285" customFormat="1" ht="39.6" customHeight="1" x14ac:dyDescent="0.25">
      <c r="A211" s="276"/>
      <c r="B211" s="276"/>
      <c r="C211" s="276"/>
      <c r="D211" s="277"/>
      <c r="E211" s="278"/>
      <c r="F211" s="279"/>
      <c r="G211" s="280"/>
      <c r="H211" s="281"/>
      <c r="I211" s="282"/>
      <c r="J211" s="281"/>
      <c r="K211" s="283"/>
      <c r="L211" s="284"/>
      <c r="M211" s="287"/>
      <c r="O211" s="286"/>
      <c r="P211" s="269"/>
      <c r="Q211" s="269"/>
      <c r="R211" s="269"/>
    </row>
    <row r="212" spans="1:18" s="285" customFormat="1" ht="39.6" customHeight="1" x14ac:dyDescent="0.25">
      <c r="A212" s="276"/>
      <c r="B212" s="276"/>
      <c r="C212" s="276"/>
      <c r="D212" s="277"/>
      <c r="E212" s="278"/>
      <c r="F212" s="279"/>
      <c r="G212" s="280"/>
      <c r="H212" s="281"/>
      <c r="I212" s="282"/>
      <c r="J212" s="281"/>
      <c r="K212" s="283"/>
      <c r="L212" s="284"/>
      <c r="M212" s="287"/>
      <c r="O212" s="286"/>
      <c r="P212" s="269"/>
      <c r="Q212" s="269"/>
      <c r="R212" s="269"/>
    </row>
    <row r="213" spans="1:18" s="285" customFormat="1" ht="39.6" customHeight="1" x14ac:dyDescent="0.25">
      <c r="A213" s="276"/>
      <c r="B213" s="276"/>
      <c r="C213" s="276"/>
      <c r="D213" s="277"/>
      <c r="E213" s="278"/>
      <c r="F213" s="279"/>
      <c r="G213" s="280"/>
      <c r="H213" s="281"/>
      <c r="I213" s="282"/>
      <c r="J213" s="281"/>
      <c r="K213" s="283"/>
      <c r="L213" s="284"/>
      <c r="M213" s="287"/>
      <c r="O213" s="286"/>
      <c r="P213" s="269"/>
      <c r="Q213" s="269"/>
      <c r="R213" s="269"/>
    </row>
    <row r="214" spans="1:18" s="285" customFormat="1" ht="39.6" customHeight="1" x14ac:dyDescent="0.25">
      <c r="A214" s="276"/>
      <c r="B214" s="276"/>
      <c r="C214" s="276"/>
      <c r="D214" s="277"/>
      <c r="E214" s="278"/>
      <c r="F214" s="279"/>
      <c r="G214" s="280"/>
      <c r="H214" s="281"/>
      <c r="I214" s="282"/>
      <c r="J214" s="281"/>
      <c r="K214" s="283"/>
      <c r="L214" s="284"/>
      <c r="M214" s="287"/>
      <c r="O214" s="286"/>
      <c r="P214" s="269"/>
      <c r="Q214" s="269"/>
      <c r="R214" s="269"/>
    </row>
    <row r="215" spans="1:18" s="285" customFormat="1" ht="39.6" customHeight="1" x14ac:dyDescent="0.25">
      <c r="A215" s="276"/>
      <c r="B215" s="276"/>
      <c r="C215" s="276"/>
      <c r="D215" s="277"/>
      <c r="E215" s="278"/>
      <c r="F215" s="279"/>
      <c r="G215" s="280"/>
      <c r="H215" s="281"/>
      <c r="I215" s="282"/>
      <c r="J215" s="281"/>
      <c r="K215" s="283"/>
      <c r="L215" s="284"/>
      <c r="M215" s="287"/>
      <c r="O215" s="286"/>
      <c r="P215" s="269"/>
      <c r="Q215" s="269"/>
      <c r="R215" s="269"/>
    </row>
    <row r="216" spans="1:18" s="285" customFormat="1" ht="39.6" customHeight="1" x14ac:dyDescent="0.25">
      <c r="A216" s="276"/>
      <c r="B216" s="276"/>
      <c r="C216" s="276"/>
      <c r="D216" s="277"/>
      <c r="E216" s="278"/>
      <c r="F216" s="279"/>
      <c r="G216" s="280"/>
      <c r="H216" s="281"/>
      <c r="I216" s="282"/>
      <c r="J216" s="281"/>
      <c r="K216" s="283"/>
      <c r="L216" s="284"/>
      <c r="M216" s="287"/>
      <c r="O216" s="286"/>
      <c r="P216" s="269"/>
      <c r="Q216" s="269"/>
      <c r="R216" s="269"/>
    </row>
    <row r="217" spans="1:18" s="285" customFormat="1" ht="39.6" customHeight="1" x14ac:dyDescent="0.25">
      <c r="A217" s="276"/>
      <c r="B217" s="276"/>
      <c r="C217" s="276"/>
      <c r="D217" s="277"/>
      <c r="E217" s="278"/>
      <c r="F217" s="279"/>
      <c r="G217" s="280"/>
      <c r="H217" s="281"/>
      <c r="I217" s="282"/>
      <c r="J217" s="281"/>
      <c r="K217" s="283"/>
      <c r="L217" s="284"/>
      <c r="M217" s="287"/>
      <c r="O217" s="286"/>
      <c r="P217" s="269"/>
      <c r="Q217" s="269"/>
      <c r="R217" s="269"/>
    </row>
    <row r="218" spans="1:18" s="285" customFormat="1" ht="39.6" customHeight="1" x14ac:dyDescent="0.25">
      <c r="A218" s="276"/>
      <c r="B218" s="276"/>
      <c r="C218" s="276"/>
      <c r="D218" s="277"/>
      <c r="E218" s="278"/>
      <c r="F218" s="279"/>
      <c r="G218" s="280"/>
      <c r="H218" s="281"/>
      <c r="I218" s="282"/>
      <c r="J218" s="281"/>
      <c r="K218" s="283"/>
      <c r="L218" s="284"/>
      <c r="M218" s="287"/>
      <c r="O218" s="286"/>
      <c r="P218" s="269"/>
      <c r="Q218" s="269"/>
      <c r="R218" s="269"/>
    </row>
    <row r="219" spans="1:18" s="285" customFormat="1" ht="39.6" customHeight="1" x14ac:dyDescent="0.25">
      <c r="A219" s="276"/>
      <c r="B219" s="276"/>
      <c r="C219" s="276"/>
      <c r="D219" s="277"/>
      <c r="E219" s="278"/>
      <c r="F219" s="279"/>
      <c r="G219" s="280"/>
      <c r="H219" s="281"/>
      <c r="I219" s="282"/>
      <c r="J219" s="281"/>
      <c r="K219" s="283"/>
      <c r="L219" s="284"/>
      <c r="M219" s="287"/>
      <c r="O219" s="286"/>
      <c r="P219" s="269"/>
      <c r="Q219" s="269"/>
      <c r="R219" s="269"/>
    </row>
    <row r="220" spans="1:18" s="285" customFormat="1" ht="39.6" customHeight="1" x14ac:dyDescent="0.25">
      <c r="A220" s="276"/>
      <c r="B220" s="276"/>
      <c r="C220" s="276"/>
      <c r="D220" s="277"/>
      <c r="E220" s="278"/>
      <c r="F220" s="279"/>
      <c r="G220" s="280"/>
      <c r="H220" s="281"/>
      <c r="I220" s="282"/>
      <c r="J220" s="281"/>
      <c r="K220" s="283"/>
      <c r="L220" s="284"/>
      <c r="M220" s="287"/>
      <c r="O220" s="286"/>
      <c r="P220" s="269"/>
      <c r="Q220" s="269"/>
      <c r="R220" s="269"/>
    </row>
    <row r="221" spans="1:18" s="285" customFormat="1" ht="39.6" customHeight="1" x14ac:dyDescent="0.25">
      <c r="A221" s="276"/>
      <c r="B221" s="276"/>
      <c r="C221" s="276"/>
      <c r="D221" s="277"/>
      <c r="E221" s="278"/>
      <c r="F221" s="279"/>
      <c r="G221" s="280"/>
      <c r="H221" s="281"/>
      <c r="I221" s="282"/>
      <c r="J221" s="281"/>
      <c r="K221" s="283"/>
      <c r="L221" s="284"/>
      <c r="M221" s="287"/>
      <c r="O221" s="286"/>
      <c r="P221" s="269"/>
      <c r="Q221" s="269"/>
      <c r="R221" s="269"/>
    </row>
    <row r="222" spans="1:18" s="285" customFormat="1" ht="39.6" customHeight="1" x14ac:dyDescent="0.25">
      <c r="A222" s="276"/>
      <c r="B222" s="276"/>
      <c r="C222" s="276"/>
      <c r="D222" s="277"/>
      <c r="E222" s="278"/>
      <c r="F222" s="279"/>
      <c r="G222" s="280"/>
      <c r="H222" s="281"/>
      <c r="I222" s="282"/>
      <c r="J222" s="281"/>
      <c r="K222" s="283"/>
      <c r="L222" s="284"/>
      <c r="M222" s="287"/>
      <c r="O222" s="286"/>
      <c r="P222" s="269"/>
      <c r="Q222" s="269"/>
      <c r="R222" s="269"/>
    </row>
    <row r="223" spans="1:18" s="285" customFormat="1" ht="39.6" customHeight="1" x14ac:dyDescent="0.25">
      <c r="A223" s="276"/>
      <c r="B223" s="276"/>
      <c r="C223" s="276"/>
      <c r="D223" s="277"/>
      <c r="E223" s="278"/>
      <c r="F223" s="279"/>
      <c r="G223" s="280"/>
      <c r="H223" s="281"/>
      <c r="I223" s="282"/>
      <c r="J223" s="281"/>
      <c r="K223" s="283"/>
      <c r="L223" s="284"/>
      <c r="M223" s="287"/>
      <c r="O223" s="286"/>
      <c r="P223" s="269"/>
      <c r="Q223" s="269"/>
      <c r="R223" s="269"/>
    </row>
    <row r="224" spans="1:18" s="285" customFormat="1" ht="39.6" customHeight="1" x14ac:dyDescent="0.25">
      <c r="A224" s="276"/>
      <c r="B224" s="276"/>
      <c r="C224" s="276"/>
      <c r="D224" s="277"/>
      <c r="E224" s="278"/>
      <c r="F224" s="279"/>
      <c r="G224" s="280"/>
      <c r="H224" s="281"/>
      <c r="I224" s="282"/>
      <c r="J224" s="281"/>
      <c r="K224" s="283"/>
      <c r="L224" s="284"/>
      <c r="M224" s="287"/>
      <c r="O224" s="286"/>
      <c r="P224" s="269"/>
      <c r="Q224" s="269"/>
      <c r="R224" s="269"/>
    </row>
    <row r="225" spans="1:18" s="285" customFormat="1" ht="39.6" customHeight="1" x14ac:dyDescent="0.25">
      <c r="A225" s="276"/>
      <c r="B225" s="276"/>
      <c r="C225" s="276"/>
      <c r="D225" s="277"/>
      <c r="E225" s="278"/>
      <c r="F225" s="279"/>
      <c r="G225" s="280"/>
      <c r="H225" s="281"/>
      <c r="I225" s="282"/>
      <c r="J225" s="281"/>
      <c r="K225" s="283"/>
      <c r="L225" s="284"/>
      <c r="M225" s="287"/>
      <c r="O225" s="286"/>
      <c r="P225" s="269"/>
      <c r="Q225" s="269"/>
      <c r="R225" s="269"/>
    </row>
    <row r="226" spans="1:18" s="285" customFormat="1" ht="39.6" customHeight="1" x14ac:dyDescent="0.25">
      <c r="A226" s="276"/>
      <c r="B226" s="276"/>
      <c r="C226" s="276"/>
      <c r="D226" s="277"/>
      <c r="E226" s="278"/>
      <c r="F226" s="279"/>
      <c r="G226" s="280"/>
      <c r="H226" s="281"/>
      <c r="I226" s="282"/>
      <c r="J226" s="281"/>
      <c r="K226" s="283"/>
      <c r="L226" s="284"/>
      <c r="M226" s="287"/>
      <c r="O226" s="286"/>
      <c r="P226" s="269"/>
      <c r="Q226" s="269"/>
      <c r="R226" s="269"/>
    </row>
    <row r="227" spans="1:18" s="285" customFormat="1" ht="39.6" customHeight="1" x14ac:dyDescent="0.25">
      <c r="A227" s="276"/>
      <c r="B227" s="276"/>
      <c r="C227" s="276"/>
      <c r="D227" s="277"/>
      <c r="E227" s="278"/>
      <c r="F227" s="279"/>
      <c r="G227" s="280"/>
      <c r="H227" s="281"/>
      <c r="I227" s="282"/>
      <c r="J227" s="281"/>
      <c r="K227" s="283"/>
      <c r="L227" s="284"/>
      <c r="M227" s="287"/>
      <c r="O227" s="286"/>
      <c r="P227" s="269"/>
      <c r="Q227" s="269"/>
      <c r="R227" s="269"/>
    </row>
    <row r="228" spans="1:18" s="285" customFormat="1" ht="39.6" customHeight="1" x14ac:dyDescent="0.25">
      <c r="A228" s="276"/>
      <c r="B228" s="276"/>
      <c r="C228" s="276"/>
      <c r="D228" s="277"/>
      <c r="E228" s="278"/>
      <c r="F228" s="279"/>
      <c r="G228" s="280"/>
      <c r="H228" s="281"/>
      <c r="I228" s="282"/>
      <c r="J228" s="281"/>
      <c r="K228" s="283"/>
      <c r="L228" s="284"/>
      <c r="M228" s="287"/>
      <c r="O228" s="286"/>
      <c r="P228" s="269"/>
      <c r="Q228" s="269"/>
      <c r="R228" s="269"/>
    </row>
    <row r="229" spans="1:18" s="285" customFormat="1" ht="39.6" customHeight="1" x14ac:dyDescent="0.25">
      <c r="A229" s="276"/>
      <c r="B229" s="276"/>
      <c r="C229" s="276"/>
      <c r="D229" s="277"/>
      <c r="E229" s="278"/>
      <c r="F229" s="279"/>
      <c r="G229" s="280"/>
      <c r="H229" s="281"/>
      <c r="I229" s="282"/>
      <c r="J229" s="281"/>
      <c r="K229" s="283"/>
      <c r="L229" s="284"/>
      <c r="M229" s="287"/>
      <c r="O229" s="286"/>
      <c r="P229" s="269"/>
      <c r="Q229" s="269"/>
      <c r="R229" s="269"/>
    </row>
    <row r="230" spans="1:18" s="285" customFormat="1" ht="39.6" customHeight="1" x14ac:dyDescent="0.25">
      <c r="A230" s="276"/>
      <c r="B230" s="276"/>
      <c r="C230" s="276"/>
      <c r="D230" s="277"/>
      <c r="E230" s="278"/>
      <c r="F230" s="279"/>
      <c r="G230" s="280"/>
      <c r="H230" s="281"/>
      <c r="I230" s="282"/>
      <c r="J230" s="281"/>
      <c r="K230" s="283"/>
      <c r="L230" s="284"/>
      <c r="M230" s="287"/>
      <c r="O230" s="286"/>
      <c r="P230" s="269"/>
      <c r="Q230" s="269"/>
      <c r="R230" s="269"/>
    </row>
    <row r="231" spans="1:18" s="285" customFormat="1" ht="39.6" customHeight="1" x14ac:dyDescent="0.25">
      <c r="A231" s="276"/>
      <c r="B231" s="276"/>
      <c r="C231" s="276"/>
      <c r="D231" s="277"/>
      <c r="E231" s="278"/>
      <c r="F231" s="279"/>
      <c r="G231" s="280"/>
      <c r="H231" s="281"/>
      <c r="I231" s="282"/>
      <c r="J231" s="281"/>
      <c r="K231" s="283"/>
      <c r="L231" s="284"/>
      <c r="M231" s="287"/>
      <c r="O231" s="286"/>
      <c r="P231" s="269"/>
      <c r="Q231" s="269"/>
      <c r="R231" s="269"/>
    </row>
    <row r="232" spans="1:18" s="285" customFormat="1" ht="39.6" customHeight="1" x14ac:dyDescent="0.25">
      <c r="A232" s="276"/>
      <c r="B232" s="276"/>
      <c r="C232" s="276"/>
      <c r="D232" s="277"/>
      <c r="E232" s="278"/>
      <c r="F232" s="279"/>
      <c r="G232" s="280"/>
      <c r="H232" s="281"/>
      <c r="I232" s="282"/>
      <c r="J232" s="281"/>
      <c r="K232" s="283"/>
      <c r="L232" s="284"/>
      <c r="M232" s="287"/>
      <c r="O232" s="286"/>
      <c r="P232" s="269"/>
      <c r="Q232" s="269"/>
      <c r="R232" s="269"/>
    </row>
    <row r="233" spans="1:18" s="285" customFormat="1" ht="39.6" customHeight="1" x14ac:dyDescent="0.25">
      <c r="A233" s="276"/>
      <c r="B233" s="276"/>
      <c r="C233" s="276"/>
      <c r="D233" s="277"/>
      <c r="E233" s="278"/>
      <c r="F233" s="279"/>
      <c r="G233" s="280"/>
      <c r="H233" s="281"/>
      <c r="I233" s="282"/>
      <c r="J233" s="281"/>
      <c r="K233" s="283"/>
      <c r="L233" s="284"/>
      <c r="M233" s="287"/>
      <c r="O233" s="286"/>
      <c r="P233" s="269"/>
      <c r="Q233" s="269"/>
      <c r="R233" s="269"/>
    </row>
    <row r="234" spans="1:18" s="285" customFormat="1" ht="39.6" customHeight="1" x14ac:dyDescent="0.25">
      <c r="A234" s="276"/>
      <c r="B234" s="276"/>
      <c r="C234" s="276"/>
      <c r="D234" s="277"/>
      <c r="E234" s="278"/>
      <c r="F234" s="279"/>
      <c r="G234" s="280"/>
      <c r="H234" s="281"/>
      <c r="I234" s="282"/>
      <c r="J234" s="281"/>
      <c r="K234" s="283"/>
      <c r="L234" s="284"/>
      <c r="M234" s="287"/>
      <c r="O234" s="286"/>
      <c r="P234" s="269"/>
      <c r="Q234" s="269"/>
      <c r="R234" s="269"/>
    </row>
    <row r="235" spans="1:18" s="285" customFormat="1" ht="39.6" customHeight="1" x14ac:dyDescent="0.25">
      <c r="A235" s="276"/>
      <c r="B235" s="276"/>
      <c r="C235" s="276"/>
      <c r="D235" s="277"/>
      <c r="E235" s="278"/>
      <c r="F235" s="279"/>
      <c r="G235" s="280"/>
      <c r="H235" s="281"/>
      <c r="I235" s="282"/>
      <c r="J235" s="281"/>
      <c r="K235" s="283"/>
      <c r="L235" s="284"/>
      <c r="M235" s="287"/>
      <c r="O235" s="286"/>
      <c r="P235" s="269"/>
      <c r="Q235" s="269"/>
      <c r="R235" s="269"/>
    </row>
    <row r="236" spans="1:18" s="285" customFormat="1" ht="39.6" customHeight="1" x14ac:dyDescent="0.25">
      <c r="A236" s="276"/>
      <c r="B236" s="276"/>
      <c r="C236" s="276"/>
      <c r="D236" s="277"/>
      <c r="E236" s="278"/>
      <c r="F236" s="279"/>
      <c r="G236" s="280"/>
      <c r="H236" s="281"/>
      <c r="I236" s="282"/>
      <c r="J236" s="281"/>
      <c r="K236" s="283"/>
      <c r="L236" s="284"/>
      <c r="M236" s="287"/>
      <c r="O236" s="286"/>
      <c r="P236" s="269"/>
      <c r="Q236" s="269"/>
      <c r="R236" s="269"/>
    </row>
    <row r="237" spans="1:18" s="285" customFormat="1" ht="39.6" customHeight="1" x14ac:dyDescent="0.25">
      <c r="A237" s="276"/>
      <c r="B237" s="276"/>
      <c r="C237" s="276"/>
      <c r="D237" s="277"/>
      <c r="E237" s="278"/>
      <c r="F237" s="279"/>
      <c r="G237" s="280"/>
      <c r="H237" s="281"/>
      <c r="I237" s="282"/>
      <c r="J237" s="281"/>
      <c r="K237" s="283"/>
      <c r="L237" s="284"/>
      <c r="M237" s="287"/>
      <c r="O237" s="286"/>
      <c r="P237" s="269"/>
      <c r="Q237" s="269"/>
      <c r="R237" s="269"/>
    </row>
    <row r="238" spans="1:18" s="285" customFormat="1" ht="39.6" customHeight="1" x14ac:dyDescent="0.25">
      <c r="A238" s="276"/>
      <c r="B238" s="276"/>
      <c r="C238" s="276"/>
      <c r="D238" s="277"/>
      <c r="E238" s="278"/>
      <c r="F238" s="279"/>
      <c r="G238" s="280"/>
      <c r="H238" s="281"/>
      <c r="I238" s="282"/>
      <c r="J238" s="281"/>
      <c r="K238" s="283"/>
      <c r="L238" s="284"/>
      <c r="M238" s="287"/>
      <c r="O238" s="286"/>
      <c r="P238" s="269"/>
      <c r="Q238" s="269"/>
      <c r="R238" s="269"/>
    </row>
    <row r="239" spans="1:18" s="285" customFormat="1" ht="39.6" customHeight="1" x14ac:dyDescent="0.25">
      <c r="A239" s="276"/>
      <c r="B239" s="276"/>
      <c r="C239" s="276"/>
      <c r="D239" s="277"/>
      <c r="E239" s="278"/>
      <c r="F239" s="279"/>
      <c r="G239" s="280"/>
      <c r="H239" s="281"/>
      <c r="I239" s="282"/>
      <c r="J239" s="281"/>
      <c r="K239" s="283"/>
      <c r="L239" s="284"/>
      <c r="M239" s="287"/>
      <c r="O239" s="286"/>
      <c r="P239" s="269"/>
      <c r="Q239" s="269"/>
      <c r="R239" s="269"/>
    </row>
    <row r="240" spans="1:18" s="285" customFormat="1" ht="39.6" customHeight="1" x14ac:dyDescent="0.25">
      <c r="A240" s="276"/>
      <c r="B240" s="276"/>
      <c r="C240" s="276"/>
      <c r="D240" s="277"/>
      <c r="E240" s="278"/>
      <c r="F240" s="279"/>
      <c r="G240" s="280"/>
      <c r="H240" s="281"/>
      <c r="I240" s="282"/>
      <c r="J240" s="281"/>
      <c r="K240" s="283"/>
      <c r="L240" s="284"/>
      <c r="M240" s="287"/>
      <c r="O240" s="286"/>
      <c r="P240" s="269"/>
      <c r="Q240" s="269"/>
      <c r="R240" s="269"/>
    </row>
    <row r="241" spans="1:18" s="285" customFormat="1" ht="39.6" customHeight="1" x14ac:dyDescent="0.25">
      <c r="A241" s="276"/>
      <c r="B241" s="276"/>
      <c r="C241" s="276"/>
      <c r="D241" s="277"/>
      <c r="E241" s="278"/>
      <c r="F241" s="279"/>
      <c r="G241" s="280"/>
      <c r="H241" s="281"/>
      <c r="I241" s="282"/>
      <c r="J241" s="281"/>
      <c r="K241" s="283"/>
      <c r="L241" s="284"/>
      <c r="M241" s="287"/>
      <c r="O241" s="286"/>
      <c r="P241" s="269"/>
      <c r="Q241" s="269"/>
      <c r="R241" s="269"/>
    </row>
    <row r="242" spans="1:18" s="285" customFormat="1" ht="39.6" customHeight="1" x14ac:dyDescent="0.25">
      <c r="A242" s="276"/>
      <c r="B242" s="276"/>
      <c r="C242" s="276"/>
      <c r="D242" s="277"/>
      <c r="E242" s="278"/>
      <c r="F242" s="279"/>
      <c r="G242" s="280"/>
      <c r="H242" s="281"/>
      <c r="I242" s="282"/>
      <c r="J242" s="281"/>
      <c r="K242" s="283"/>
      <c r="L242" s="284"/>
      <c r="M242" s="287"/>
      <c r="O242" s="286"/>
      <c r="P242" s="269"/>
      <c r="Q242" s="269"/>
      <c r="R242" s="269"/>
    </row>
    <row r="243" spans="1:18" s="285" customFormat="1" ht="39.6" customHeight="1" x14ac:dyDescent="0.25">
      <c r="A243" s="276"/>
      <c r="B243" s="276"/>
      <c r="C243" s="276"/>
      <c r="D243" s="277"/>
      <c r="E243" s="278"/>
      <c r="F243" s="279"/>
      <c r="G243" s="280"/>
      <c r="H243" s="281"/>
      <c r="I243" s="282"/>
      <c r="J243" s="281"/>
      <c r="K243" s="283"/>
      <c r="L243" s="284"/>
      <c r="M243" s="287"/>
      <c r="O243" s="286"/>
      <c r="P243" s="269"/>
      <c r="Q243" s="269"/>
      <c r="R243" s="269"/>
    </row>
    <row r="244" spans="1:18" s="285" customFormat="1" ht="39.6" customHeight="1" x14ac:dyDescent="0.25">
      <c r="A244" s="276"/>
      <c r="B244" s="276"/>
      <c r="C244" s="276"/>
      <c r="D244" s="277"/>
      <c r="E244" s="278"/>
      <c r="F244" s="279"/>
      <c r="G244" s="280"/>
      <c r="H244" s="281"/>
      <c r="I244" s="282"/>
      <c r="J244" s="281"/>
      <c r="K244" s="283"/>
      <c r="L244" s="284"/>
      <c r="M244" s="287"/>
      <c r="O244" s="286"/>
      <c r="P244" s="269"/>
      <c r="Q244" s="269"/>
      <c r="R244" s="269"/>
    </row>
    <row r="245" spans="1:18" s="285" customFormat="1" ht="39.6" customHeight="1" x14ac:dyDescent="0.25">
      <c r="A245" s="276"/>
      <c r="B245" s="276"/>
      <c r="C245" s="276"/>
      <c r="D245" s="277"/>
      <c r="E245" s="278"/>
      <c r="F245" s="279"/>
      <c r="G245" s="280"/>
      <c r="H245" s="281"/>
      <c r="I245" s="282"/>
      <c r="J245" s="281"/>
      <c r="K245" s="283"/>
      <c r="L245" s="284"/>
      <c r="M245" s="287"/>
      <c r="O245" s="286"/>
      <c r="P245" s="269"/>
      <c r="Q245" s="269"/>
      <c r="R245" s="269"/>
    </row>
    <row r="246" spans="1:18" s="285" customFormat="1" ht="39.6" customHeight="1" x14ac:dyDescent="0.25">
      <c r="A246" s="276"/>
      <c r="B246" s="276"/>
      <c r="C246" s="276"/>
      <c r="D246" s="277"/>
      <c r="E246" s="278"/>
      <c r="F246" s="279"/>
      <c r="G246" s="280"/>
      <c r="H246" s="281"/>
      <c r="I246" s="282"/>
      <c r="J246" s="281"/>
      <c r="K246" s="283"/>
      <c r="L246" s="284"/>
      <c r="M246" s="287"/>
      <c r="O246" s="286"/>
      <c r="P246" s="269"/>
      <c r="Q246" s="269"/>
      <c r="R246" s="269"/>
    </row>
    <row r="247" spans="1:18" s="285" customFormat="1" ht="39.6" customHeight="1" x14ac:dyDescent="0.25">
      <c r="A247" s="276"/>
      <c r="B247" s="276"/>
      <c r="C247" s="276"/>
      <c r="D247" s="277"/>
      <c r="E247" s="278"/>
      <c r="F247" s="279"/>
      <c r="G247" s="280"/>
      <c r="H247" s="281"/>
      <c r="I247" s="282"/>
      <c r="J247" s="281"/>
      <c r="K247" s="283"/>
      <c r="L247" s="284"/>
      <c r="M247" s="287"/>
      <c r="O247" s="286"/>
      <c r="P247" s="269"/>
      <c r="Q247" s="269"/>
      <c r="R247" s="269"/>
    </row>
    <row r="248" spans="1:18" s="285" customFormat="1" ht="39.6" customHeight="1" x14ac:dyDescent="0.25">
      <c r="A248" s="276"/>
      <c r="B248" s="276"/>
      <c r="C248" s="276"/>
      <c r="D248" s="277"/>
      <c r="E248" s="278"/>
      <c r="F248" s="279"/>
      <c r="G248" s="280"/>
      <c r="H248" s="281"/>
      <c r="I248" s="282"/>
      <c r="J248" s="281"/>
      <c r="K248" s="283"/>
      <c r="L248" s="284"/>
      <c r="M248" s="287"/>
      <c r="O248" s="286"/>
      <c r="P248" s="269"/>
      <c r="Q248" s="269"/>
      <c r="R248" s="269"/>
    </row>
    <row r="249" spans="1:18" s="285" customFormat="1" ht="39.6" customHeight="1" x14ac:dyDescent="0.25">
      <c r="A249" s="276"/>
      <c r="B249" s="276"/>
      <c r="C249" s="276"/>
      <c r="D249" s="277"/>
      <c r="E249" s="278"/>
      <c r="F249" s="279"/>
      <c r="G249" s="280"/>
      <c r="H249" s="281"/>
      <c r="I249" s="282"/>
      <c r="J249" s="281"/>
      <c r="K249" s="283"/>
      <c r="L249" s="284"/>
      <c r="M249" s="287"/>
      <c r="O249" s="286"/>
      <c r="P249" s="269"/>
      <c r="Q249" s="269"/>
      <c r="R249" s="269"/>
    </row>
    <row r="250" spans="1:18" s="285" customFormat="1" ht="39.6" customHeight="1" x14ac:dyDescent="0.25">
      <c r="A250" s="276"/>
      <c r="B250" s="276"/>
      <c r="C250" s="276"/>
      <c r="D250" s="277"/>
      <c r="E250" s="278"/>
      <c r="F250" s="279"/>
      <c r="G250" s="280"/>
      <c r="H250" s="281"/>
      <c r="I250" s="282"/>
      <c r="J250" s="281"/>
      <c r="K250" s="283"/>
      <c r="L250" s="284"/>
      <c r="M250" s="287"/>
      <c r="O250" s="286"/>
      <c r="P250" s="269"/>
      <c r="Q250" s="269"/>
      <c r="R250" s="269"/>
    </row>
    <row r="251" spans="1:18" s="285" customFormat="1" ht="39.6" customHeight="1" x14ac:dyDescent="0.25">
      <c r="A251" s="276"/>
      <c r="B251" s="276"/>
      <c r="C251" s="276"/>
      <c r="D251" s="277"/>
      <c r="E251" s="278"/>
      <c r="F251" s="279"/>
      <c r="G251" s="280"/>
      <c r="H251" s="281"/>
      <c r="I251" s="282"/>
      <c r="J251" s="281"/>
      <c r="K251" s="283"/>
      <c r="L251" s="284"/>
      <c r="M251" s="287"/>
      <c r="O251" s="286"/>
      <c r="P251" s="269"/>
      <c r="Q251" s="269"/>
      <c r="R251" s="269"/>
    </row>
    <row r="252" spans="1:18" s="285" customFormat="1" ht="39.6" customHeight="1" x14ac:dyDescent="0.25">
      <c r="A252" s="276"/>
      <c r="B252" s="276"/>
      <c r="C252" s="276"/>
      <c r="D252" s="277"/>
      <c r="E252" s="278"/>
      <c r="F252" s="279"/>
      <c r="G252" s="280"/>
      <c r="H252" s="281"/>
      <c r="I252" s="282"/>
      <c r="J252" s="281"/>
      <c r="K252" s="283"/>
      <c r="L252" s="284"/>
      <c r="M252" s="287"/>
      <c r="O252" s="286"/>
      <c r="P252" s="269"/>
      <c r="Q252" s="269"/>
      <c r="R252" s="269"/>
    </row>
    <row r="253" spans="1:18" s="285" customFormat="1" ht="39.6" customHeight="1" x14ac:dyDescent="0.25">
      <c r="A253" s="276"/>
      <c r="B253" s="276"/>
      <c r="C253" s="276"/>
      <c r="D253" s="277"/>
      <c r="E253" s="278"/>
      <c r="F253" s="279"/>
      <c r="G253" s="280"/>
      <c r="H253" s="281"/>
      <c r="I253" s="282"/>
      <c r="J253" s="281"/>
      <c r="K253" s="283"/>
      <c r="L253" s="284"/>
      <c r="M253" s="287"/>
      <c r="O253" s="286"/>
      <c r="P253" s="269"/>
      <c r="Q253" s="269"/>
      <c r="R253" s="269"/>
    </row>
    <row r="254" spans="1:18" s="285" customFormat="1" ht="39.6" customHeight="1" x14ac:dyDescent="0.25">
      <c r="A254" s="276"/>
      <c r="B254" s="276"/>
      <c r="C254" s="276"/>
      <c r="D254" s="277"/>
      <c r="E254" s="278"/>
      <c r="F254" s="279"/>
      <c r="G254" s="280"/>
      <c r="H254" s="281"/>
      <c r="I254" s="282"/>
      <c r="J254" s="281"/>
      <c r="K254" s="283"/>
      <c r="L254" s="284"/>
      <c r="M254" s="287"/>
      <c r="O254" s="286"/>
      <c r="P254" s="269"/>
      <c r="Q254" s="269"/>
      <c r="R254" s="269"/>
    </row>
    <row r="255" spans="1:18" s="285" customFormat="1" ht="39.6" customHeight="1" x14ac:dyDescent="0.25">
      <c r="A255" s="276"/>
      <c r="B255" s="276"/>
      <c r="C255" s="276"/>
      <c r="D255" s="277"/>
      <c r="E255" s="278"/>
      <c r="F255" s="279"/>
      <c r="G255" s="280"/>
      <c r="H255" s="281"/>
      <c r="I255" s="282"/>
      <c r="J255" s="281"/>
      <c r="K255" s="283"/>
      <c r="L255" s="284"/>
      <c r="M255" s="287"/>
      <c r="O255" s="286"/>
      <c r="P255" s="269"/>
      <c r="Q255" s="269"/>
      <c r="R255" s="269"/>
    </row>
    <row r="256" spans="1:18" s="285" customFormat="1" ht="39.6" customHeight="1" x14ac:dyDescent="0.25">
      <c r="A256" s="276"/>
      <c r="B256" s="276"/>
      <c r="C256" s="276"/>
      <c r="D256" s="277"/>
      <c r="E256" s="278"/>
      <c r="F256" s="279"/>
      <c r="G256" s="280"/>
      <c r="H256" s="281"/>
      <c r="I256" s="282"/>
      <c r="J256" s="281"/>
      <c r="K256" s="283"/>
      <c r="L256" s="284"/>
      <c r="M256" s="287"/>
      <c r="O256" s="286"/>
      <c r="P256" s="269"/>
      <c r="Q256" s="269"/>
      <c r="R256" s="269"/>
    </row>
    <row r="257" spans="1:18" s="285" customFormat="1" ht="39.6" customHeight="1" x14ac:dyDescent="0.25">
      <c r="A257" s="276"/>
      <c r="B257" s="276"/>
      <c r="C257" s="276"/>
      <c r="D257" s="277"/>
      <c r="E257" s="278"/>
      <c r="F257" s="279"/>
      <c r="G257" s="280"/>
      <c r="H257" s="281"/>
      <c r="I257" s="282"/>
      <c r="J257" s="281"/>
      <c r="K257" s="283"/>
      <c r="L257" s="284"/>
      <c r="M257" s="287"/>
      <c r="O257" s="286"/>
      <c r="P257" s="269"/>
      <c r="Q257" s="269"/>
      <c r="R257" s="269"/>
    </row>
    <row r="258" spans="1:18" s="285" customFormat="1" ht="39.6" customHeight="1" x14ac:dyDescent="0.25">
      <c r="A258" s="276"/>
      <c r="B258" s="276"/>
      <c r="C258" s="276"/>
      <c r="D258" s="277"/>
      <c r="E258" s="278"/>
      <c r="F258" s="279"/>
      <c r="G258" s="280"/>
      <c r="H258" s="281"/>
      <c r="I258" s="282"/>
      <c r="J258" s="281"/>
      <c r="K258" s="283"/>
      <c r="L258" s="284"/>
      <c r="M258" s="287"/>
      <c r="O258" s="286"/>
      <c r="P258" s="269"/>
      <c r="Q258" s="269"/>
      <c r="R258" s="269"/>
    </row>
    <row r="259" spans="1:18" s="285" customFormat="1" ht="39.6" customHeight="1" x14ac:dyDescent="0.25">
      <c r="A259" s="276"/>
      <c r="B259" s="276"/>
      <c r="C259" s="276"/>
      <c r="D259" s="277"/>
      <c r="E259" s="278"/>
      <c r="F259" s="279"/>
      <c r="G259" s="280"/>
      <c r="H259" s="281"/>
      <c r="I259" s="282"/>
      <c r="J259" s="281"/>
      <c r="K259" s="283"/>
      <c r="L259" s="284"/>
      <c r="M259" s="287"/>
      <c r="O259" s="286"/>
      <c r="P259" s="269"/>
      <c r="Q259" s="269"/>
      <c r="R259" s="269"/>
    </row>
    <row r="260" spans="1:18" s="285" customFormat="1" ht="39.6" customHeight="1" x14ac:dyDescent="0.25">
      <c r="A260" s="276"/>
      <c r="B260" s="276"/>
      <c r="C260" s="276"/>
      <c r="D260" s="277"/>
      <c r="E260" s="278"/>
      <c r="F260" s="279"/>
      <c r="G260" s="280"/>
      <c r="H260" s="281"/>
      <c r="I260" s="282"/>
      <c r="J260" s="281"/>
      <c r="K260" s="283"/>
      <c r="L260" s="284"/>
      <c r="M260" s="287"/>
      <c r="O260" s="286"/>
      <c r="P260" s="269"/>
      <c r="Q260" s="269"/>
      <c r="R260" s="269"/>
    </row>
    <row r="261" spans="1:18" s="285" customFormat="1" ht="39.6" customHeight="1" x14ac:dyDescent="0.25">
      <c r="A261" s="276"/>
      <c r="B261" s="276"/>
      <c r="C261" s="276"/>
      <c r="D261" s="277"/>
      <c r="E261" s="278"/>
      <c r="F261" s="279"/>
      <c r="G261" s="280"/>
      <c r="H261" s="281"/>
      <c r="I261" s="282"/>
      <c r="J261" s="281"/>
      <c r="K261" s="283"/>
      <c r="L261" s="284"/>
      <c r="M261" s="287"/>
      <c r="O261" s="286"/>
      <c r="P261" s="269"/>
      <c r="Q261" s="269"/>
      <c r="R261" s="269"/>
    </row>
    <row r="262" spans="1:18" s="285" customFormat="1" ht="39.6" customHeight="1" x14ac:dyDescent="0.25">
      <c r="A262" s="276"/>
      <c r="B262" s="276"/>
      <c r="C262" s="276"/>
      <c r="D262" s="277"/>
      <c r="E262" s="278"/>
      <c r="F262" s="279"/>
      <c r="G262" s="280"/>
      <c r="H262" s="281"/>
      <c r="I262" s="282"/>
      <c r="J262" s="281"/>
      <c r="K262" s="283"/>
      <c r="L262" s="284"/>
      <c r="M262" s="287"/>
      <c r="O262" s="286"/>
      <c r="P262" s="269"/>
      <c r="Q262" s="269"/>
      <c r="R262" s="269"/>
    </row>
    <row r="263" spans="1:18" s="285" customFormat="1" ht="39.6" customHeight="1" x14ac:dyDescent="0.25">
      <c r="A263" s="276"/>
      <c r="B263" s="276"/>
      <c r="C263" s="276"/>
      <c r="D263" s="277"/>
      <c r="E263" s="278"/>
      <c r="F263" s="279"/>
      <c r="G263" s="280"/>
      <c r="H263" s="281"/>
      <c r="I263" s="282"/>
      <c r="J263" s="281"/>
      <c r="K263" s="283"/>
      <c r="L263" s="284"/>
      <c r="M263" s="287"/>
      <c r="O263" s="286"/>
      <c r="P263" s="269"/>
      <c r="Q263" s="269"/>
      <c r="R263" s="269"/>
    </row>
    <row r="264" spans="1:18" s="285" customFormat="1" ht="39.6" customHeight="1" x14ac:dyDescent="0.25">
      <c r="A264" s="276"/>
      <c r="B264" s="276"/>
      <c r="C264" s="276"/>
      <c r="D264" s="277"/>
      <c r="E264" s="278"/>
      <c r="F264" s="279"/>
      <c r="G264" s="280"/>
      <c r="H264" s="281"/>
      <c r="I264" s="282"/>
      <c r="J264" s="281"/>
      <c r="K264" s="283"/>
      <c r="L264" s="284"/>
      <c r="M264" s="287"/>
      <c r="O264" s="286"/>
      <c r="P264" s="269"/>
      <c r="Q264" s="269"/>
      <c r="R264" s="269"/>
    </row>
    <row r="265" spans="1:18" s="285" customFormat="1" ht="39.6" customHeight="1" x14ac:dyDescent="0.25">
      <c r="A265" s="276"/>
      <c r="B265" s="276"/>
      <c r="C265" s="276"/>
      <c r="D265" s="277"/>
      <c r="E265" s="278"/>
      <c r="F265" s="279"/>
      <c r="G265" s="280"/>
      <c r="H265" s="281"/>
      <c r="I265" s="282"/>
      <c r="J265" s="281"/>
      <c r="K265" s="283"/>
      <c r="L265" s="284"/>
      <c r="M265" s="287"/>
      <c r="O265" s="286"/>
      <c r="P265" s="269"/>
      <c r="Q265" s="269"/>
      <c r="R265" s="269"/>
    </row>
    <row r="266" spans="1:18" s="285" customFormat="1" ht="39.6" customHeight="1" x14ac:dyDescent="0.25">
      <c r="A266" s="276"/>
      <c r="B266" s="276"/>
      <c r="C266" s="276"/>
      <c r="D266" s="277"/>
      <c r="E266" s="278"/>
      <c r="F266" s="279"/>
      <c r="G266" s="280"/>
      <c r="H266" s="281"/>
      <c r="I266" s="282"/>
      <c r="J266" s="281"/>
      <c r="K266" s="283"/>
      <c r="L266" s="284"/>
      <c r="M266" s="287"/>
      <c r="O266" s="286"/>
      <c r="P266" s="269"/>
      <c r="Q266" s="269"/>
      <c r="R266" s="269"/>
    </row>
    <row r="267" spans="1:18" s="285" customFormat="1" ht="39.6" customHeight="1" x14ac:dyDescent="0.25">
      <c r="A267" s="276"/>
      <c r="B267" s="276"/>
      <c r="C267" s="276"/>
      <c r="D267" s="277"/>
      <c r="E267" s="278"/>
      <c r="F267" s="279"/>
      <c r="G267" s="280"/>
      <c r="H267" s="281"/>
      <c r="I267" s="282"/>
      <c r="J267" s="281"/>
      <c r="K267" s="283"/>
      <c r="L267" s="284"/>
      <c r="M267" s="287"/>
      <c r="O267" s="286"/>
      <c r="P267" s="269"/>
      <c r="Q267" s="269"/>
      <c r="R267" s="269"/>
    </row>
    <row r="268" spans="1:18" s="285" customFormat="1" ht="39.6" customHeight="1" x14ac:dyDescent="0.25">
      <c r="A268" s="276"/>
      <c r="B268" s="276"/>
      <c r="C268" s="276"/>
      <c r="D268" s="277"/>
      <c r="E268" s="278"/>
      <c r="F268" s="279"/>
      <c r="G268" s="280"/>
      <c r="H268" s="281"/>
      <c r="I268" s="282"/>
      <c r="J268" s="281"/>
      <c r="K268" s="283"/>
      <c r="L268" s="284"/>
      <c r="M268" s="287"/>
      <c r="O268" s="286"/>
      <c r="P268" s="269"/>
      <c r="Q268" s="269"/>
      <c r="R268" s="269"/>
    </row>
    <row r="269" spans="1:18" s="285" customFormat="1" ht="39.6" customHeight="1" x14ac:dyDescent="0.25">
      <c r="A269" s="276"/>
      <c r="B269" s="276"/>
      <c r="C269" s="276"/>
      <c r="D269" s="277"/>
      <c r="E269" s="278"/>
      <c r="F269" s="279"/>
      <c r="G269" s="280"/>
      <c r="H269" s="281"/>
      <c r="I269" s="282"/>
      <c r="J269" s="281"/>
      <c r="K269" s="283"/>
      <c r="L269" s="284"/>
      <c r="M269" s="287"/>
      <c r="O269" s="286"/>
      <c r="P269" s="269"/>
      <c r="Q269" s="269"/>
      <c r="R269" s="269"/>
    </row>
    <row r="270" spans="1:18" s="285" customFormat="1" ht="39.6" customHeight="1" x14ac:dyDescent="0.25">
      <c r="A270" s="276"/>
      <c r="B270" s="276"/>
      <c r="C270" s="276"/>
      <c r="D270" s="277"/>
      <c r="E270" s="278"/>
      <c r="F270" s="279"/>
      <c r="G270" s="280"/>
      <c r="H270" s="281"/>
      <c r="I270" s="282"/>
      <c r="J270" s="281"/>
      <c r="K270" s="283"/>
      <c r="L270" s="284"/>
      <c r="M270" s="287"/>
      <c r="O270" s="286"/>
      <c r="P270" s="269"/>
      <c r="Q270" s="269"/>
      <c r="R270" s="269"/>
    </row>
    <row r="271" spans="1:18" s="285" customFormat="1" ht="39.6" customHeight="1" x14ac:dyDescent="0.25">
      <c r="A271" s="276"/>
      <c r="B271" s="276"/>
      <c r="C271" s="276"/>
      <c r="D271" s="277"/>
      <c r="E271" s="278"/>
      <c r="F271" s="279"/>
      <c r="G271" s="280"/>
      <c r="H271" s="281"/>
      <c r="I271" s="282"/>
      <c r="J271" s="281"/>
      <c r="K271" s="283"/>
      <c r="L271" s="284"/>
      <c r="M271" s="287"/>
      <c r="O271" s="286"/>
      <c r="P271" s="269"/>
      <c r="Q271" s="269"/>
      <c r="R271" s="269"/>
    </row>
    <row r="272" spans="1:18" s="285" customFormat="1" ht="39.6" customHeight="1" x14ac:dyDescent="0.25">
      <c r="A272" s="276"/>
      <c r="B272" s="276"/>
      <c r="C272" s="276"/>
      <c r="D272" s="277"/>
      <c r="E272" s="278"/>
      <c r="F272" s="279"/>
      <c r="G272" s="280"/>
      <c r="H272" s="281"/>
      <c r="I272" s="282"/>
      <c r="J272" s="281"/>
      <c r="K272" s="283"/>
      <c r="L272" s="284"/>
      <c r="M272" s="287"/>
      <c r="O272" s="286"/>
      <c r="P272" s="269"/>
      <c r="Q272" s="269"/>
      <c r="R272" s="269"/>
    </row>
    <row r="273" spans="1:18" s="285" customFormat="1" ht="39.6" customHeight="1" x14ac:dyDescent="0.25">
      <c r="A273" s="276"/>
      <c r="B273" s="276"/>
      <c r="C273" s="276"/>
      <c r="D273" s="277"/>
      <c r="E273" s="278"/>
      <c r="F273" s="279"/>
      <c r="G273" s="280"/>
      <c r="H273" s="281"/>
      <c r="I273" s="282"/>
      <c r="J273" s="281"/>
      <c r="K273" s="283"/>
      <c r="L273" s="284"/>
      <c r="M273" s="287"/>
      <c r="O273" s="286"/>
      <c r="P273" s="269"/>
      <c r="Q273" s="269"/>
      <c r="R273" s="269"/>
    </row>
    <row r="274" spans="1:18" s="285" customFormat="1" ht="39.6" customHeight="1" x14ac:dyDescent="0.25">
      <c r="A274" s="276"/>
      <c r="B274" s="276"/>
      <c r="C274" s="276"/>
      <c r="D274" s="277"/>
      <c r="E274" s="278"/>
      <c r="F274" s="279"/>
      <c r="G274" s="280"/>
      <c r="H274" s="281"/>
      <c r="I274" s="282"/>
      <c r="J274" s="281"/>
      <c r="K274" s="283"/>
      <c r="L274" s="284"/>
      <c r="M274" s="287"/>
      <c r="O274" s="286"/>
      <c r="P274" s="269"/>
      <c r="Q274" s="269"/>
      <c r="R274" s="269"/>
    </row>
    <row r="275" spans="1:18" s="285" customFormat="1" ht="39.6" customHeight="1" x14ac:dyDescent="0.25">
      <c r="A275" s="276"/>
      <c r="B275" s="276"/>
      <c r="C275" s="276"/>
      <c r="D275" s="277"/>
      <c r="E275" s="278"/>
      <c r="F275" s="279"/>
      <c r="G275" s="280"/>
      <c r="H275" s="281"/>
      <c r="I275" s="282"/>
      <c r="J275" s="281"/>
      <c r="K275" s="283"/>
      <c r="L275" s="284"/>
      <c r="M275" s="287"/>
      <c r="O275" s="286"/>
      <c r="P275" s="269"/>
      <c r="Q275" s="269"/>
      <c r="R275" s="269"/>
    </row>
    <row r="276" spans="1:18" s="285" customFormat="1" ht="39.6" customHeight="1" x14ac:dyDescent="0.25">
      <c r="A276" s="276"/>
      <c r="B276" s="276"/>
      <c r="C276" s="276"/>
      <c r="D276" s="277"/>
      <c r="E276" s="278"/>
      <c r="F276" s="279"/>
      <c r="G276" s="280"/>
      <c r="H276" s="281"/>
      <c r="I276" s="282"/>
      <c r="J276" s="281"/>
      <c r="K276" s="283"/>
      <c r="L276" s="284"/>
      <c r="M276" s="287"/>
      <c r="O276" s="286"/>
      <c r="P276" s="269"/>
      <c r="Q276" s="269"/>
      <c r="R276" s="269"/>
    </row>
    <row r="277" spans="1:18" s="285" customFormat="1" ht="39.6" customHeight="1" x14ac:dyDescent="0.25">
      <c r="A277" s="276"/>
      <c r="B277" s="276"/>
      <c r="C277" s="276"/>
      <c r="D277" s="277"/>
      <c r="E277" s="278"/>
      <c r="F277" s="279"/>
      <c r="G277" s="280"/>
      <c r="H277" s="281"/>
      <c r="I277" s="282"/>
      <c r="J277" s="281"/>
      <c r="K277" s="283"/>
      <c r="L277" s="284"/>
      <c r="M277" s="287"/>
      <c r="O277" s="286"/>
      <c r="P277" s="269"/>
      <c r="Q277" s="269"/>
      <c r="R277" s="269"/>
    </row>
    <row r="278" spans="1:18" s="285" customFormat="1" ht="39.6" customHeight="1" x14ac:dyDescent="0.25">
      <c r="A278" s="276"/>
      <c r="B278" s="276"/>
      <c r="C278" s="276"/>
      <c r="D278" s="277"/>
      <c r="E278" s="278"/>
      <c r="F278" s="279"/>
      <c r="G278" s="280"/>
      <c r="H278" s="281"/>
      <c r="I278" s="282"/>
      <c r="J278" s="281"/>
      <c r="K278" s="283"/>
      <c r="L278" s="284"/>
      <c r="M278" s="287"/>
      <c r="O278" s="286"/>
      <c r="P278" s="269"/>
      <c r="Q278" s="269"/>
      <c r="R278" s="269"/>
    </row>
    <row r="279" spans="1:18" s="285" customFormat="1" ht="39.6" customHeight="1" x14ac:dyDescent="0.25">
      <c r="A279" s="276"/>
      <c r="B279" s="276"/>
      <c r="C279" s="276"/>
      <c r="D279" s="277"/>
      <c r="E279" s="278"/>
      <c r="F279" s="279"/>
      <c r="G279" s="280"/>
      <c r="H279" s="281"/>
      <c r="I279" s="282"/>
      <c r="J279" s="281"/>
      <c r="K279" s="283"/>
      <c r="L279" s="284"/>
      <c r="M279" s="287"/>
      <c r="O279" s="286"/>
      <c r="P279" s="269"/>
      <c r="Q279" s="269"/>
      <c r="R279" s="269"/>
    </row>
    <row r="280" spans="1:18" s="285" customFormat="1" ht="39.6" customHeight="1" x14ac:dyDescent="0.25">
      <c r="A280" s="276"/>
      <c r="B280" s="276"/>
      <c r="C280" s="276"/>
      <c r="D280" s="277"/>
      <c r="E280" s="278"/>
      <c r="F280" s="279"/>
      <c r="G280" s="280"/>
      <c r="H280" s="281"/>
      <c r="I280" s="282"/>
      <c r="J280" s="281"/>
      <c r="K280" s="283"/>
      <c r="L280" s="284"/>
      <c r="M280" s="287"/>
      <c r="O280" s="286"/>
      <c r="P280" s="269"/>
      <c r="Q280" s="269"/>
      <c r="R280" s="269"/>
    </row>
    <row r="281" spans="1:18" s="285" customFormat="1" ht="39.6" customHeight="1" x14ac:dyDescent="0.25">
      <c r="A281" s="276"/>
      <c r="B281" s="276"/>
      <c r="C281" s="276"/>
      <c r="D281" s="277"/>
      <c r="E281" s="278"/>
      <c r="F281" s="279"/>
      <c r="G281" s="280"/>
      <c r="H281" s="281"/>
      <c r="I281" s="282"/>
      <c r="J281" s="281"/>
      <c r="K281" s="283"/>
      <c r="L281" s="284"/>
      <c r="M281" s="287"/>
      <c r="O281" s="286"/>
      <c r="P281" s="269"/>
      <c r="Q281" s="269"/>
      <c r="R281" s="269"/>
    </row>
    <row r="282" spans="1:18" s="285" customFormat="1" ht="39.6" customHeight="1" x14ac:dyDescent="0.25">
      <c r="A282" s="276"/>
      <c r="B282" s="276"/>
      <c r="C282" s="276"/>
      <c r="D282" s="277"/>
      <c r="E282" s="278"/>
      <c r="F282" s="279"/>
      <c r="G282" s="280"/>
      <c r="H282" s="281"/>
      <c r="I282" s="282"/>
      <c r="J282" s="281"/>
      <c r="K282" s="283"/>
      <c r="L282" s="284"/>
      <c r="M282" s="287"/>
      <c r="O282" s="286"/>
      <c r="P282" s="269"/>
      <c r="Q282" s="269"/>
      <c r="R282" s="269"/>
    </row>
    <row r="283" spans="1:18" s="285" customFormat="1" ht="39.6" customHeight="1" x14ac:dyDescent="0.25">
      <c r="A283" s="276"/>
      <c r="B283" s="276"/>
      <c r="C283" s="276"/>
      <c r="D283" s="277"/>
      <c r="E283" s="278"/>
      <c r="F283" s="279"/>
      <c r="G283" s="280"/>
      <c r="H283" s="281"/>
      <c r="I283" s="282"/>
      <c r="J283" s="281"/>
      <c r="K283" s="283"/>
      <c r="L283" s="284"/>
      <c r="M283" s="287"/>
      <c r="O283" s="286"/>
      <c r="P283" s="269"/>
      <c r="Q283" s="269"/>
      <c r="R283" s="269"/>
    </row>
    <row r="284" spans="1:18" s="285" customFormat="1" ht="39.6" customHeight="1" x14ac:dyDescent="0.25">
      <c r="A284" s="276"/>
      <c r="B284" s="276"/>
      <c r="C284" s="276"/>
      <c r="D284" s="277"/>
      <c r="E284" s="278"/>
      <c r="F284" s="279"/>
      <c r="G284" s="280"/>
      <c r="H284" s="281"/>
      <c r="I284" s="282"/>
      <c r="J284" s="281"/>
      <c r="K284" s="283"/>
      <c r="L284" s="284"/>
      <c r="M284" s="287"/>
      <c r="O284" s="286"/>
      <c r="P284" s="269"/>
      <c r="Q284" s="269"/>
      <c r="R284" s="269"/>
    </row>
    <row r="285" spans="1:18" s="285" customFormat="1" ht="39.6" customHeight="1" x14ac:dyDescent="0.25">
      <c r="A285" s="276"/>
      <c r="B285" s="276"/>
      <c r="C285" s="276"/>
      <c r="D285" s="277"/>
      <c r="E285" s="278"/>
      <c r="F285" s="279"/>
      <c r="G285" s="280"/>
      <c r="H285" s="281"/>
      <c r="I285" s="282"/>
      <c r="J285" s="281"/>
      <c r="K285" s="283"/>
      <c r="L285" s="284"/>
      <c r="M285" s="287"/>
      <c r="O285" s="286"/>
      <c r="P285" s="269"/>
      <c r="Q285" s="269"/>
      <c r="R285" s="269"/>
    </row>
    <row r="286" spans="1:18" s="285" customFormat="1" ht="39.6" customHeight="1" x14ac:dyDescent="0.25">
      <c r="A286" s="276"/>
      <c r="B286" s="276"/>
      <c r="C286" s="276"/>
      <c r="D286" s="277"/>
      <c r="E286" s="278"/>
      <c r="F286" s="279"/>
      <c r="G286" s="280"/>
      <c r="H286" s="281"/>
      <c r="I286" s="282"/>
      <c r="J286" s="281"/>
      <c r="K286" s="283"/>
      <c r="L286" s="284"/>
      <c r="M286" s="287"/>
      <c r="O286" s="286"/>
      <c r="P286" s="269"/>
      <c r="Q286" s="269"/>
      <c r="R286" s="269"/>
    </row>
    <row r="287" spans="1:18" s="285" customFormat="1" ht="39.6" customHeight="1" x14ac:dyDescent="0.25">
      <c r="A287" s="276"/>
      <c r="B287" s="276"/>
      <c r="C287" s="276"/>
      <c r="D287" s="277"/>
      <c r="E287" s="278"/>
      <c r="F287" s="279"/>
      <c r="G287" s="280"/>
      <c r="H287" s="281"/>
      <c r="I287" s="282"/>
      <c r="J287" s="281"/>
      <c r="K287" s="283"/>
      <c r="L287" s="284"/>
      <c r="M287" s="287"/>
      <c r="O287" s="286"/>
      <c r="P287" s="269"/>
      <c r="Q287" s="269"/>
      <c r="R287" s="269"/>
    </row>
    <row r="288" spans="1:18" s="285" customFormat="1" ht="39.6" customHeight="1" x14ac:dyDescent="0.25">
      <c r="A288" s="276"/>
      <c r="B288" s="276"/>
      <c r="C288" s="276"/>
      <c r="D288" s="277"/>
      <c r="E288" s="278"/>
      <c r="F288" s="279"/>
      <c r="G288" s="280"/>
      <c r="H288" s="281"/>
      <c r="I288" s="282"/>
      <c r="J288" s="281"/>
      <c r="K288" s="283"/>
      <c r="L288" s="284"/>
      <c r="M288" s="287"/>
      <c r="O288" s="286"/>
      <c r="P288" s="269"/>
      <c r="Q288" s="269"/>
      <c r="R288" s="269"/>
    </row>
    <row r="289" spans="1:18" s="285" customFormat="1" ht="39.6" customHeight="1" x14ac:dyDescent="0.25">
      <c r="A289" s="276"/>
      <c r="B289" s="276"/>
      <c r="C289" s="276"/>
      <c r="D289" s="277"/>
      <c r="E289" s="278"/>
      <c r="F289" s="279"/>
      <c r="G289" s="280"/>
      <c r="H289" s="281"/>
      <c r="I289" s="282"/>
      <c r="J289" s="281"/>
      <c r="K289" s="283"/>
      <c r="L289" s="284"/>
      <c r="M289" s="287"/>
      <c r="O289" s="286"/>
      <c r="P289" s="269"/>
      <c r="Q289" s="269"/>
      <c r="R289" s="269"/>
    </row>
    <row r="290" spans="1:18" s="285" customFormat="1" ht="39.6" customHeight="1" x14ac:dyDescent="0.25">
      <c r="A290" s="276"/>
      <c r="B290" s="276"/>
      <c r="C290" s="276"/>
      <c r="D290" s="277"/>
      <c r="E290" s="278"/>
      <c r="F290" s="279"/>
      <c r="G290" s="280"/>
      <c r="H290" s="281"/>
      <c r="I290" s="282"/>
      <c r="J290" s="281"/>
      <c r="K290" s="283"/>
      <c r="L290" s="284"/>
      <c r="M290" s="287"/>
      <c r="O290" s="286"/>
      <c r="P290" s="269"/>
      <c r="Q290" s="269"/>
      <c r="R290" s="269"/>
    </row>
    <row r="291" spans="1:18" s="285" customFormat="1" ht="39.6" customHeight="1" x14ac:dyDescent="0.25">
      <c r="A291" s="276"/>
      <c r="B291" s="276"/>
      <c r="C291" s="276"/>
      <c r="D291" s="277"/>
      <c r="E291" s="278"/>
      <c r="F291" s="279"/>
      <c r="G291" s="280"/>
      <c r="H291" s="281"/>
      <c r="I291" s="282"/>
      <c r="J291" s="281"/>
      <c r="K291" s="283"/>
      <c r="L291" s="284"/>
      <c r="M291" s="287"/>
      <c r="O291" s="286"/>
      <c r="P291" s="269"/>
      <c r="Q291" s="269"/>
      <c r="R291" s="269"/>
    </row>
    <row r="292" spans="1:18" s="285" customFormat="1" ht="39.6" customHeight="1" x14ac:dyDescent="0.25">
      <c r="A292" s="276"/>
      <c r="B292" s="276"/>
      <c r="C292" s="276"/>
      <c r="D292" s="277"/>
      <c r="E292" s="278"/>
      <c r="F292" s="279"/>
      <c r="G292" s="280"/>
      <c r="H292" s="281"/>
      <c r="I292" s="282"/>
      <c r="J292" s="281"/>
      <c r="K292" s="283"/>
      <c r="L292" s="284"/>
      <c r="M292" s="287"/>
      <c r="O292" s="286"/>
      <c r="P292" s="269"/>
      <c r="Q292" s="269"/>
      <c r="R292" s="269"/>
    </row>
    <row r="293" spans="1:18" s="285" customFormat="1" ht="39.6" customHeight="1" x14ac:dyDescent="0.25">
      <c r="A293" s="276"/>
      <c r="B293" s="276"/>
      <c r="C293" s="276"/>
      <c r="D293" s="277"/>
      <c r="E293" s="278"/>
      <c r="F293" s="279"/>
      <c r="G293" s="280"/>
      <c r="H293" s="281"/>
      <c r="I293" s="282"/>
      <c r="J293" s="281"/>
      <c r="K293" s="283"/>
      <c r="L293" s="284"/>
      <c r="M293" s="287"/>
      <c r="O293" s="286"/>
      <c r="P293" s="269"/>
      <c r="Q293" s="269"/>
      <c r="R293" s="269"/>
    </row>
    <row r="294" spans="1:18" s="285" customFormat="1" ht="39.6" customHeight="1" x14ac:dyDescent="0.25">
      <c r="A294" s="276"/>
      <c r="B294" s="276"/>
      <c r="C294" s="276"/>
      <c r="D294" s="277"/>
      <c r="E294" s="278"/>
      <c r="F294" s="279"/>
      <c r="G294" s="280"/>
      <c r="H294" s="281"/>
      <c r="I294" s="282"/>
      <c r="J294" s="281"/>
      <c r="K294" s="283"/>
      <c r="L294" s="284"/>
      <c r="M294" s="287"/>
      <c r="O294" s="286"/>
      <c r="P294" s="269"/>
      <c r="Q294" s="269"/>
      <c r="R294" s="269"/>
    </row>
    <row r="295" spans="1:18" s="285" customFormat="1" ht="39.6" customHeight="1" x14ac:dyDescent="0.25">
      <c r="A295" s="276"/>
      <c r="B295" s="276"/>
      <c r="C295" s="276"/>
      <c r="D295" s="277"/>
      <c r="E295" s="278"/>
      <c r="F295" s="279"/>
      <c r="G295" s="280"/>
      <c r="H295" s="281"/>
      <c r="I295" s="282"/>
      <c r="J295" s="281"/>
      <c r="K295" s="283"/>
      <c r="L295" s="284"/>
      <c r="M295" s="287"/>
      <c r="O295" s="286"/>
      <c r="P295" s="269"/>
      <c r="Q295" s="269"/>
      <c r="R295" s="269"/>
    </row>
    <row r="296" spans="1:18" s="285" customFormat="1" ht="39.6" customHeight="1" x14ac:dyDescent="0.25">
      <c r="A296" s="276"/>
      <c r="B296" s="276"/>
      <c r="C296" s="276"/>
      <c r="D296" s="277"/>
      <c r="E296" s="278"/>
      <c r="F296" s="279"/>
      <c r="G296" s="280"/>
      <c r="H296" s="281"/>
      <c r="I296" s="282"/>
      <c r="J296" s="281"/>
      <c r="K296" s="283"/>
      <c r="L296" s="284"/>
      <c r="M296" s="287"/>
      <c r="O296" s="286"/>
      <c r="P296" s="269"/>
      <c r="Q296" s="269"/>
      <c r="R296" s="269"/>
    </row>
    <row r="297" spans="1:18" s="285" customFormat="1" ht="39.6" customHeight="1" x14ac:dyDescent="0.25">
      <c r="A297" s="276"/>
      <c r="B297" s="276"/>
      <c r="C297" s="276"/>
      <c r="D297" s="277"/>
      <c r="E297" s="278"/>
      <c r="F297" s="279"/>
      <c r="G297" s="280"/>
      <c r="H297" s="281"/>
      <c r="I297" s="282"/>
      <c r="J297" s="281"/>
      <c r="K297" s="283"/>
      <c r="L297" s="284"/>
      <c r="M297" s="287"/>
      <c r="O297" s="286"/>
      <c r="P297" s="269"/>
      <c r="Q297" s="269"/>
      <c r="R297" s="269"/>
    </row>
    <row r="298" spans="1:18" s="285" customFormat="1" ht="39.6" customHeight="1" x14ac:dyDescent="0.25">
      <c r="A298" s="276"/>
      <c r="B298" s="276"/>
      <c r="C298" s="276"/>
      <c r="D298" s="277"/>
      <c r="E298" s="278"/>
      <c r="F298" s="279"/>
      <c r="G298" s="280"/>
      <c r="H298" s="281"/>
      <c r="I298" s="282"/>
      <c r="J298" s="281"/>
      <c r="K298" s="283"/>
      <c r="L298" s="284"/>
      <c r="M298" s="287"/>
      <c r="O298" s="286"/>
      <c r="P298" s="269"/>
      <c r="Q298" s="269"/>
      <c r="R298" s="269"/>
    </row>
    <row r="299" spans="1:18" s="285" customFormat="1" ht="39.6" customHeight="1" x14ac:dyDescent="0.25">
      <c r="A299" s="276"/>
      <c r="B299" s="276"/>
      <c r="C299" s="276"/>
      <c r="D299" s="277"/>
      <c r="E299" s="278"/>
      <c r="F299" s="279"/>
      <c r="G299" s="280"/>
      <c r="H299" s="281"/>
      <c r="I299" s="282"/>
      <c r="J299" s="281"/>
      <c r="K299" s="283"/>
      <c r="L299" s="284"/>
      <c r="M299" s="287"/>
      <c r="O299" s="286"/>
      <c r="P299" s="269"/>
      <c r="Q299" s="269"/>
      <c r="R299" s="269"/>
    </row>
    <row r="300" spans="1:18" s="285" customFormat="1" ht="39.6" customHeight="1" x14ac:dyDescent="0.25">
      <c r="A300" s="276"/>
      <c r="B300" s="276"/>
      <c r="C300" s="276"/>
      <c r="D300" s="277"/>
      <c r="E300" s="278"/>
      <c r="F300" s="279"/>
      <c r="G300" s="280"/>
      <c r="H300" s="281"/>
      <c r="I300" s="282"/>
      <c r="J300" s="281"/>
      <c r="K300" s="283"/>
      <c r="L300" s="284"/>
      <c r="M300" s="287"/>
      <c r="O300" s="286"/>
      <c r="P300" s="269"/>
      <c r="Q300" s="269"/>
      <c r="R300" s="269"/>
    </row>
    <row r="301" spans="1:18" s="285" customFormat="1" ht="39.6" customHeight="1" x14ac:dyDescent="0.25">
      <c r="A301" s="276"/>
      <c r="B301" s="276"/>
      <c r="C301" s="276"/>
      <c r="D301" s="277"/>
      <c r="E301" s="278"/>
      <c r="F301" s="279"/>
      <c r="G301" s="280"/>
      <c r="H301" s="281"/>
      <c r="I301" s="282"/>
      <c r="J301" s="281"/>
      <c r="K301" s="283"/>
      <c r="L301" s="284"/>
      <c r="M301" s="287"/>
      <c r="O301" s="286"/>
      <c r="P301" s="269"/>
      <c r="Q301" s="269"/>
      <c r="R301" s="269"/>
    </row>
    <row r="302" spans="1:18" s="285" customFormat="1" ht="39.6" customHeight="1" x14ac:dyDescent="0.25">
      <c r="A302" s="276"/>
      <c r="B302" s="276"/>
      <c r="C302" s="276"/>
      <c r="D302" s="277"/>
      <c r="E302" s="278"/>
      <c r="F302" s="279"/>
      <c r="G302" s="280"/>
      <c r="H302" s="281"/>
      <c r="I302" s="282"/>
      <c r="J302" s="281"/>
      <c r="K302" s="283"/>
      <c r="L302" s="284"/>
      <c r="M302" s="287"/>
      <c r="O302" s="286"/>
      <c r="P302" s="269"/>
      <c r="Q302" s="269"/>
      <c r="R302" s="269"/>
    </row>
    <row r="303" spans="1:18" s="285" customFormat="1" ht="39.6" customHeight="1" x14ac:dyDescent="0.25">
      <c r="A303" s="276"/>
      <c r="B303" s="276"/>
      <c r="C303" s="276"/>
      <c r="D303" s="277"/>
      <c r="E303" s="278"/>
      <c r="F303" s="279"/>
      <c r="G303" s="280"/>
      <c r="H303" s="281"/>
      <c r="I303" s="282"/>
      <c r="J303" s="281"/>
      <c r="K303" s="283"/>
      <c r="L303" s="284"/>
      <c r="M303" s="287"/>
      <c r="O303" s="286"/>
      <c r="P303" s="269"/>
      <c r="Q303" s="269"/>
      <c r="R303" s="269"/>
    </row>
    <row r="304" spans="1:18" s="285" customFormat="1" ht="39.6" customHeight="1" x14ac:dyDescent="0.25">
      <c r="A304" s="276"/>
      <c r="B304" s="276"/>
      <c r="C304" s="276"/>
      <c r="D304" s="277"/>
      <c r="E304" s="278"/>
      <c r="F304" s="279"/>
      <c r="G304" s="280"/>
      <c r="H304" s="281"/>
      <c r="I304" s="282"/>
      <c r="J304" s="281"/>
      <c r="K304" s="283"/>
      <c r="L304" s="284"/>
      <c r="M304" s="287"/>
      <c r="O304" s="286"/>
      <c r="P304" s="269"/>
      <c r="Q304" s="269"/>
      <c r="R304" s="269"/>
    </row>
    <row r="305" spans="1:18" s="285" customFormat="1" ht="39.6" customHeight="1" x14ac:dyDescent="0.25">
      <c r="A305" s="276"/>
      <c r="B305" s="276"/>
      <c r="C305" s="276"/>
      <c r="D305" s="277"/>
      <c r="E305" s="278"/>
      <c r="F305" s="279"/>
      <c r="G305" s="280"/>
      <c r="H305" s="281"/>
      <c r="I305" s="282"/>
      <c r="J305" s="281"/>
      <c r="K305" s="283"/>
      <c r="L305" s="284"/>
      <c r="M305" s="287"/>
      <c r="O305" s="286"/>
      <c r="P305" s="269"/>
      <c r="Q305" s="269"/>
      <c r="R305" s="269"/>
    </row>
    <row r="306" spans="1:18" s="285" customFormat="1" ht="39.6" customHeight="1" x14ac:dyDescent="0.25">
      <c r="A306" s="276"/>
      <c r="B306" s="276"/>
      <c r="C306" s="276"/>
      <c r="D306" s="277"/>
      <c r="E306" s="278"/>
      <c r="F306" s="279"/>
      <c r="G306" s="280"/>
      <c r="H306" s="281"/>
      <c r="I306" s="282"/>
      <c r="J306" s="281"/>
      <c r="K306" s="283"/>
      <c r="L306" s="284"/>
      <c r="M306" s="287"/>
      <c r="O306" s="286"/>
      <c r="P306" s="269"/>
      <c r="Q306" s="269"/>
      <c r="R306" s="269"/>
    </row>
    <row r="307" spans="1:18" s="285" customFormat="1" ht="39.6" customHeight="1" x14ac:dyDescent="0.25">
      <c r="A307" s="276"/>
      <c r="B307" s="276"/>
      <c r="C307" s="276"/>
      <c r="D307" s="277"/>
      <c r="E307" s="278"/>
      <c r="F307" s="279"/>
      <c r="G307" s="280"/>
      <c r="H307" s="281"/>
      <c r="I307" s="282"/>
      <c r="J307" s="281"/>
      <c r="K307" s="283"/>
      <c r="L307" s="284"/>
      <c r="M307" s="287"/>
      <c r="O307" s="286"/>
      <c r="P307" s="269"/>
      <c r="Q307" s="269"/>
      <c r="R307" s="269"/>
    </row>
    <row r="308" spans="1:18" s="285" customFormat="1" ht="39.6" customHeight="1" x14ac:dyDescent="0.25">
      <c r="A308" s="276"/>
      <c r="B308" s="276"/>
      <c r="C308" s="276"/>
      <c r="D308" s="277"/>
      <c r="E308" s="278"/>
      <c r="F308" s="279"/>
      <c r="G308" s="280"/>
      <c r="H308" s="281"/>
      <c r="I308" s="282"/>
      <c r="J308" s="281"/>
      <c r="K308" s="283"/>
      <c r="L308" s="284"/>
      <c r="M308" s="287"/>
      <c r="O308" s="286"/>
      <c r="P308" s="269"/>
      <c r="Q308" s="269"/>
      <c r="R308" s="269"/>
    </row>
    <row r="309" spans="1:18" s="285" customFormat="1" ht="39.6" customHeight="1" x14ac:dyDescent="0.25">
      <c r="A309" s="276"/>
      <c r="B309" s="276"/>
      <c r="C309" s="276"/>
      <c r="D309" s="277"/>
      <c r="E309" s="278"/>
      <c r="F309" s="279"/>
      <c r="G309" s="280"/>
      <c r="H309" s="281"/>
      <c r="I309" s="282"/>
      <c r="J309" s="281"/>
      <c r="K309" s="283"/>
      <c r="L309" s="284"/>
      <c r="M309" s="287"/>
      <c r="O309" s="286"/>
      <c r="P309" s="269"/>
      <c r="Q309" s="269"/>
      <c r="R309" s="269"/>
    </row>
    <row r="310" spans="1:18" s="285" customFormat="1" ht="39.6" customHeight="1" x14ac:dyDescent="0.25">
      <c r="A310" s="276"/>
      <c r="B310" s="276"/>
      <c r="C310" s="276"/>
      <c r="D310" s="277"/>
      <c r="E310" s="278"/>
      <c r="F310" s="279"/>
      <c r="G310" s="280"/>
      <c r="H310" s="281"/>
      <c r="I310" s="282"/>
      <c r="J310" s="281"/>
      <c r="K310" s="283"/>
      <c r="L310" s="284"/>
      <c r="M310" s="287"/>
      <c r="O310" s="286"/>
      <c r="P310" s="269"/>
      <c r="Q310" s="269"/>
      <c r="R310" s="269"/>
    </row>
    <row r="311" spans="1:18" s="285" customFormat="1" ht="39.6" customHeight="1" x14ac:dyDescent="0.25">
      <c r="A311" s="276"/>
      <c r="B311" s="276"/>
      <c r="C311" s="276"/>
      <c r="D311" s="277"/>
      <c r="E311" s="278"/>
      <c r="F311" s="279"/>
      <c r="G311" s="280"/>
      <c r="H311" s="281"/>
      <c r="I311" s="282"/>
      <c r="J311" s="281"/>
      <c r="K311" s="283"/>
      <c r="L311" s="284"/>
      <c r="M311" s="287"/>
      <c r="O311" s="286"/>
      <c r="P311" s="269"/>
      <c r="Q311" s="269"/>
      <c r="R311" s="269"/>
    </row>
    <row r="312" spans="1:18" s="285" customFormat="1" ht="39.6" customHeight="1" x14ac:dyDescent="0.25">
      <c r="A312" s="276"/>
      <c r="B312" s="276"/>
      <c r="C312" s="276"/>
      <c r="D312" s="277"/>
      <c r="E312" s="278"/>
      <c r="F312" s="279"/>
      <c r="G312" s="280"/>
      <c r="H312" s="281"/>
      <c r="I312" s="282"/>
      <c r="J312" s="281"/>
      <c r="K312" s="283"/>
      <c r="L312" s="284"/>
      <c r="M312" s="287"/>
      <c r="O312" s="286"/>
      <c r="P312" s="269"/>
      <c r="Q312" s="269"/>
      <c r="R312" s="269"/>
    </row>
    <row r="313" spans="1:18" s="285" customFormat="1" ht="39.6" customHeight="1" x14ac:dyDescent="0.25">
      <c r="A313" s="276"/>
      <c r="B313" s="276"/>
      <c r="C313" s="276"/>
      <c r="D313" s="277"/>
      <c r="E313" s="278"/>
      <c r="F313" s="279"/>
      <c r="G313" s="280"/>
      <c r="H313" s="281"/>
      <c r="I313" s="282"/>
      <c r="J313" s="281"/>
      <c r="K313" s="283"/>
      <c r="L313" s="284"/>
      <c r="M313" s="287"/>
      <c r="O313" s="286"/>
      <c r="P313" s="269"/>
      <c r="Q313" s="269"/>
      <c r="R313" s="269"/>
    </row>
    <row r="314" spans="1:18" s="285" customFormat="1" ht="39.6" customHeight="1" x14ac:dyDescent="0.25">
      <c r="A314" s="276"/>
      <c r="B314" s="276"/>
      <c r="C314" s="276"/>
      <c r="D314" s="277"/>
      <c r="E314" s="278"/>
      <c r="F314" s="279"/>
      <c r="G314" s="280"/>
      <c r="H314" s="281"/>
      <c r="I314" s="282"/>
      <c r="J314" s="281"/>
      <c r="K314" s="283"/>
      <c r="L314" s="284"/>
      <c r="M314" s="287"/>
      <c r="O314" s="286"/>
      <c r="P314" s="269"/>
      <c r="Q314" s="269"/>
      <c r="R314" s="269"/>
    </row>
    <row r="315" spans="1:18" s="285" customFormat="1" ht="39.6" customHeight="1" x14ac:dyDescent="0.25">
      <c r="A315" s="276"/>
      <c r="B315" s="276"/>
      <c r="C315" s="276"/>
      <c r="D315" s="277"/>
      <c r="E315" s="278"/>
      <c r="F315" s="279"/>
      <c r="G315" s="280"/>
      <c r="H315" s="281"/>
      <c r="I315" s="282"/>
      <c r="J315" s="281"/>
      <c r="K315" s="283"/>
      <c r="L315" s="284"/>
      <c r="M315" s="287"/>
      <c r="O315" s="286"/>
      <c r="P315" s="269"/>
      <c r="Q315" s="269"/>
      <c r="R315" s="269"/>
    </row>
    <row r="316" spans="1:18" s="285" customFormat="1" ht="39.6" customHeight="1" x14ac:dyDescent="0.25">
      <c r="A316" s="276"/>
      <c r="B316" s="276"/>
      <c r="C316" s="276"/>
      <c r="D316" s="277"/>
      <c r="E316" s="278"/>
      <c r="F316" s="279"/>
      <c r="G316" s="280"/>
      <c r="H316" s="281"/>
      <c r="I316" s="282"/>
      <c r="J316" s="281"/>
      <c r="K316" s="283"/>
      <c r="L316" s="284"/>
      <c r="M316" s="287"/>
      <c r="O316" s="286"/>
      <c r="P316" s="269"/>
      <c r="Q316" s="269"/>
      <c r="R316" s="269"/>
    </row>
    <row r="317" spans="1:18" s="285" customFormat="1" ht="39.6" customHeight="1" x14ac:dyDescent="0.25">
      <c r="A317" s="276"/>
      <c r="B317" s="276"/>
      <c r="C317" s="276"/>
      <c r="D317" s="277"/>
      <c r="E317" s="278"/>
      <c r="F317" s="279"/>
      <c r="G317" s="280"/>
      <c r="H317" s="281"/>
      <c r="I317" s="282"/>
      <c r="J317" s="281"/>
      <c r="K317" s="283"/>
      <c r="L317" s="284"/>
      <c r="M317" s="287"/>
      <c r="O317" s="286"/>
      <c r="P317" s="269"/>
      <c r="Q317" s="269"/>
      <c r="R317" s="269"/>
    </row>
    <row r="318" spans="1:18" s="285" customFormat="1" ht="39.6" customHeight="1" x14ac:dyDescent="0.25">
      <c r="A318" s="276"/>
      <c r="B318" s="276"/>
      <c r="C318" s="276"/>
      <c r="D318" s="277"/>
      <c r="E318" s="278"/>
      <c r="F318" s="279"/>
      <c r="G318" s="280"/>
      <c r="H318" s="281"/>
      <c r="I318" s="282"/>
      <c r="J318" s="281"/>
      <c r="K318" s="283"/>
      <c r="L318" s="284"/>
      <c r="M318" s="287"/>
      <c r="O318" s="286"/>
      <c r="P318" s="269"/>
      <c r="Q318" s="269"/>
      <c r="R318" s="269"/>
    </row>
    <row r="319" spans="1:18" s="285" customFormat="1" ht="39.6" customHeight="1" x14ac:dyDescent="0.25">
      <c r="A319" s="276"/>
      <c r="B319" s="276"/>
      <c r="C319" s="276"/>
      <c r="D319" s="277"/>
      <c r="E319" s="278"/>
      <c r="F319" s="279"/>
      <c r="G319" s="280"/>
      <c r="H319" s="281"/>
      <c r="I319" s="282"/>
      <c r="J319" s="281"/>
      <c r="K319" s="283"/>
      <c r="L319" s="284"/>
      <c r="M319" s="287"/>
      <c r="O319" s="286"/>
      <c r="P319" s="269"/>
      <c r="Q319" s="269"/>
      <c r="R319" s="269"/>
    </row>
    <row r="320" spans="1:18" s="285" customFormat="1" ht="39.6" customHeight="1" x14ac:dyDescent="0.25">
      <c r="A320" s="276"/>
      <c r="B320" s="276"/>
      <c r="C320" s="276"/>
      <c r="D320" s="277"/>
      <c r="E320" s="278"/>
      <c r="F320" s="279"/>
      <c r="G320" s="280"/>
      <c r="H320" s="281"/>
      <c r="I320" s="282"/>
      <c r="J320" s="281"/>
      <c r="K320" s="283"/>
      <c r="L320" s="284"/>
      <c r="M320" s="287"/>
      <c r="O320" s="286"/>
      <c r="P320" s="269"/>
      <c r="Q320" s="269"/>
      <c r="R320" s="269"/>
    </row>
    <row r="321" spans="1:18" s="285" customFormat="1" ht="39.6" customHeight="1" x14ac:dyDescent="0.25">
      <c r="A321" s="276"/>
      <c r="B321" s="276"/>
      <c r="C321" s="276"/>
      <c r="D321" s="277"/>
      <c r="E321" s="278"/>
      <c r="F321" s="279"/>
      <c r="G321" s="280"/>
      <c r="H321" s="281"/>
      <c r="I321" s="282"/>
      <c r="J321" s="281"/>
      <c r="K321" s="283"/>
      <c r="L321" s="284"/>
      <c r="M321" s="287"/>
      <c r="O321" s="286"/>
      <c r="P321" s="269"/>
      <c r="Q321" s="269"/>
      <c r="R321" s="269"/>
    </row>
    <row r="322" spans="1:18" s="285" customFormat="1" ht="39.6" customHeight="1" x14ac:dyDescent="0.25">
      <c r="A322" s="276"/>
      <c r="B322" s="276"/>
      <c r="C322" s="276"/>
      <c r="D322" s="277"/>
      <c r="E322" s="278"/>
      <c r="F322" s="279"/>
      <c r="G322" s="280"/>
      <c r="H322" s="281"/>
      <c r="I322" s="282"/>
      <c r="J322" s="281"/>
      <c r="K322" s="283"/>
      <c r="L322" s="284"/>
      <c r="M322" s="287"/>
      <c r="O322" s="286"/>
      <c r="P322" s="269"/>
      <c r="Q322" s="269"/>
      <c r="R322" s="269"/>
    </row>
    <row r="323" spans="1:18" s="285" customFormat="1" ht="39.6" customHeight="1" x14ac:dyDescent="0.25">
      <c r="A323" s="276"/>
      <c r="B323" s="276"/>
      <c r="C323" s="276"/>
      <c r="D323" s="277"/>
      <c r="E323" s="278"/>
      <c r="F323" s="279"/>
      <c r="G323" s="280"/>
      <c r="H323" s="281"/>
      <c r="I323" s="282"/>
      <c r="J323" s="281"/>
      <c r="K323" s="283"/>
      <c r="L323" s="284"/>
      <c r="M323" s="287"/>
      <c r="O323" s="286"/>
      <c r="P323" s="269"/>
      <c r="Q323" s="269"/>
      <c r="R323" s="269"/>
    </row>
    <row r="324" spans="1:18" s="285" customFormat="1" ht="39.6" customHeight="1" x14ac:dyDescent="0.25">
      <c r="A324" s="276"/>
      <c r="B324" s="276"/>
      <c r="C324" s="276"/>
      <c r="D324" s="277"/>
      <c r="E324" s="278"/>
      <c r="F324" s="279"/>
      <c r="G324" s="280"/>
      <c r="H324" s="281"/>
      <c r="I324" s="282"/>
      <c r="J324" s="281"/>
      <c r="K324" s="283"/>
      <c r="L324" s="284"/>
      <c r="M324" s="287"/>
      <c r="O324" s="286"/>
      <c r="P324" s="269"/>
      <c r="Q324" s="269"/>
      <c r="R324" s="269"/>
    </row>
    <row r="325" spans="1:18" s="285" customFormat="1" ht="39.6" customHeight="1" x14ac:dyDescent="0.25">
      <c r="A325" s="276"/>
      <c r="B325" s="276"/>
      <c r="C325" s="276"/>
      <c r="D325" s="277"/>
      <c r="E325" s="278"/>
      <c r="F325" s="279"/>
      <c r="G325" s="280"/>
      <c r="H325" s="281"/>
      <c r="I325" s="282"/>
      <c r="J325" s="281"/>
      <c r="K325" s="283"/>
      <c r="L325" s="284"/>
      <c r="M325" s="287"/>
      <c r="O325" s="286"/>
      <c r="P325" s="269"/>
      <c r="Q325" s="269"/>
      <c r="R325" s="269"/>
    </row>
    <row r="326" spans="1:18" s="285" customFormat="1" ht="39.6" customHeight="1" x14ac:dyDescent="0.25">
      <c r="A326" s="276"/>
      <c r="B326" s="276"/>
      <c r="C326" s="276"/>
      <c r="D326" s="277"/>
      <c r="E326" s="278"/>
      <c r="F326" s="279"/>
      <c r="G326" s="280"/>
      <c r="H326" s="281"/>
      <c r="I326" s="282"/>
      <c r="J326" s="281"/>
      <c r="K326" s="283"/>
      <c r="L326" s="284"/>
      <c r="M326" s="287"/>
      <c r="O326" s="286"/>
      <c r="P326" s="269"/>
      <c r="Q326" s="269"/>
      <c r="R326" s="269"/>
    </row>
    <row r="327" spans="1:18" s="285" customFormat="1" ht="39.6" customHeight="1" x14ac:dyDescent="0.25">
      <c r="A327" s="276"/>
      <c r="B327" s="276"/>
      <c r="C327" s="276"/>
      <c r="D327" s="277"/>
      <c r="E327" s="278"/>
      <c r="F327" s="279"/>
      <c r="G327" s="280"/>
      <c r="H327" s="281"/>
      <c r="I327" s="282"/>
      <c r="J327" s="281"/>
      <c r="K327" s="283"/>
      <c r="L327" s="284"/>
      <c r="M327" s="287"/>
      <c r="O327" s="286"/>
      <c r="P327" s="269"/>
      <c r="Q327" s="269"/>
      <c r="R327" s="269"/>
    </row>
    <row r="328" spans="1:18" s="285" customFormat="1" ht="39.6" customHeight="1" x14ac:dyDescent="0.25">
      <c r="A328" s="276"/>
      <c r="B328" s="276"/>
      <c r="C328" s="276"/>
      <c r="D328" s="277"/>
      <c r="E328" s="278"/>
      <c r="F328" s="279"/>
      <c r="G328" s="280"/>
      <c r="H328" s="281"/>
      <c r="I328" s="282"/>
      <c r="J328" s="281"/>
      <c r="K328" s="283"/>
      <c r="L328" s="284"/>
      <c r="M328" s="287"/>
      <c r="O328" s="286"/>
      <c r="P328" s="269"/>
      <c r="Q328" s="269"/>
      <c r="R328" s="269"/>
    </row>
    <row r="329" spans="1:18" s="285" customFormat="1" ht="39.6" customHeight="1" x14ac:dyDescent="0.25">
      <c r="A329" s="276"/>
      <c r="B329" s="276"/>
      <c r="C329" s="276"/>
      <c r="D329" s="277"/>
      <c r="E329" s="278"/>
      <c r="F329" s="279"/>
      <c r="G329" s="280"/>
      <c r="H329" s="281"/>
      <c r="I329" s="282"/>
      <c r="J329" s="281"/>
      <c r="K329" s="283"/>
      <c r="L329" s="284"/>
      <c r="M329" s="287"/>
      <c r="O329" s="286"/>
      <c r="P329" s="269"/>
      <c r="Q329" s="269"/>
      <c r="R329" s="269"/>
    </row>
    <row r="330" spans="1:18" s="285" customFormat="1" ht="39.6" customHeight="1" x14ac:dyDescent="0.25">
      <c r="A330" s="276"/>
      <c r="B330" s="276"/>
      <c r="C330" s="276"/>
      <c r="D330" s="277"/>
      <c r="E330" s="278"/>
      <c r="F330" s="279"/>
      <c r="G330" s="280"/>
      <c r="H330" s="281"/>
      <c r="I330" s="282"/>
      <c r="J330" s="281"/>
      <c r="K330" s="283"/>
      <c r="L330" s="284"/>
      <c r="M330" s="287"/>
      <c r="O330" s="286"/>
      <c r="P330" s="269"/>
      <c r="Q330" s="269"/>
      <c r="R330" s="269"/>
    </row>
    <row r="331" spans="1:18" s="285" customFormat="1" ht="39.6" customHeight="1" x14ac:dyDescent="0.25">
      <c r="A331" s="276"/>
      <c r="B331" s="276"/>
      <c r="C331" s="276"/>
      <c r="D331" s="277"/>
      <c r="E331" s="278"/>
      <c r="F331" s="279"/>
      <c r="G331" s="280"/>
      <c r="H331" s="281"/>
      <c r="I331" s="282"/>
      <c r="J331" s="281"/>
      <c r="K331" s="283"/>
      <c r="L331" s="284"/>
      <c r="M331" s="287"/>
      <c r="O331" s="286"/>
      <c r="P331" s="269"/>
      <c r="Q331" s="269"/>
      <c r="R331" s="269"/>
    </row>
    <row r="332" spans="1:18" s="285" customFormat="1" ht="39.6" customHeight="1" x14ac:dyDescent="0.25">
      <c r="A332" s="276"/>
      <c r="B332" s="276"/>
      <c r="C332" s="276"/>
      <c r="D332" s="277"/>
      <c r="E332" s="278"/>
      <c r="F332" s="279"/>
      <c r="G332" s="280"/>
      <c r="H332" s="281"/>
      <c r="I332" s="282"/>
      <c r="J332" s="281"/>
      <c r="K332" s="283"/>
      <c r="L332" s="284"/>
      <c r="M332" s="287"/>
      <c r="O332" s="286"/>
      <c r="P332" s="269"/>
      <c r="Q332" s="269"/>
      <c r="R332" s="269"/>
    </row>
    <row r="333" spans="1:18" s="285" customFormat="1" ht="39.6" customHeight="1" x14ac:dyDescent="0.25">
      <c r="A333" s="276"/>
      <c r="B333" s="276"/>
      <c r="C333" s="276"/>
      <c r="D333" s="277"/>
      <c r="E333" s="278"/>
      <c r="F333" s="279"/>
      <c r="G333" s="280"/>
      <c r="H333" s="281"/>
      <c r="I333" s="282"/>
      <c r="J333" s="281"/>
      <c r="K333" s="283"/>
      <c r="L333" s="284"/>
      <c r="M333" s="287"/>
      <c r="O333" s="286"/>
      <c r="P333" s="269"/>
      <c r="Q333" s="269"/>
      <c r="R333" s="269"/>
    </row>
    <row r="334" spans="1:18" s="285" customFormat="1" ht="39.6" customHeight="1" x14ac:dyDescent="0.25">
      <c r="A334" s="276"/>
      <c r="B334" s="276"/>
      <c r="C334" s="276"/>
      <c r="D334" s="277"/>
      <c r="E334" s="278"/>
      <c r="F334" s="279"/>
      <c r="G334" s="280"/>
      <c r="H334" s="281"/>
      <c r="I334" s="282"/>
      <c r="J334" s="281"/>
      <c r="K334" s="283"/>
      <c r="L334" s="284"/>
      <c r="M334" s="287"/>
      <c r="O334" s="286"/>
      <c r="P334" s="269"/>
      <c r="Q334" s="269"/>
      <c r="R334" s="269"/>
    </row>
    <row r="335" spans="1:18" s="285" customFormat="1" ht="39.6" customHeight="1" x14ac:dyDescent="0.25">
      <c r="A335" s="276"/>
      <c r="B335" s="276"/>
      <c r="C335" s="276"/>
      <c r="D335" s="277"/>
      <c r="E335" s="278"/>
      <c r="F335" s="279"/>
      <c r="G335" s="280"/>
      <c r="H335" s="281"/>
      <c r="I335" s="282"/>
      <c r="J335" s="281"/>
      <c r="K335" s="283"/>
      <c r="L335" s="284"/>
      <c r="M335" s="287"/>
      <c r="O335" s="286"/>
      <c r="P335" s="269"/>
      <c r="Q335" s="269"/>
      <c r="R335" s="269"/>
    </row>
    <row r="336" spans="1:18" s="285" customFormat="1" ht="39.6" customHeight="1" x14ac:dyDescent="0.25">
      <c r="A336" s="276"/>
      <c r="B336" s="276"/>
      <c r="C336" s="276"/>
      <c r="D336" s="277"/>
      <c r="E336" s="278"/>
      <c r="F336" s="279"/>
      <c r="G336" s="280"/>
      <c r="H336" s="281"/>
      <c r="I336" s="282"/>
      <c r="J336" s="281"/>
      <c r="K336" s="283"/>
      <c r="L336" s="284"/>
      <c r="M336" s="287"/>
      <c r="O336" s="286"/>
      <c r="P336" s="269"/>
      <c r="Q336" s="269"/>
      <c r="R336" s="269"/>
    </row>
    <row r="337" spans="1:18" s="285" customFormat="1" ht="39.6" customHeight="1" x14ac:dyDescent="0.25">
      <c r="A337" s="276"/>
      <c r="B337" s="276"/>
      <c r="C337" s="276"/>
      <c r="D337" s="277"/>
      <c r="E337" s="278"/>
      <c r="F337" s="279"/>
      <c r="G337" s="280"/>
      <c r="H337" s="281"/>
      <c r="I337" s="282"/>
      <c r="J337" s="281"/>
      <c r="K337" s="283"/>
      <c r="L337" s="284"/>
      <c r="M337" s="287"/>
      <c r="O337" s="286"/>
      <c r="P337" s="269"/>
      <c r="Q337" s="269"/>
      <c r="R337" s="269"/>
    </row>
    <row r="338" spans="1:18" s="285" customFormat="1" ht="39.6" customHeight="1" x14ac:dyDescent="0.25">
      <c r="A338" s="276"/>
      <c r="B338" s="276"/>
      <c r="C338" s="276"/>
      <c r="D338" s="277"/>
      <c r="E338" s="278"/>
      <c r="F338" s="279"/>
      <c r="G338" s="280"/>
      <c r="H338" s="281"/>
      <c r="I338" s="282"/>
      <c r="J338" s="281"/>
      <c r="K338" s="283"/>
      <c r="L338" s="284"/>
      <c r="M338" s="287"/>
      <c r="O338" s="286"/>
      <c r="P338" s="269"/>
      <c r="Q338" s="269"/>
      <c r="R338" s="269"/>
    </row>
    <row r="339" spans="1:18" s="285" customFormat="1" ht="39.6" customHeight="1" x14ac:dyDescent="0.25">
      <c r="A339" s="276"/>
      <c r="B339" s="276"/>
      <c r="C339" s="276"/>
      <c r="D339" s="277"/>
      <c r="E339" s="278"/>
      <c r="F339" s="279"/>
      <c r="G339" s="280"/>
      <c r="H339" s="281"/>
      <c r="I339" s="282"/>
      <c r="J339" s="281"/>
      <c r="K339" s="283"/>
      <c r="L339" s="284"/>
      <c r="M339" s="287"/>
      <c r="O339" s="286"/>
      <c r="P339" s="269"/>
      <c r="Q339" s="269"/>
      <c r="R339" s="269"/>
    </row>
    <row r="340" spans="1:18" s="285" customFormat="1" ht="39.6" customHeight="1" x14ac:dyDescent="0.25">
      <c r="A340" s="276"/>
      <c r="B340" s="276"/>
      <c r="C340" s="276"/>
      <c r="D340" s="277"/>
      <c r="E340" s="278"/>
      <c r="F340" s="279"/>
      <c r="G340" s="280"/>
      <c r="H340" s="281"/>
      <c r="I340" s="282"/>
      <c r="J340" s="281"/>
      <c r="K340" s="283"/>
      <c r="L340" s="284"/>
      <c r="M340" s="287"/>
      <c r="O340" s="286"/>
      <c r="P340" s="269"/>
      <c r="Q340" s="269"/>
      <c r="R340" s="269"/>
    </row>
    <row r="341" spans="1:18" s="285" customFormat="1" ht="39.6" customHeight="1" x14ac:dyDescent="0.25">
      <c r="A341" s="276"/>
      <c r="B341" s="276"/>
      <c r="C341" s="276"/>
      <c r="D341" s="277"/>
      <c r="E341" s="278"/>
      <c r="F341" s="279"/>
      <c r="G341" s="280"/>
      <c r="H341" s="281"/>
      <c r="I341" s="282"/>
      <c r="J341" s="281"/>
      <c r="K341" s="283"/>
      <c r="L341" s="284"/>
      <c r="M341" s="287"/>
      <c r="O341" s="286"/>
      <c r="P341" s="269"/>
      <c r="Q341" s="269"/>
      <c r="R341" s="269"/>
    </row>
    <row r="342" spans="1:18" s="285" customFormat="1" ht="39.6" customHeight="1" x14ac:dyDescent="0.25">
      <c r="A342" s="276"/>
      <c r="B342" s="276"/>
      <c r="C342" s="276"/>
      <c r="D342" s="277"/>
      <c r="E342" s="278"/>
      <c r="F342" s="279"/>
      <c r="G342" s="280"/>
      <c r="H342" s="281"/>
      <c r="I342" s="282"/>
      <c r="J342" s="281"/>
      <c r="K342" s="283"/>
      <c r="L342" s="284"/>
      <c r="M342" s="287"/>
      <c r="O342" s="286"/>
      <c r="P342" s="269"/>
      <c r="Q342" s="269"/>
      <c r="R342" s="269"/>
    </row>
    <row r="343" spans="1:18" s="285" customFormat="1" ht="39.6" customHeight="1" x14ac:dyDescent="0.25">
      <c r="A343" s="276"/>
      <c r="B343" s="276"/>
      <c r="C343" s="276"/>
      <c r="D343" s="277"/>
      <c r="E343" s="278"/>
      <c r="F343" s="279"/>
      <c r="G343" s="280"/>
      <c r="H343" s="281"/>
      <c r="I343" s="282"/>
      <c r="J343" s="281"/>
      <c r="K343" s="283"/>
      <c r="L343" s="284"/>
      <c r="M343" s="287"/>
      <c r="O343" s="286"/>
      <c r="P343" s="269"/>
      <c r="Q343" s="269"/>
      <c r="R343" s="269"/>
    </row>
    <row r="344" spans="1:18" s="285" customFormat="1" ht="39.6" customHeight="1" x14ac:dyDescent="0.25">
      <c r="A344" s="276"/>
      <c r="B344" s="276"/>
      <c r="C344" s="276"/>
      <c r="D344" s="277"/>
      <c r="E344" s="278"/>
      <c r="F344" s="279"/>
      <c r="G344" s="280"/>
      <c r="H344" s="281"/>
      <c r="I344" s="282"/>
      <c r="J344" s="281"/>
      <c r="K344" s="283"/>
      <c r="L344" s="284"/>
      <c r="M344" s="287"/>
      <c r="O344" s="286"/>
      <c r="P344" s="269"/>
      <c r="Q344" s="269"/>
      <c r="R344" s="269"/>
    </row>
    <row r="345" spans="1:18" s="285" customFormat="1" ht="39.6" customHeight="1" x14ac:dyDescent="0.25">
      <c r="A345" s="276"/>
      <c r="B345" s="276"/>
      <c r="C345" s="276"/>
      <c r="D345" s="277"/>
      <c r="E345" s="278"/>
      <c r="F345" s="279"/>
      <c r="G345" s="280"/>
      <c r="H345" s="281"/>
      <c r="I345" s="282"/>
      <c r="J345" s="281"/>
      <c r="K345" s="283"/>
      <c r="L345" s="284"/>
      <c r="M345" s="287"/>
      <c r="O345" s="286"/>
      <c r="P345" s="269"/>
      <c r="Q345" s="269"/>
      <c r="R345" s="269"/>
    </row>
    <row r="346" spans="1:18" s="285" customFormat="1" ht="39.6" customHeight="1" x14ac:dyDescent="0.25">
      <c r="A346" s="276"/>
      <c r="B346" s="276"/>
      <c r="C346" s="276"/>
      <c r="D346" s="277"/>
      <c r="E346" s="278"/>
      <c r="F346" s="279"/>
      <c r="G346" s="280"/>
      <c r="H346" s="281"/>
      <c r="I346" s="282"/>
      <c r="J346" s="281"/>
      <c r="K346" s="283"/>
      <c r="L346" s="284"/>
      <c r="M346" s="287"/>
      <c r="O346" s="286"/>
      <c r="P346" s="269"/>
      <c r="Q346" s="269"/>
      <c r="R346" s="269"/>
    </row>
    <row r="347" spans="1:18" s="285" customFormat="1" ht="39.6" customHeight="1" x14ac:dyDescent="0.25">
      <c r="A347" s="276"/>
      <c r="B347" s="276"/>
      <c r="C347" s="276"/>
      <c r="D347" s="277"/>
      <c r="E347" s="278"/>
      <c r="F347" s="279"/>
      <c r="G347" s="280"/>
      <c r="H347" s="281"/>
      <c r="I347" s="282"/>
      <c r="J347" s="281"/>
      <c r="K347" s="283"/>
      <c r="L347" s="284"/>
      <c r="M347" s="287"/>
      <c r="O347" s="286"/>
      <c r="P347" s="269"/>
      <c r="Q347" s="269"/>
      <c r="R347" s="269"/>
    </row>
    <row r="348" spans="1:18" s="285" customFormat="1" ht="39.6" customHeight="1" x14ac:dyDescent="0.25">
      <c r="A348" s="276"/>
      <c r="B348" s="276"/>
      <c r="C348" s="276"/>
      <c r="D348" s="277"/>
      <c r="E348" s="278"/>
      <c r="F348" s="279"/>
      <c r="G348" s="280"/>
      <c r="H348" s="281"/>
      <c r="I348" s="282"/>
      <c r="J348" s="281"/>
      <c r="K348" s="283"/>
      <c r="L348" s="284"/>
      <c r="M348" s="287"/>
      <c r="O348" s="286"/>
      <c r="P348" s="269"/>
      <c r="Q348" s="269"/>
      <c r="R348" s="269"/>
    </row>
    <row r="349" spans="1:18" s="285" customFormat="1" ht="39.6" customHeight="1" x14ac:dyDescent="0.25">
      <c r="A349" s="276"/>
      <c r="B349" s="276"/>
      <c r="C349" s="276"/>
      <c r="D349" s="277"/>
      <c r="E349" s="278"/>
      <c r="F349" s="279"/>
      <c r="G349" s="280"/>
      <c r="H349" s="281"/>
      <c r="I349" s="282"/>
      <c r="J349" s="281"/>
      <c r="K349" s="283"/>
      <c r="L349" s="284"/>
      <c r="M349" s="287"/>
      <c r="O349" s="286"/>
      <c r="P349" s="269"/>
      <c r="Q349" s="269"/>
      <c r="R349" s="269"/>
    </row>
    <row r="350" spans="1:18" s="285" customFormat="1" ht="39.6" customHeight="1" x14ac:dyDescent="0.25">
      <c r="A350" s="276"/>
      <c r="B350" s="276"/>
      <c r="C350" s="276"/>
      <c r="D350" s="277"/>
      <c r="E350" s="278"/>
      <c r="F350" s="279"/>
      <c r="G350" s="280"/>
      <c r="H350" s="281"/>
      <c r="I350" s="282"/>
      <c r="J350" s="281"/>
      <c r="K350" s="283"/>
      <c r="L350" s="284"/>
      <c r="M350" s="287"/>
      <c r="O350" s="286"/>
      <c r="P350" s="269"/>
      <c r="Q350" s="269"/>
      <c r="R350" s="269"/>
    </row>
    <row r="351" spans="1:18" s="285" customFormat="1" ht="39.6" customHeight="1" x14ac:dyDescent="0.25">
      <c r="A351" s="276"/>
      <c r="B351" s="276"/>
      <c r="C351" s="276"/>
      <c r="D351" s="277"/>
      <c r="E351" s="278"/>
      <c r="F351" s="279"/>
      <c r="G351" s="280"/>
      <c r="H351" s="281"/>
      <c r="I351" s="282"/>
      <c r="J351" s="281"/>
      <c r="K351" s="283"/>
      <c r="L351" s="284"/>
      <c r="M351" s="287"/>
      <c r="O351" s="286"/>
      <c r="P351" s="269"/>
      <c r="Q351" s="269"/>
      <c r="R351" s="269"/>
    </row>
    <row r="352" spans="1:18" s="285" customFormat="1" ht="39.6" customHeight="1" x14ac:dyDescent="0.25">
      <c r="A352" s="276"/>
      <c r="B352" s="276"/>
      <c r="C352" s="276"/>
      <c r="D352" s="277"/>
      <c r="E352" s="278"/>
      <c r="F352" s="279"/>
      <c r="G352" s="280"/>
      <c r="H352" s="281"/>
      <c r="I352" s="282"/>
      <c r="J352" s="281"/>
      <c r="K352" s="283"/>
      <c r="L352" s="284"/>
      <c r="M352" s="287"/>
      <c r="O352" s="286"/>
      <c r="P352" s="269"/>
      <c r="Q352" s="269"/>
      <c r="R352" s="269"/>
    </row>
    <row r="353" spans="1:18" s="285" customFormat="1" ht="39.6" customHeight="1" x14ac:dyDescent="0.25">
      <c r="A353" s="276"/>
      <c r="B353" s="276"/>
      <c r="C353" s="276"/>
      <c r="D353" s="277"/>
      <c r="E353" s="278"/>
      <c r="F353" s="279"/>
      <c r="G353" s="280"/>
      <c r="H353" s="281"/>
      <c r="I353" s="282"/>
      <c r="J353" s="281"/>
      <c r="K353" s="283"/>
      <c r="L353" s="284"/>
      <c r="M353" s="287"/>
      <c r="O353" s="286"/>
      <c r="P353" s="269"/>
      <c r="Q353" s="269"/>
      <c r="R353" s="269"/>
    </row>
    <row r="354" spans="1:18" s="285" customFormat="1" ht="39.6" customHeight="1" x14ac:dyDescent="0.25">
      <c r="A354" s="276"/>
      <c r="B354" s="276"/>
      <c r="C354" s="276"/>
      <c r="D354" s="277"/>
      <c r="E354" s="278"/>
      <c r="F354" s="279"/>
      <c r="G354" s="280"/>
      <c r="H354" s="281"/>
      <c r="I354" s="282"/>
      <c r="J354" s="281"/>
      <c r="K354" s="283"/>
      <c r="L354" s="284"/>
      <c r="M354" s="287"/>
      <c r="O354" s="286"/>
      <c r="P354" s="269"/>
      <c r="Q354" s="269"/>
      <c r="R354" s="269"/>
    </row>
    <row r="355" spans="1:18" s="285" customFormat="1" ht="39.6" customHeight="1" x14ac:dyDescent="0.25">
      <c r="A355" s="276"/>
      <c r="B355" s="276"/>
      <c r="C355" s="276"/>
      <c r="D355" s="277"/>
      <c r="E355" s="278"/>
      <c r="F355" s="279"/>
      <c r="G355" s="280"/>
      <c r="H355" s="281"/>
      <c r="I355" s="282"/>
      <c r="J355" s="281"/>
      <c r="K355" s="283"/>
      <c r="L355" s="284"/>
      <c r="M355" s="287"/>
      <c r="O355" s="286"/>
      <c r="P355" s="269"/>
      <c r="Q355" s="269"/>
      <c r="R355" s="269"/>
    </row>
    <row r="356" spans="1:18" s="285" customFormat="1" ht="39.6" customHeight="1" x14ac:dyDescent="0.25">
      <c r="A356" s="276"/>
      <c r="B356" s="276"/>
      <c r="C356" s="276"/>
      <c r="D356" s="277"/>
      <c r="E356" s="278"/>
      <c r="F356" s="279"/>
      <c r="G356" s="280"/>
      <c r="H356" s="281"/>
      <c r="I356" s="282"/>
      <c r="J356" s="281"/>
      <c r="K356" s="283"/>
      <c r="L356" s="284"/>
      <c r="M356" s="287"/>
      <c r="O356" s="286"/>
      <c r="P356" s="269"/>
      <c r="Q356" s="269"/>
      <c r="R356" s="269"/>
    </row>
    <row r="357" spans="1:18" s="285" customFormat="1" ht="39.6" customHeight="1" x14ac:dyDescent="0.25">
      <c r="A357" s="276"/>
      <c r="B357" s="276"/>
      <c r="C357" s="276"/>
      <c r="D357" s="277"/>
      <c r="E357" s="278"/>
      <c r="F357" s="279"/>
      <c r="G357" s="280"/>
      <c r="H357" s="281"/>
      <c r="I357" s="282"/>
      <c r="J357" s="281"/>
      <c r="K357" s="283"/>
      <c r="L357" s="284"/>
      <c r="M357" s="287"/>
      <c r="O357" s="286"/>
      <c r="P357" s="269"/>
      <c r="Q357" s="269"/>
      <c r="R357" s="269"/>
    </row>
    <row r="358" spans="1:18" s="285" customFormat="1" ht="39.6" customHeight="1" x14ac:dyDescent="0.25">
      <c r="A358" s="276"/>
      <c r="B358" s="276"/>
      <c r="C358" s="276"/>
      <c r="D358" s="277"/>
      <c r="E358" s="278"/>
      <c r="F358" s="279"/>
      <c r="G358" s="280"/>
      <c r="H358" s="281"/>
      <c r="I358" s="282"/>
      <c r="J358" s="281"/>
      <c r="K358" s="283"/>
      <c r="L358" s="284"/>
      <c r="M358" s="287"/>
      <c r="O358" s="286"/>
      <c r="P358" s="269"/>
      <c r="Q358" s="269"/>
      <c r="R358" s="269"/>
    </row>
    <row r="359" spans="1:18" s="285" customFormat="1" ht="39.6" customHeight="1" x14ac:dyDescent="0.25">
      <c r="A359" s="276"/>
      <c r="B359" s="276"/>
      <c r="C359" s="276"/>
      <c r="D359" s="277"/>
      <c r="E359" s="278"/>
      <c r="F359" s="279"/>
      <c r="G359" s="280"/>
      <c r="H359" s="281"/>
      <c r="I359" s="282"/>
      <c r="J359" s="281"/>
      <c r="K359" s="283"/>
      <c r="L359" s="284"/>
      <c r="M359" s="287"/>
      <c r="O359" s="286"/>
      <c r="P359" s="269"/>
      <c r="Q359" s="269"/>
      <c r="R359" s="269"/>
    </row>
    <row r="360" spans="1:18" s="285" customFormat="1" ht="39.6" customHeight="1" x14ac:dyDescent="0.25">
      <c r="A360" s="276"/>
      <c r="B360" s="276"/>
      <c r="C360" s="276"/>
      <c r="D360" s="277"/>
      <c r="E360" s="278"/>
      <c r="F360" s="279"/>
      <c r="G360" s="280"/>
      <c r="H360" s="281"/>
      <c r="I360" s="282"/>
      <c r="J360" s="281"/>
      <c r="K360" s="283"/>
      <c r="L360" s="284"/>
      <c r="M360" s="287"/>
      <c r="O360" s="286"/>
      <c r="P360" s="269"/>
      <c r="Q360" s="269"/>
      <c r="R360" s="269"/>
    </row>
    <row r="361" spans="1:18" s="285" customFormat="1" ht="39.6" customHeight="1" x14ac:dyDescent="0.25">
      <c r="A361" s="276"/>
      <c r="B361" s="276"/>
      <c r="C361" s="276"/>
      <c r="D361" s="277"/>
      <c r="E361" s="278"/>
      <c r="F361" s="279"/>
      <c r="G361" s="280"/>
      <c r="H361" s="281"/>
      <c r="I361" s="282"/>
      <c r="J361" s="281"/>
      <c r="K361" s="283"/>
      <c r="L361" s="284"/>
      <c r="M361" s="287"/>
      <c r="O361" s="286"/>
      <c r="P361" s="269"/>
      <c r="Q361" s="269"/>
      <c r="R361" s="269"/>
    </row>
    <row r="362" spans="1:18" s="285" customFormat="1" ht="39.6" customHeight="1" x14ac:dyDescent="0.25">
      <c r="A362" s="276"/>
      <c r="B362" s="276"/>
      <c r="C362" s="276"/>
      <c r="D362" s="277"/>
      <c r="E362" s="278"/>
      <c r="F362" s="279"/>
      <c r="G362" s="280"/>
      <c r="H362" s="281"/>
      <c r="I362" s="282"/>
      <c r="J362" s="281"/>
      <c r="K362" s="283"/>
      <c r="L362" s="284"/>
      <c r="M362" s="287"/>
      <c r="O362" s="286"/>
      <c r="P362" s="269"/>
      <c r="Q362" s="269"/>
      <c r="R362" s="269"/>
    </row>
    <row r="363" spans="1:18" s="285" customFormat="1" ht="39.6" customHeight="1" x14ac:dyDescent="0.25">
      <c r="A363" s="276"/>
      <c r="B363" s="276"/>
      <c r="C363" s="276"/>
      <c r="D363" s="277"/>
      <c r="E363" s="278"/>
      <c r="F363" s="279"/>
      <c r="G363" s="280"/>
      <c r="H363" s="281"/>
      <c r="I363" s="282"/>
      <c r="J363" s="281"/>
      <c r="K363" s="283"/>
      <c r="L363" s="284"/>
      <c r="M363" s="287"/>
      <c r="O363" s="286"/>
      <c r="P363" s="269"/>
      <c r="Q363" s="269"/>
      <c r="R363" s="269"/>
    </row>
    <row r="364" spans="1:18" s="285" customFormat="1" ht="39.6" customHeight="1" x14ac:dyDescent="0.25">
      <c r="A364" s="276"/>
      <c r="B364" s="276"/>
      <c r="C364" s="276"/>
      <c r="D364" s="277"/>
      <c r="E364" s="278"/>
      <c r="F364" s="279"/>
      <c r="G364" s="280"/>
      <c r="H364" s="281"/>
      <c r="I364" s="282"/>
      <c r="J364" s="281"/>
      <c r="K364" s="283"/>
      <c r="L364" s="284"/>
      <c r="M364" s="287"/>
      <c r="O364" s="286"/>
      <c r="P364" s="269"/>
      <c r="Q364" s="269"/>
      <c r="R364" s="269"/>
    </row>
    <row r="365" spans="1:18" s="285" customFormat="1" ht="39.6" customHeight="1" x14ac:dyDescent="0.25">
      <c r="A365" s="276"/>
      <c r="B365" s="276"/>
      <c r="C365" s="276"/>
      <c r="D365" s="277"/>
      <c r="E365" s="278"/>
      <c r="F365" s="279"/>
      <c r="G365" s="280"/>
      <c r="H365" s="281"/>
      <c r="I365" s="282"/>
      <c r="J365" s="281"/>
      <c r="K365" s="283"/>
      <c r="L365" s="284"/>
      <c r="M365" s="287"/>
      <c r="O365" s="286"/>
      <c r="P365" s="269"/>
      <c r="Q365" s="269"/>
      <c r="R365" s="269"/>
    </row>
    <row r="366" spans="1:18" s="285" customFormat="1" ht="39.6" customHeight="1" x14ac:dyDescent="0.25">
      <c r="A366" s="276"/>
      <c r="B366" s="276"/>
      <c r="C366" s="276"/>
      <c r="D366" s="277"/>
      <c r="E366" s="278"/>
      <c r="F366" s="279"/>
      <c r="G366" s="280"/>
      <c r="H366" s="281"/>
      <c r="I366" s="282"/>
      <c r="J366" s="281"/>
      <c r="K366" s="283"/>
      <c r="L366" s="284"/>
      <c r="M366" s="287"/>
      <c r="O366" s="286"/>
      <c r="P366" s="269"/>
      <c r="Q366" s="269"/>
      <c r="R366" s="269"/>
    </row>
    <row r="367" spans="1:18" s="285" customFormat="1" ht="39.6" customHeight="1" x14ac:dyDescent="0.25">
      <c r="A367" s="276"/>
      <c r="B367" s="276"/>
      <c r="C367" s="276"/>
      <c r="D367" s="277"/>
      <c r="E367" s="278"/>
      <c r="F367" s="279"/>
      <c r="G367" s="280"/>
      <c r="H367" s="281"/>
      <c r="I367" s="282"/>
      <c r="J367" s="281"/>
      <c r="K367" s="283"/>
      <c r="L367" s="284"/>
      <c r="M367" s="287"/>
      <c r="O367" s="286"/>
      <c r="P367" s="269"/>
      <c r="Q367" s="269"/>
      <c r="R367" s="269"/>
    </row>
    <row r="368" spans="1:18" s="285" customFormat="1" ht="39.6" customHeight="1" x14ac:dyDescent="0.25">
      <c r="A368" s="276"/>
      <c r="B368" s="276"/>
      <c r="C368" s="276"/>
      <c r="D368" s="277"/>
      <c r="E368" s="278"/>
      <c r="F368" s="279"/>
      <c r="G368" s="280"/>
      <c r="H368" s="281"/>
      <c r="I368" s="282"/>
      <c r="J368" s="281"/>
      <c r="K368" s="283"/>
      <c r="L368" s="284"/>
      <c r="M368" s="287"/>
      <c r="O368" s="286"/>
      <c r="P368" s="269"/>
      <c r="Q368" s="269"/>
      <c r="R368" s="269"/>
    </row>
    <row r="369" spans="1:18" s="285" customFormat="1" ht="39.6" customHeight="1" x14ac:dyDescent="0.25">
      <c r="A369" s="276"/>
      <c r="B369" s="276"/>
      <c r="C369" s="276"/>
      <c r="D369" s="277"/>
      <c r="E369" s="278"/>
      <c r="F369" s="279"/>
      <c r="G369" s="280"/>
      <c r="H369" s="281"/>
      <c r="I369" s="282"/>
      <c r="J369" s="281"/>
      <c r="K369" s="283"/>
      <c r="L369" s="284"/>
      <c r="M369" s="287"/>
      <c r="O369" s="286"/>
      <c r="P369" s="269"/>
      <c r="Q369" s="269"/>
      <c r="R369" s="269"/>
    </row>
    <row r="370" spans="1:18" s="285" customFormat="1" ht="39.6" customHeight="1" x14ac:dyDescent="0.25">
      <c r="A370" s="276"/>
      <c r="B370" s="276"/>
      <c r="C370" s="276"/>
      <c r="D370" s="277"/>
      <c r="E370" s="278"/>
      <c r="F370" s="279"/>
      <c r="G370" s="280"/>
      <c r="H370" s="281"/>
      <c r="I370" s="282"/>
      <c r="J370" s="281"/>
      <c r="K370" s="283"/>
      <c r="L370" s="284"/>
      <c r="M370" s="287"/>
      <c r="O370" s="286"/>
      <c r="P370" s="269"/>
      <c r="Q370" s="269"/>
      <c r="R370" s="269"/>
    </row>
    <row r="371" spans="1:18" s="285" customFormat="1" ht="39.6" customHeight="1" x14ac:dyDescent="0.25">
      <c r="A371" s="276"/>
      <c r="B371" s="276"/>
      <c r="C371" s="276"/>
      <c r="D371" s="277"/>
      <c r="E371" s="278"/>
      <c r="F371" s="279"/>
      <c r="G371" s="280"/>
      <c r="H371" s="281"/>
      <c r="I371" s="282"/>
      <c r="J371" s="281"/>
      <c r="K371" s="283"/>
      <c r="L371" s="284"/>
      <c r="M371" s="287"/>
      <c r="O371" s="286"/>
      <c r="P371" s="269"/>
      <c r="Q371" s="269"/>
      <c r="R371" s="269"/>
    </row>
    <row r="372" spans="1:18" s="285" customFormat="1" ht="39.6" customHeight="1" x14ac:dyDescent="0.25">
      <c r="A372" s="276"/>
      <c r="B372" s="276"/>
      <c r="C372" s="276"/>
      <c r="D372" s="277"/>
      <c r="E372" s="278"/>
      <c r="F372" s="279"/>
      <c r="G372" s="280"/>
      <c r="H372" s="281"/>
      <c r="I372" s="282"/>
      <c r="J372" s="281"/>
      <c r="K372" s="283"/>
      <c r="L372" s="284"/>
      <c r="M372" s="287"/>
      <c r="O372" s="286"/>
      <c r="P372" s="269"/>
      <c r="Q372" s="269"/>
      <c r="R372" s="269"/>
    </row>
    <row r="373" spans="1:18" s="285" customFormat="1" ht="39.6" customHeight="1" x14ac:dyDescent="0.25">
      <c r="A373" s="276"/>
      <c r="B373" s="276"/>
      <c r="C373" s="276"/>
      <c r="D373" s="277"/>
      <c r="E373" s="278"/>
      <c r="F373" s="279"/>
      <c r="G373" s="280"/>
      <c r="H373" s="281"/>
      <c r="I373" s="282"/>
      <c r="J373" s="281"/>
      <c r="K373" s="283"/>
      <c r="L373" s="284"/>
      <c r="M373" s="287"/>
      <c r="O373" s="286"/>
      <c r="P373" s="269"/>
      <c r="Q373" s="269"/>
      <c r="R373" s="269"/>
    </row>
    <row r="374" spans="1:18" s="285" customFormat="1" ht="39.6" customHeight="1" x14ac:dyDescent="0.25">
      <c r="A374" s="276"/>
      <c r="B374" s="276"/>
      <c r="C374" s="276"/>
      <c r="D374" s="277"/>
      <c r="E374" s="278"/>
      <c r="F374" s="279"/>
      <c r="G374" s="280"/>
      <c r="H374" s="281"/>
      <c r="I374" s="282"/>
      <c r="J374" s="281"/>
      <c r="K374" s="283"/>
      <c r="L374" s="284"/>
      <c r="M374" s="287"/>
      <c r="O374" s="286"/>
      <c r="P374" s="269"/>
      <c r="Q374" s="269"/>
      <c r="R374" s="269"/>
    </row>
    <row r="375" spans="1:18" s="285" customFormat="1" ht="39.6" customHeight="1" x14ac:dyDescent="0.25">
      <c r="A375" s="276"/>
      <c r="B375" s="276"/>
      <c r="C375" s="276"/>
      <c r="D375" s="277"/>
      <c r="E375" s="278"/>
      <c r="F375" s="279"/>
      <c r="G375" s="280"/>
      <c r="H375" s="281"/>
      <c r="I375" s="282"/>
      <c r="J375" s="281"/>
      <c r="K375" s="283"/>
      <c r="L375" s="284"/>
      <c r="M375" s="287"/>
      <c r="O375" s="286"/>
      <c r="P375" s="269"/>
      <c r="Q375" s="269"/>
      <c r="R375" s="269"/>
    </row>
    <row r="376" spans="1:18" s="285" customFormat="1" ht="39.6" customHeight="1" x14ac:dyDescent="0.25">
      <c r="A376" s="276"/>
      <c r="B376" s="276"/>
      <c r="C376" s="276"/>
      <c r="D376" s="277"/>
      <c r="E376" s="278"/>
      <c r="F376" s="279"/>
      <c r="G376" s="280"/>
      <c r="H376" s="281"/>
      <c r="I376" s="282"/>
      <c r="J376" s="281"/>
      <c r="K376" s="283"/>
      <c r="L376" s="284"/>
      <c r="M376" s="287"/>
      <c r="O376" s="286"/>
      <c r="P376" s="269"/>
      <c r="Q376" s="269"/>
      <c r="R376" s="269"/>
    </row>
    <row r="377" spans="1:18" s="285" customFormat="1" ht="39.6" customHeight="1" x14ac:dyDescent="0.25">
      <c r="A377" s="276"/>
      <c r="B377" s="276"/>
      <c r="C377" s="276"/>
      <c r="D377" s="277"/>
      <c r="E377" s="278"/>
      <c r="F377" s="279"/>
      <c r="G377" s="280"/>
      <c r="H377" s="281"/>
      <c r="I377" s="282"/>
      <c r="J377" s="281"/>
      <c r="K377" s="283"/>
      <c r="L377" s="284"/>
      <c r="M377" s="287"/>
      <c r="O377" s="286"/>
      <c r="P377" s="269"/>
      <c r="Q377" s="269"/>
      <c r="R377" s="269"/>
    </row>
    <row r="378" spans="1:18" s="285" customFormat="1" ht="39.6" customHeight="1" x14ac:dyDescent="0.25">
      <c r="A378" s="276"/>
      <c r="B378" s="276"/>
      <c r="C378" s="276"/>
      <c r="D378" s="277"/>
      <c r="E378" s="278"/>
      <c r="F378" s="279"/>
      <c r="G378" s="280"/>
      <c r="H378" s="281"/>
      <c r="I378" s="282"/>
      <c r="J378" s="281"/>
      <c r="K378" s="283"/>
      <c r="L378" s="284"/>
      <c r="M378" s="287"/>
      <c r="O378" s="286"/>
      <c r="P378" s="269"/>
      <c r="Q378" s="269"/>
      <c r="R378" s="269"/>
    </row>
    <row r="379" spans="1:18" s="285" customFormat="1" ht="39.6" customHeight="1" x14ac:dyDescent="0.25">
      <c r="A379" s="276"/>
      <c r="B379" s="276"/>
      <c r="C379" s="276"/>
      <c r="D379" s="277"/>
      <c r="E379" s="278"/>
      <c r="F379" s="279"/>
      <c r="G379" s="280"/>
      <c r="H379" s="281"/>
      <c r="I379" s="282"/>
      <c r="J379" s="281"/>
      <c r="K379" s="283"/>
      <c r="L379" s="284"/>
      <c r="M379" s="287"/>
      <c r="O379" s="286"/>
      <c r="P379" s="269"/>
      <c r="Q379" s="269"/>
      <c r="R379" s="269"/>
    </row>
    <row r="380" spans="1:18" s="285" customFormat="1" ht="39.6" customHeight="1" x14ac:dyDescent="0.25">
      <c r="A380" s="276"/>
      <c r="B380" s="276"/>
      <c r="C380" s="276"/>
      <c r="D380" s="277"/>
      <c r="E380" s="278"/>
      <c r="F380" s="279"/>
      <c r="G380" s="280"/>
      <c r="H380" s="281"/>
      <c r="I380" s="282"/>
      <c r="J380" s="281"/>
      <c r="K380" s="283"/>
      <c r="L380" s="284"/>
      <c r="M380" s="287"/>
      <c r="O380" s="286"/>
      <c r="P380" s="269"/>
      <c r="Q380" s="269"/>
      <c r="R380" s="269"/>
    </row>
    <row r="381" spans="1:18" s="285" customFormat="1" ht="39.6" customHeight="1" x14ac:dyDescent="0.25">
      <c r="A381" s="276"/>
      <c r="B381" s="276"/>
      <c r="C381" s="276"/>
      <c r="D381" s="277"/>
      <c r="E381" s="278"/>
      <c r="F381" s="279"/>
      <c r="G381" s="280"/>
      <c r="H381" s="281"/>
      <c r="I381" s="282"/>
      <c r="J381" s="281"/>
      <c r="K381" s="283"/>
      <c r="L381" s="284"/>
      <c r="M381" s="287"/>
      <c r="O381" s="286"/>
      <c r="P381" s="269"/>
      <c r="Q381" s="269"/>
      <c r="R381" s="269"/>
    </row>
    <row r="382" spans="1:18" s="285" customFormat="1" ht="39.6" customHeight="1" x14ac:dyDescent="0.25">
      <c r="A382" s="276"/>
      <c r="B382" s="276"/>
      <c r="C382" s="276"/>
      <c r="D382" s="277"/>
      <c r="E382" s="278"/>
      <c r="F382" s="279"/>
      <c r="G382" s="280"/>
      <c r="H382" s="281"/>
      <c r="I382" s="282"/>
      <c r="J382" s="281"/>
      <c r="K382" s="283"/>
      <c r="L382" s="284"/>
      <c r="M382" s="287"/>
      <c r="O382" s="286"/>
      <c r="P382" s="269"/>
      <c r="Q382" s="269"/>
      <c r="R382" s="269"/>
    </row>
    <row r="383" spans="1:18" s="285" customFormat="1" ht="39.6" customHeight="1" x14ac:dyDescent="0.25">
      <c r="A383" s="276"/>
      <c r="B383" s="276"/>
      <c r="C383" s="276"/>
      <c r="D383" s="277"/>
      <c r="E383" s="278"/>
      <c r="F383" s="279"/>
      <c r="G383" s="280"/>
      <c r="H383" s="281"/>
      <c r="I383" s="282"/>
      <c r="J383" s="281"/>
      <c r="K383" s="283"/>
      <c r="L383" s="284"/>
      <c r="M383" s="287"/>
      <c r="O383" s="286"/>
      <c r="P383" s="269"/>
      <c r="Q383" s="269"/>
      <c r="R383" s="269"/>
    </row>
    <row r="384" spans="1:18" s="285" customFormat="1" ht="39.6" customHeight="1" x14ac:dyDescent="0.25">
      <c r="A384" s="276"/>
      <c r="B384" s="276"/>
      <c r="C384" s="276"/>
      <c r="D384" s="277"/>
      <c r="E384" s="278"/>
      <c r="F384" s="279"/>
      <c r="G384" s="280"/>
      <c r="H384" s="281"/>
      <c r="I384" s="282"/>
      <c r="J384" s="281"/>
      <c r="K384" s="283"/>
      <c r="L384" s="284"/>
      <c r="M384" s="287"/>
      <c r="O384" s="286"/>
      <c r="P384" s="269"/>
      <c r="Q384" s="269"/>
      <c r="R384" s="269"/>
    </row>
    <row r="385" spans="1:18" s="285" customFormat="1" ht="39.6" customHeight="1" x14ac:dyDescent="0.25">
      <c r="A385" s="276"/>
      <c r="B385" s="276"/>
      <c r="C385" s="276"/>
      <c r="D385" s="277"/>
      <c r="E385" s="278"/>
      <c r="F385" s="279"/>
      <c r="G385" s="280"/>
      <c r="H385" s="281"/>
      <c r="I385" s="282"/>
      <c r="J385" s="281"/>
      <c r="K385" s="283"/>
      <c r="L385" s="284"/>
      <c r="M385" s="287"/>
      <c r="O385" s="286"/>
      <c r="P385" s="269"/>
      <c r="Q385" s="269"/>
      <c r="R385" s="269"/>
    </row>
    <row r="386" spans="1:18" s="285" customFormat="1" ht="39.6" customHeight="1" x14ac:dyDescent="0.25">
      <c r="A386" s="276"/>
      <c r="B386" s="276"/>
      <c r="C386" s="276"/>
      <c r="D386" s="277"/>
      <c r="E386" s="278"/>
      <c r="F386" s="279"/>
      <c r="G386" s="280"/>
      <c r="H386" s="281"/>
      <c r="I386" s="282"/>
      <c r="J386" s="281"/>
      <c r="K386" s="283"/>
      <c r="L386" s="284"/>
      <c r="M386" s="287"/>
      <c r="O386" s="286"/>
      <c r="P386" s="269"/>
      <c r="Q386" s="269"/>
      <c r="R386" s="269"/>
    </row>
    <row r="387" spans="1:18" s="285" customFormat="1" ht="39.6" customHeight="1" x14ac:dyDescent="0.25">
      <c r="A387" s="276"/>
      <c r="B387" s="276"/>
      <c r="C387" s="276"/>
      <c r="D387" s="277"/>
      <c r="E387" s="278"/>
      <c r="F387" s="279"/>
      <c r="G387" s="280"/>
      <c r="H387" s="281"/>
      <c r="I387" s="282"/>
      <c r="J387" s="281"/>
      <c r="K387" s="283"/>
      <c r="L387" s="284"/>
      <c r="M387" s="287"/>
      <c r="O387" s="286"/>
      <c r="P387" s="269"/>
      <c r="Q387" s="269"/>
      <c r="R387" s="269"/>
    </row>
    <row r="388" spans="1:18" s="285" customFormat="1" ht="39.6" customHeight="1" x14ac:dyDescent="0.25">
      <c r="A388" s="276"/>
      <c r="B388" s="276"/>
      <c r="C388" s="276"/>
      <c r="D388" s="277"/>
      <c r="E388" s="278"/>
      <c r="F388" s="279"/>
      <c r="G388" s="280"/>
      <c r="H388" s="281"/>
      <c r="I388" s="282"/>
      <c r="J388" s="281"/>
      <c r="K388" s="283"/>
      <c r="L388" s="284"/>
      <c r="M388" s="287"/>
      <c r="O388" s="286"/>
      <c r="P388" s="269"/>
      <c r="Q388" s="269"/>
      <c r="R388" s="269"/>
    </row>
    <row r="389" spans="1:18" s="285" customFormat="1" ht="39.6" customHeight="1" x14ac:dyDescent="0.25">
      <c r="A389" s="276"/>
      <c r="B389" s="276"/>
      <c r="C389" s="276"/>
      <c r="D389" s="277"/>
      <c r="E389" s="278"/>
      <c r="F389" s="279"/>
      <c r="G389" s="280"/>
      <c r="H389" s="281"/>
      <c r="I389" s="282"/>
      <c r="J389" s="281"/>
      <c r="K389" s="283"/>
      <c r="L389" s="284"/>
      <c r="M389" s="287"/>
      <c r="O389" s="286"/>
      <c r="P389" s="269"/>
      <c r="Q389" s="269"/>
      <c r="R389" s="269"/>
    </row>
    <row r="390" spans="1:18" s="285" customFormat="1" ht="39.6" customHeight="1" x14ac:dyDescent="0.25">
      <c r="A390" s="276"/>
      <c r="B390" s="276"/>
      <c r="C390" s="276"/>
      <c r="D390" s="277"/>
      <c r="E390" s="278"/>
      <c r="F390" s="279"/>
      <c r="G390" s="280"/>
      <c r="H390" s="281"/>
      <c r="I390" s="282"/>
      <c r="J390" s="281"/>
      <c r="K390" s="283"/>
      <c r="L390" s="284"/>
      <c r="M390" s="287"/>
      <c r="O390" s="286"/>
      <c r="P390" s="269"/>
      <c r="Q390" s="269"/>
      <c r="R390" s="269"/>
    </row>
    <row r="391" spans="1:18" s="285" customFormat="1" ht="39.6" customHeight="1" x14ac:dyDescent="0.25">
      <c r="A391" s="276"/>
      <c r="B391" s="276"/>
      <c r="C391" s="276"/>
      <c r="D391" s="277"/>
      <c r="E391" s="278"/>
      <c r="F391" s="279"/>
      <c r="G391" s="280"/>
      <c r="H391" s="281"/>
      <c r="I391" s="282"/>
      <c r="J391" s="281"/>
      <c r="K391" s="283"/>
      <c r="L391" s="284"/>
      <c r="M391" s="287"/>
      <c r="O391" s="286"/>
      <c r="P391" s="269"/>
      <c r="Q391" s="269"/>
      <c r="R391" s="269"/>
    </row>
    <row r="392" spans="1:18" s="285" customFormat="1" ht="39.6" customHeight="1" x14ac:dyDescent="0.25">
      <c r="A392" s="276"/>
      <c r="B392" s="276"/>
      <c r="C392" s="276"/>
      <c r="D392" s="277"/>
      <c r="E392" s="278"/>
      <c r="F392" s="279"/>
      <c r="G392" s="280"/>
      <c r="H392" s="281"/>
      <c r="I392" s="282"/>
      <c r="J392" s="281"/>
      <c r="K392" s="283"/>
      <c r="L392" s="284"/>
      <c r="M392" s="287"/>
      <c r="O392" s="286"/>
      <c r="P392" s="269"/>
      <c r="Q392" s="269"/>
      <c r="R392" s="269"/>
    </row>
    <row r="393" spans="1:18" s="285" customFormat="1" ht="39.6" customHeight="1" x14ac:dyDescent="0.25">
      <c r="A393" s="276"/>
      <c r="B393" s="276"/>
      <c r="C393" s="276"/>
      <c r="D393" s="277"/>
      <c r="E393" s="278"/>
      <c r="F393" s="279"/>
      <c r="G393" s="280"/>
      <c r="H393" s="281"/>
      <c r="I393" s="282"/>
      <c r="J393" s="281"/>
      <c r="K393" s="283"/>
      <c r="L393" s="284"/>
      <c r="M393" s="287"/>
      <c r="O393" s="286"/>
      <c r="P393" s="269"/>
      <c r="Q393" s="269"/>
      <c r="R393" s="269"/>
    </row>
    <row r="394" spans="1:18" s="285" customFormat="1" ht="39.6" customHeight="1" x14ac:dyDescent="0.25">
      <c r="A394" s="276"/>
      <c r="B394" s="276"/>
      <c r="C394" s="276"/>
      <c r="D394" s="277"/>
      <c r="E394" s="278"/>
      <c r="F394" s="279"/>
      <c r="G394" s="280"/>
      <c r="H394" s="281"/>
      <c r="I394" s="282"/>
      <c r="J394" s="281"/>
      <c r="K394" s="283"/>
      <c r="L394" s="284"/>
      <c r="M394" s="287"/>
      <c r="O394" s="286"/>
      <c r="P394" s="269"/>
      <c r="Q394" s="269"/>
      <c r="R394" s="269"/>
    </row>
    <row r="395" spans="1:18" s="285" customFormat="1" ht="39.6" customHeight="1" x14ac:dyDescent="0.25">
      <c r="A395" s="276"/>
      <c r="B395" s="276"/>
      <c r="C395" s="276"/>
      <c r="D395" s="277"/>
      <c r="E395" s="278"/>
      <c r="F395" s="279"/>
      <c r="G395" s="280"/>
      <c r="H395" s="281"/>
      <c r="I395" s="282"/>
      <c r="J395" s="281"/>
      <c r="K395" s="283"/>
      <c r="L395" s="284"/>
      <c r="M395" s="287"/>
      <c r="O395" s="286"/>
      <c r="P395" s="269"/>
      <c r="Q395" s="269"/>
      <c r="R395" s="269"/>
    </row>
    <row r="396" spans="1:18" s="285" customFormat="1" ht="39.6" customHeight="1" x14ac:dyDescent="0.25">
      <c r="A396" s="276"/>
      <c r="B396" s="276"/>
      <c r="C396" s="276"/>
      <c r="D396" s="277"/>
      <c r="E396" s="278"/>
      <c r="F396" s="279"/>
      <c r="G396" s="280"/>
      <c r="H396" s="281"/>
      <c r="I396" s="282"/>
      <c r="J396" s="281"/>
      <c r="K396" s="283"/>
      <c r="L396" s="284"/>
      <c r="M396" s="287"/>
      <c r="O396" s="286"/>
      <c r="P396" s="269"/>
      <c r="Q396" s="269"/>
      <c r="R396" s="269"/>
    </row>
    <row r="397" spans="1:18" s="285" customFormat="1" ht="39.6" customHeight="1" x14ac:dyDescent="0.25">
      <c r="A397" s="276"/>
      <c r="B397" s="276"/>
      <c r="C397" s="276"/>
      <c r="D397" s="277"/>
      <c r="E397" s="278"/>
      <c r="F397" s="279"/>
      <c r="G397" s="280"/>
      <c r="H397" s="281"/>
      <c r="I397" s="282"/>
      <c r="J397" s="281"/>
      <c r="K397" s="283"/>
      <c r="L397" s="284"/>
      <c r="M397" s="287"/>
      <c r="O397" s="286"/>
      <c r="P397" s="269"/>
      <c r="Q397" s="269"/>
      <c r="R397" s="269"/>
    </row>
    <row r="398" spans="1:18" s="285" customFormat="1" ht="39.6" customHeight="1" x14ac:dyDescent="0.25">
      <c r="A398" s="276"/>
      <c r="B398" s="276"/>
      <c r="C398" s="276"/>
      <c r="D398" s="277"/>
      <c r="E398" s="278"/>
      <c r="F398" s="279"/>
      <c r="G398" s="280"/>
      <c r="H398" s="281"/>
      <c r="I398" s="282"/>
      <c r="J398" s="281"/>
      <c r="K398" s="283"/>
      <c r="L398" s="284"/>
      <c r="M398" s="287"/>
      <c r="O398" s="286"/>
      <c r="P398" s="269"/>
      <c r="Q398" s="269"/>
      <c r="R398" s="269"/>
    </row>
    <row r="399" spans="1:18" s="285" customFormat="1" ht="39.6" customHeight="1" x14ac:dyDescent="0.25">
      <c r="A399" s="276"/>
      <c r="B399" s="276"/>
      <c r="C399" s="276"/>
      <c r="D399" s="277"/>
      <c r="E399" s="278"/>
      <c r="F399" s="279"/>
      <c r="G399" s="280"/>
      <c r="H399" s="281"/>
      <c r="I399" s="282"/>
      <c r="J399" s="281"/>
      <c r="K399" s="283"/>
      <c r="L399" s="284"/>
      <c r="M399" s="287"/>
      <c r="O399" s="286"/>
      <c r="P399" s="269"/>
      <c r="Q399" s="269"/>
      <c r="R399" s="269"/>
    </row>
    <row r="400" spans="1:18" s="285" customFormat="1" ht="39.6" customHeight="1" x14ac:dyDescent="0.25">
      <c r="A400" s="276"/>
      <c r="B400" s="276"/>
      <c r="C400" s="276"/>
      <c r="D400" s="277"/>
      <c r="E400" s="278"/>
      <c r="F400" s="279"/>
      <c r="G400" s="280"/>
      <c r="H400" s="281"/>
      <c r="I400" s="282"/>
      <c r="J400" s="281"/>
      <c r="K400" s="283"/>
      <c r="L400" s="284"/>
      <c r="M400" s="287"/>
      <c r="O400" s="286"/>
      <c r="P400" s="269"/>
      <c r="Q400" s="269"/>
      <c r="R400" s="269"/>
    </row>
    <row r="401" spans="1:18" s="285" customFormat="1" ht="39.6" customHeight="1" x14ac:dyDescent="0.25">
      <c r="A401" s="276"/>
      <c r="B401" s="276"/>
      <c r="C401" s="276"/>
      <c r="D401" s="277"/>
      <c r="E401" s="278"/>
      <c r="F401" s="279"/>
      <c r="G401" s="280"/>
      <c r="H401" s="281"/>
      <c r="I401" s="282"/>
      <c r="J401" s="281"/>
      <c r="K401" s="283"/>
      <c r="L401" s="284"/>
      <c r="M401" s="287"/>
      <c r="O401" s="286"/>
      <c r="P401" s="269"/>
      <c r="Q401" s="269"/>
      <c r="R401" s="269"/>
    </row>
    <row r="402" spans="1:18" s="285" customFormat="1" ht="39.6" customHeight="1" x14ac:dyDescent="0.25">
      <c r="A402" s="276"/>
      <c r="B402" s="276"/>
      <c r="C402" s="276"/>
      <c r="D402" s="277"/>
      <c r="E402" s="278"/>
      <c r="F402" s="279"/>
      <c r="G402" s="280"/>
      <c r="H402" s="281"/>
      <c r="I402" s="282"/>
      <c r="J402" s="281"/>
      <c r="K402" s="283"/>
      <c r="L402" s="284"/>
      <c r="M402" s="287"/>
      <c r="O402" s="286"/>
      <c r="P402" s="269"/>
      <c r="Q402" s="269"/>
      <c r="R402" s="269"/>
    </row>
    <row r="403" spans="1:18" s="285" customFormat="1" ht="39.6" customHeight="1" x14ac:dyDescent="0.25">
      <c r="A403" s="276"/>
      <c r="B403" s="276"/>
      <c r="C403" s="276"/>
      <c r="D403" s="277"/>
      <c r="E403" s="278"/>
      <c r="F403" s="279"/>
      <c r="G403" s="280"/>
      <c r="H403" s="281"/>
      <c r="I403" s="282"/>
      <c r="J403" s="281"/>
      <c r="K403" s="283"/>
      <c r="L403" s="284"/>
      <c r="M403" s="287"/>
      <c r="O403" s="286"/>
      <c r="P403" s="269"/>
      <c r="Q403" s="269"/>
      <c r="R403" s="269"/>
    </row>
    <row r="404" spans="1:18" s="285" customFormat="1" ht="39.6" customHeight="1" x14ac:dyDescent="0.25">
      <c r="A404" s="276"/>
      <c r="B404" s="276"/>
      <c r="C404" s="276"/>
      <c r="D404" s="277"/>
      <c r="E404" s="278"/>
      <c r="F404" s="279"/>
      <c r="G404" s="280"/>
      <c r="H404" s="281"/>
      <c r="I404" s="282"/>
      <c r="J404" s="281"/>
      <c r="K404" s="283"/>
      <c r="L404" s="284"/>
      <c r="M404" s="287"/>
      <c r="O404" s="286"/>
      <c r="P404" s="269"/>
      <c r="Q404" s="269"/>
      <c r="R404" s="269"/>
    </row>
    <row r="405" spans="1:18" s="285" customFormat="1" ht="39.6" customHeight="1" x14ac:dyDescent="0.25">
      <c r="A405" s="276"/>
      <c r="B405" s="276"/>
      <c r="C405" s="276"/>
      <c r="D405" s="277"/>
      <c r="E405" s="278"/>
      <c r="F405" s="279"/>
      <c r="G405" s="280"/>
      <c r="H405" s="281"/>
      <c r="I405" s="282"/>
      <c r="J405" s="281"/>
      <c r="K405" s="283"/>
      <c r="L405" s="284"/>
      <c r="M405" s="287"/>
      <c r="O405" s="286"/>
      <c r="P405" s="269"/>
      <c r="Q405" s="269"/>
      <c r="R405" s="269"/>
    </row>
    <row r="406" spans="1:18" s="285" customFormat="1" ht="39.6" customHeight="1" x14ac:dyDescent="0.25">
      <c r="A406" s="276"/>
      <c r="B406" s="276"/>
      <c r="C406" s="276"/>
      <c r="D406" s="277"/>
      <c r="E406" s="278"/>
      <c r="F406" s="279"/>
      <c r="G406" s="280"/>
      <c r="H406" s="281"/>
      <c r="I406" s="282"/>
      <c r="J406" s="281"/>
      <c r="K406" s="283"/>
      <c r="L406" s="284"/>
      <c r="M406" s="287"/>
      <c r="O406" s="286"/>
      <c r="P406" s="269"/>
      <c r="Q406" s="269"/>
      <c r="R406" s="269"/>
    </row>
    <row r="407" spans="1:18" s="285" customFormat="1" ht="39.6" customHeight="1" x14ac:dyDescent="0.25">
      <c r="A407" s="276"/>
      <c r="B407" s="276"/>
      <c r="C407" s="276"/>
      <c r="D407" s="277"/>
      <c r="E407" s="278"/>
      <c r="F407" s="279"/>
      <c r="G407" s="280"/>
      <c r="H407" s="281"/>
      <c r="I407" s="282"/>
      <c r="J407" s="281"/>
      <c r="K407" s="283"/>
      <c r="L407" s="284"/>
      <c r="M407" s="287"/>
      <c r="O407" s="286"/>
      <c r="P407" s="269"/>
      <c r="Q407" s="269"/>
      <c r="R407" s="269"/>
    </row>
    <row r="408" spans="1:18" s="285" customFormat="1" ht="39.6" customHeight="1" x14ac:dyDescent="0.25">
      <c r="A408" s="276"/>
      <c r="B408" s="276"/>
      <c r="C408" s="276"/>
      <c r="D408" s="277"/>
      <c r="E408" s="278"/>
      <c r="F408" s="279"/>
      <c r="G408" s="280"/>
      <c r="H408" s="281"/>
      <c r="I408" s="282"/>
      <c r="J408" s="281"/>
      <c r="K408" s="283"/>
      <c r="L408" s="284"/>
      <c r="M408" s="287"/>
      <c r="O408" s="286"/>
      <c r="P408" s="269"/>
      <c r="Q408" s="269"/>
      <c r="R408" s="269"/>
    </row>
    <row r="409" spans="1:18" s="285" customFormat="1" ht="39.6" customHeight="1" x14ac:dyDescent="0.25">
      <c r="A409" s="276"/>
      <c r="B409" s="276"/>
      <c r="C409" s="276"/>
      <c r="D409" s="277"/>
      <c r="E409" s="278"/>
      <c r="F409" s="279"/>
      <c r="G409" s="280"/>
      <c r="H409" s="281"/>
      <c r="I409" s="282"/>
      <c r="J409" s="281"/>
      <c r="K409" s="283"/>
      <c r="L409" s="284"/>
      <c r="M409" s="287"/>
      <c r="O409" s="286"/>
      <c r="P409" s="269"/>
      <c r="Q409" s="269"/>
      <c r="R409" s="269"/>
    </row>
    <row r="410" spans="1:18" s="285" customFormat="1" ht="39.6" customHeight="1" x14ac:dyDescent="0.25">
      <c r="A410" s="276"/>
      <c r="B410" s="276"/>
      <c r="C410" s="276"/>
      <c r="D410" s="277"/>
      <c r="E410" s="278"/>
      <c r="F410" s="279"/>
      <c r="G410" s="280"/>
      <c r="H410" s="281"/>
      <c r="I410" s="282"/>
      <c r="J410" s="281"/>
      <c r="K410" s="283"/>
      <c r="L410" s="284"/>
      <c r="M410" s="287"/>
      <c r="O410" s="286"/>
      <c r="P410" s="269"/>
      <c r="Q410" s="269"/>
      <c r="R410" s="269"/>
    </row>
    <row r="411" spans="1:18" s="285" customFormat="1" ht="39.6" customHeight="1" x14ac:dyDescent="0.25">
      <c r="A411" s="276"/>
      <c r="B411" s="276"/>
      <c r="C411" s="276"/>
      <c r="D411" s="277"/>
      <c r="E411" s="278"/>
      <c r="F411" s="279"/>
      <c r="G411" s="280"/>
      <c r="H411" s="281"/>
      <c r="I411" s="282"/>
      <c r="J411" s="281"/>
      <c r="K411" s="283"/>
      <c r="L411" s="284"/>
      <c r="M411" s="287"/>
      <c r="O411" s="286"/>
      <c r="P411" s="269"/>
      <c r="Q411" s="269"/>
      <c r="R411" s="269"/>
    </row>
    <row r="412" spans="1:18" s="285" customFormat="1" ht="39.6" customHeight="1" x14ac:dyDescent="0.25">
      <c r="A412" s="276"/>
      <c r="B412" s="276"/>
      <c r="C412" s="276"/>
      <c r="D412" s="277"/>
      <c r="E412" s="278"/>
      <c r="F412" s="279"/>
      <c r="G412" s="280"/>
      <c r="H412" s="281"/>
      <c r="I412" s="282"/>
      <c r="J412" s="281"/>
      <c r="K412" s="283"/>
      <c r="L412" s="284"/>
      <c r="M412" s="287"/>
      <c r="O412" s="286"/>
      <c r="P412" s="269"/>
      <c r="Q412" s="269"/>
      <c r="R412" s="269"/>
    </row>
    <row r="413" spans="1:18" s="285" customFormat="1" ht="39.6" customHeight="1" x14ac:dyDescent="0.25">
      <c r="A413" s="276"/>
      <c r="B413" s="276"/>
      <c r="C413" s="276"/>
      <c r="D413" s="277"/>
      <c r="E413" s="278"/>
      <c r="F413" s="279"/>
      <c r="G413" s="280"/>
      <c r="H413" s="281"/>
      <c r="I413" s="282"/>
      <c r="J413" s="281"/>
      <c r="K413" s="283"/>
      <c r="L413" s="284"/>
      <c r="M413" s="287"/>
      <c r="O413" s="286"/>
      <c r="P413" s="269"/>
      <c r="Q413" s="269"/>
      <c r="R413" s="269"/>
    </row>
    <row r="414" spans="1:18" s="285" customFormat="1" ht="39.6" customHeight="1" x14ac:dyDescent="0.25">
      <c r="A414" s="276"/>
      <c r="B414" s="276"/>
      <c r="C414" s="276"/>
      <c r="D414" s="277"/>
      <c r="E414" s="278"/>
      <c r="F414" s="279"/>
      <c r="G414" s="280"/>
      <c r="H414" s="281"/>
      <c r="I414" s="282"/>
      <c r="J414" s="281"/>
      <c r="K414" s="283"/>
      <c r="L414" s="284"/>
      <c r="M414" s="287"/>
      <c r="O414" s="286"/>
      <c r="P414" s="269"/>
      <c r="Q414" s="269"/>
      <c r="R414" s="269"/>
    </row>
    <row r="415" spans="1:18" s="285" customFormat="1" ht="39.6" customHeight="1" x14ac:dyDescent="0.25">
      <c r="A415" s="276"/>
      <c r="B415" s="276"/>
      <c r="C415" s="276"/>
      <c r="D415" s="277"/>
      <c r="E415" s="278"/>
      <c r="F415" s="279"/>
      <c r="G415" s="280"/>
      <c r="H415" s="281"/>
      <c r="I415" s="282"/>
      <c r="J415" s="281"/>
      <c r="K415" s="283"/>
      <c r="L415" s="284"/>
      <c r="M415" s="287"/>
      <c r="O415" s="286"/>
      <c r="P415" s="269"/>
      <c r="Q415" s="269"/>
      <c r="R415" s="269"/>
    </row>
    <row r="416" spans="1:18" s="285" customFormat="1" ht="39.6" customHeight="1" x14ac:dyDescent="0.25">
      <c r="A416" s="276"/>
      <c r="B416" s="276"/>
      <c r="C416" s="276"/>
      <c r="D416" s="277"/>
      <c r="E416" s="278"/>
      <c r="F416" s="279"/>
      <c r="G416" s="280"/>
      <c r="H416" s="281"/>
      <c r="I416" s="282"/>
      <c r="J416" s="281"/>
      <c r="K416" s="283"/>
      <c r="L416" s="284"/>
      <c r="M416" s="287"/>
      <c r="O416" s="286"/>
      <c r="P416" s="269"/>
      <c r="Q416" s="269"/>
      <c r="R416" s="269"/>
    </row>
    <row r="417" spans="1:18" s="285" customFormat="1" ht="39.6" customHeight="1" x14ac:dyDescent="0.25">
      <c r="A417" s="276"/>
      <c r="B417" s="276"/>
      <c r="C417" s="276"/>
      <c r="D417" s="277"/>
      <c r="E417" s="278"/>
      <c r="F417" s="279"/>
      <c r="G417" s="280"/>
      <c r="H417" s="281"/>
      <c r="I417" s="282"/>
      <c r="J417" s="281"/>
      <c r="K417" s="283"/>
      <c r="L417" s="284"/>
      <c r="M417" s="287"/>
      <c r="O417" s="286"/>
      <c r="P417" s="269"/>
      <c r="Q417" s="269"/>
      <c r="R417" s="269"/>
    </row>
    <row r="418" spans="1:18" s="285" customFormat="1" ht="39.6" customHeight="1" x14ac:dyDescent="0.25">
      <c r="A418" s="276"/>
      <c r="B418" s="276"/>
      <c r="C418" s="276"/>
      <c r="D418" s="277"/>
      <c r="E418" s="278"/>
      <c r="F418" s="279"/>
      <c r="G418" s="280"/>
      <c r="H418" s="281"/>
      <c r="I418" s="282"/>
      <c r="J418" s="281"/>
      <c r="K418" s="283"/>
      <c r="L418" s="284"/>
      <c r="M418" s="287"/>
      <c r="O418" s="286"/>
      <c r="P418" s="269"/>
      <c r="Q418" s="269"/>
      <c r="R418" s="269"/>
    </row>
    <row r="419" spans="1:18" s="285" customFormat="1" ht="39.6" customHeight="1" x14ac:dyDescent="0.25">
      <c r="A419" s="276"/>
      <c r="B419" s="276"/>
      <c r="C419" s="276"/>
      <c r="D419" s="277"/>
      <c r="E419" s="278"/>
      <c r="F419" s="279"/>
      <c r="G419" s="280"/>
      <c r="H419" s="281"/>
      <c r="I419" s="282"/>
      <c r="J419" s="281"/>
      <c r="K419" s="283"/>
      <c r="L419" s="284"/>
      <c r="M419" s="287"/>
      <c r="O419" s="286"/>
      <c r="P419" s="269"/>
      <c r="Q419" s="269"/>
      <c r="R419" s="269"/>
    </row>
    <row r="420" spans="1:18" s="285" customFormat="1" ht="39.6" customHeight="1" x14ac:dyDescent="0.25">
      <c r="A420" s="276"/>
      <c r="B420" s="276"/>
      <c r="C420" s="276"/>
      <c r="D420" s="277"/>
      <c r="E420" s="278"/>
      <c r="F420" s="279"/>
      <c r="G420" s="280"/>
      <c r="H420" s="281"/>
      <c r="I420" s="282"/>
      <c r="J420" s="281"/>
      <c r="K420" s="283"/>
      <c r="L420" s="284"/>
      <c r="M420" s="287"/>
      <c r="O420" s="286"/>
      <c r="P420" s="269"/>
      <c r="Q420" s="269"/>
      <c r="R420" s="269"/>
    </row>
    <row r="421" spans="1:18" s="285" customFormat="1" ht="39.6" customHeight="1" x14ac:dyDescent="0.25">
      <c r="A421" s="276"/>
      <c r="B421" s="276"/>
      <c r="C421" s="276"/>
      <c r="D421" s="277"/>
      <c r="E421" s="278"/>
      <c r="F421" s="279"/>
      <c r="G421" s="280"/>
      <c r="H421" s="281"/>
      <c r="I421" s="282"/>
      <c r="J421" s="281"/>
      <c r="K421" s="283"/>
      <c r="L421" s="284"/>
      <c r="M421" s="287"/>
      <c r="O421" s="286"/>
      <c r="P421" s="269"/>
      <c r="Q421" s="269"/>
      <c r="R421" s="269"/>
    </row>
    <row r="422" spans="1:18" s="285" customFormat="1" ht="39.6" customHeight="1" x14ac:dyDescent="0.25">
      <c r="A422" s="276"/>
      <c r="B422" s="276"/>
      <c r="C422" s="276"/>
      <c r="D422" s="277"/>
      <c r="E422" s="278"/>
      <c r="F422" s="279"/>
      <c r="G422" s="280"/>
      <c r="H422" s="281"/>
      <c r="I422" s="282"/>
      <c r="J422" s="281"/>
      <c r="K422" s="283"/>
      <c r="L422" s="284"/>
      <c r="M422" s="287"/>
      <c r="O422" s="286"/>
      <c r="P422" s="269"/>
      <c r="Q422" s="269"/>
      <c r="R422" s="269"/>
    </row>
    <row r="423" spans="1:18" s="285" customFormat="1" ht="39.6" customHeight="1" x14ac:dyDescent="0.25">
      <c r="A423" s="276"/>
      <c r="B423" s="276"/>
      <c r="C423" s="276"/>
      <c r="D423" s="277"/>
      <c r="E423" s="278"/>
      <c r="F423" s="279"/>
      <c r="G423" s="280"/>
      <c r="H423" s="281"/>
      <c r="I423" s="282"/>
      <c r="J423" s="281"/>
      <c r="K423" s="283"/>
      <c r="L423" s="284"/>
      <c r="M423" s="287"/>
      <c r="O423" s="286"/>
      <c r="P423" s="269"/>
      <c r="Q423" s="269"/>
      <c r="R423" s="269"/>
    </row>
    <row r="424" spans="1:18" s="285" customFormat="1" ht="39.6" customHeight="1" x14ac:dyDescent="0.25">
      <c r="A424" s="276"/>
      <c r="B424" s="276"/>
      <c r="C424" s="276"/>
      <c r="D424" s="277"/>
      <c r="E424" s="278"/>
      <c r="F424" s="279"/>
      <c r="G424" s="280"/>
      <c r="H424" s="281"/>
      <c r="I424" s="282"/>
      <c r="J424" s="281"/>
      <c r="K424" s="283"/>
      <c r="L424" s="284"/>
      <c r="M424" s="287"/>
      <c r="O424" s="286"/>
      <c r="P424" s="269"/>
      <c r="Q424" s="269"/>
      <c r="R424" s="269"/>
    </row>
    <row r="425" spans="1:18" s="285" customFormat="1" ht="39.6" customHeight="1" x14ac:dyDescent="0.25">
      <c r="A425" s="276"/>
      <c r="B425" s="276"/>
      <c r="C425" s="276"/>
      <c r="D425" s="277"/>
      <c r="E425" s="278"/>
      <c r="F425" s="279"/>
      <c r="G425" s="280"/>
      <c r="H425" s="281"/>
      <c r="I425" s="282"/>
      <c r="J425" s="281"/>
      <c r="K425" s="283"/>
      <c r="L425" s="284"/>
      <c r="M425" s="287"/>
      <c r="O425" s="286"/>
      <c r="P425" s="269"/>
      <c r="Q425" s="269"/>
      <c r="R425" s="269"/>
    </row>
    <row r="426" spans="1:18" s="285" customFormat="1" ht="39.6" customHeight="1" x14ac:dyDescent="0.25">
      <c r="A426" s="276"/>
      <c r="B426" s="276"/>
      <c r="C426" s="276"/>
      <c r="D426" s="277"/>
      <c r="E426" s="278"/>
      <c r="F426" s="279"/>
      <c r="G426" s="280"/>
      <c r="H426" s="281"/>
      <c r="I426" s="282"/>
      <c r="J426" s="281"/>
      <c r="K426" s="283"/>
      <c r="L426" s="284"/>
      <c r="M426" s="287"/>
      <c r="O426" s="286"/>
      <c r="P426" s="269"/>
      <c r="Q426" s="269"/>
      <c r="R426" s="269"/>
    </row>
    <row r="427" spans="1:18" s="285" customFormat="1" ht="39.6" customHeight="1" x14ac:dyDescent="0.25">
      <c r="A427" s="276"/>
      <c r="B427" s="276"/>
      <c r="C427" s="276"/>
      <c r="D427" s="277"/>
      <c r="E427" s="278"/>
      <c r="F427" s="279"/>
      <c r="G427" s="280"/>
      <c r="H427" s="281"/>
      <c r="I427" s="282"/>
      <c r="J427" s="281"/>
      <c r="K427" s="283"/>
      <c r="L427" s="284"/>
      <c r="M427" s="287"/>
      <c r="O427" s="286"/>
      <c r="P427" s="269"/>
      <c r="Q427" s="269"/>
      <c r="R427" s="269"/>
    </row>
    <row r="428" spans="1:18" s="285" customFormat="1" ht="39.6" customHeight="1" x14ac:dyDescent="0.25">
      <c r="A428" s="276"/>
      <c r="B428" s="276"/>
      <c r="C428" s="276"/>
      <c r="D428" s="277"/>
      <c r="E428" s="278"/>
      <c r="F428" s="279"/>
      <c r="G428" s="280"/>
      <c r="H428" s="281"/>
      <c r="I428" s="282"/>
      <c r="J428" s="281"/>
      <c r="K428" s="283"/>
      <c r="L428" s="284"/>
      <c r="M428" s="287"/>
      <c r="O428" s="286"/>
      <c r="P428" s="269"/>
      <c r="Q428" s="269"/>
      <c r="R428" s="269"/>
    </row>
    <row r="429" spans="1:18" s="285" customFormat="1" ht="39.6" customHeight="1" x14ac:dyDescent="0.25">
      <c r="A429" s="276"/>
      <c r="B429" s="276"/>
      <c r="C429" s="276"/>
      <c r="D429" s="277"/>
      <c r="E429" s="278"/>
      <c r="F429" s="279"/>
      <c r="G429" s="280"/>
      <c r="H429" s="281"/>
      <c r="I429" s="282"/>
      <c r="J429" s="281"/>
      <c r="K429" s="283"/>
      <c r="L429" s="284"/>
      <c r="M429" s="287"/>
      <c r="O429" s="286"/>
      <c r="P429" s="269"/>
      <c r="Q429" s="269"/>
      <c r="R429" s="269"/>
    </row>
    <row r="430" spans="1:18" s="285" customFormat="1" ht="39.6" customHeight="1" x14ac:dyDescent="0.25">
      <c r="A430" s="276"/>
      <c r="B430" s="276"/>
      <c r="C430" s="276"/>
      <c r="D430" s="277"/>
      <c r="E430" s="278"/>
      <c r="F430" s="279"/>
      <c r="G430" s="280"/>
      <c r="H430" s="281"/>
      <c r="I430" s="282"/>
      <c r="J430" s="281"/>
      <c r="K430" s="283"/>
      <c r="L430" s="284"/>
      <c r="M430" s="287"/>
      <c r="O430" s="286"/>
      <c r="P430" s="269"/>
      <c r="Q430" s="269"/>
      <c r="R430" s="269"/>
    </row>
    <row r="431" spans="1:18" s="285" customFormat="1" ht="39.6" customHeight="1" x14ac:dyDescent="0.25">
      <c r="A431" s="276"/>
      <c r="B431" s="276"/>
      <c r="C431" s="276"/>
      <c r="D431" s="277"/>
      <c r="E431" s="278"/>
      <c r="F431" s="279"/>
      <c r="G431" s="280"/>
      <c r="H431" s="281"/>
      <c r="I431" s="282"/>
      <c r="J431" s="281"/>
      <c r="K431" s="283"/>
      <c r="L431" s="284"/>
      <c r="M431" s="287"/>
      <c r="O431" s="286"/>
      <c r="P431" s="269"/>
      <c r="Q431" s="269"/>
      <c r="R431" s="269"/>
    </row>
    <row r="432" spans="1:18" s="285" customFormat="1" ht="39.6" customHeight="1" x14ac:dyDescent="0.25">
      <c r="A432" s="276"/>
      <c r="B432" s="276"/>
      <c r="C432" s="276"/>
      <c r="D432" s="277"/>
      <c r="E432" s="278"/>
      <c r="F432" s="279"/>
      <c r="G432" s="280"/>
      <c r="H432" s="281"/>
      <c r="I432" s="282"/>
      <c r="J432" s="281"/>
      <c r="K432" s="283"/>
      <c r="L432" s="284"/>
      <c r="M432" s="287"/>
      <c r="O432" s="286"/>
      <c r="P432" s="269"/>
      <c r="Q432" s="269"/>
      <c r="R432" s="269"/>
    </row>
    <row r="433" spans="1:18" s="285" customFormat="1" ht="39.6" customHeight="1" x14ac:dyDescent="0.25">
      <c r="A433" s="276"/>
      <c r="B433" s="276"/>
      <c r="C433" s="276"/>
      <c r="D433" s="277"/>
      <c r="E433" s="278"/>
      <c r="F433" s="279"/>
      <c r="G433" s="280"/>
      <c r="H433" s="281"/>
      <c r="I433" s="282"/>
      <c r="J433" s="281"/>
      <c r="K433" s="283"/>
      <c r="L433" s="284"/>
      <c r="M433" s="287"/>
      <c r="O433" s="286"/>
      <c r="P433" s="269"/>
      <c r="Q433" s="269"/>
      <c r="R433" s="269"/>
    </row>
    <row r="434" spans="1:18" s="285" customFormat="1" ht="39.6" customHeight="1" x14ac:dyDescent="0.25">
      <c r="A434" s="276"/>
      <c r="B434" s="276"/>
      <c r="C434" s="276"/>
      <c r="D434" s="277"/>
      <c r="E434" s="278"/>
      <c r="F434" s="279"/>
      <c r="G434" s="280"/>
      <c r="H434" s="281"/>
      <c r="I434" s="282"/>
      <c r="J434" s="281"/>
      <c r="K434" s="283"/>
      <c r="L434" s="284"/>
      <c r="M434" s="287"/>
      <c r="O434" s="286"/>
      <c r="P434" s="269"/>
      <c r="Q434" s="269"/>
      <c r="R434" s="269"/>
    </row>
    <row r="435" spans="1:18" s="285" customFormat="1" ht="39.6" customHeight="1" x14ac:dyDescent="0.25">
      <c r="A435" s="276"/>
      <c r="B435" s="276"/>
      <c r="C435" s="276"/>
      <c r="D435" s="277"/>
      <c r="E435" s="278"/>
      <c r="F435" s="279"/>
      <c r="G435" s="280"/>
      <c r="H435" s="281"/>
      <c r="I435" s="282"/>
      <c r="J435" s="281"/>
      <c r="K435" s="283"/>
      <c r="L435" s="284"/>
      <c r="M435" s="287"/>
      <c r="O435" s="286"/>
      <c r="P435" s="269"/>
      <c r="Q435" s="269"/>
      <c r="R435" s="269"/>
    </row>
    <row r="436" spans="1:18" s="285" customFormat="1" ht="39.6" customHeight="1" x14ac:dyDescent="0.25">
      <c r="A436" s="276"/>
      <c r="B436" s="276"/>
      <c r="C436" s="276"/>
      <c r="D436" s="277"/>
      <c r="E436" s="278"/>
      <c r="F436" s="279"/>
      <c r="G436" s="280"/>
      <c r="H436" s="281"/>
      <c r="I436" s="282"/>
      <c r="J436" s="281"/>
      <c r="K436" s="283"/>
      <c r="L436" s="284"/>
      <c r="M436" s="287"/>
      <c r="O436" s="286"/>
      <c r="P436" s="269"/>
      <c r="Q436" s="269"/>
      <c r="R436" s="269"/>
    </row>
    <row r="437" spans="1:18" s="285" customFormat="1" ht="39.6" customHeight="1" x14ac:dyDescent="0.25">
      <c r="A437" s="276"/>
      <c r="B437" s="276"/>
      <c r="C437" s="276"/>
      <c r="D437" s="277"/>
      <c r="E437" s="278"/>
      <c r="F437" s="279"/>
      <c r="G437" s="280"/>
      <c r="H437" s="281"/>
      <c r="I437" s="282"/>
      <c r="J437" s="281"/>
      <c r="K437" s="283"/>
      <c r="L437" s="284"/>
      <c r="M437" s="287"/>
      <c r="O437" s="286"/>
      <c r="P437" s="269"/>
      <c r="Q437" s="269"/>
      <c r="R437" s="269"/>
    </row>
    <row r="438" spans="1:18" s="285" customFormat="1" ht="39.6" customHeight="1" x14ac:dyDescent="0.25">
      <c r="A438" s="276"/>
      <c r="B438" s="276"/>
      <c r="C438" s="276"/>
      <c r="D438" s="277"/>
      <c r="E438" s="278"/>
      <c r="F438" s="279"/>
      <c r="G438" s="280"/>
      <c r="H438" s="281"/>
      <c r="I438" s="282"/>
      <c r="J438" s="281"/>
      <c r="K438" s="283"/>
      <c r="L438" s="284"/>
      <c r="M438" s="287"/>
      <c r="O438" s="286"/>
      <c r="P438" s="269"/>
      <c r="Q438" s="269"/>
      <c r="R438" s="269"/>
    </row>
    <row r="439" spans="1:18" s="285" customFormat="1" ht="39.6" customHeight="1" x14ac:dyDescent="0.25">
      <c r="A439" s="276"/>
      <c r="B439" s="276"/>
      <c r="C439" s="276"/>
      <c r="D439" s="277"/>
      <c r="E439" s="278"/>
      <c r="F439" s="279"/>
      <c r="G439" s="280"/>
      <c r="H439" s="281"/>
      <c r="I439" s="282"/>
      <c r="J439" s="281"/>
      <c r="K439" s="283"/>
      <c r="L439" s="284"/>
      <c r="M439" s="287"/>
      <c r="O439" s="286"/>
      <c r="P439" s="269"/>
      <c r="Q439" s="269"/>
      <c r="R439" s="269"/>
    </row>
    <row r="440" spans="1:18" s="285" customFormat="1" ht="39.6" customHeight="1" x14ac:dyDescent="0.25">
      <c r="A440" s="276"/>
      <c r="B440" s="276"/>
      <c r="C440" s="276"/>
      <c r="D440" s="277"/>
      <c r="E440" s="278"/>
      <c r="F440" s="279"/>
      <c r="G440" s="280"/>
      <c r="H440" s="281"/>
      <c r="I440" s="282"/>
      <c r="J440" s="281"/>
      <c r="K440" s="283"/>
      <c r="L440" s="284"/>
      <c r="M440" s="287"/>
      <c r="O440" s="286"/>
      <c r="P440" s="269"/>
      <c r="Q440" s="269"/>
      <c r="R440" s="269"/>
    </row>
    <row r="441" spans="1:18" s="285" customFormat="1" ht="39.6" customHeight="1" x14ac:dyDescent="0.25">
      <c r="A441" s="276"/>
      <c r="B441" s="276"/>
      <c r="C441" s="276"/>
      <c r="D441" s="277"/>
      <c r="E441" s="278"/>
      <c r="F441" s="279"/>
      <c r="G441" s="280"/>
      <c r="H441" s="281"/>
      <c r="I441" s="282"/>
      <c r="J441" s="281"/>
      <c r="K441" s="283"/>
      <c r="L441" s="284"/>
      <c r="M441" s="287"/>
      <c r="O441" s="286"/>
      <c r="P441" s="269"/>
      <c r="Q441" s="269"/>
      <c r="R441" s="269"/>
    </row>
    <row r="442" spans="1:18" s="285" customFormat="1" ht="39.6" customHeight="1" x14ac:dyDescent="0.25">
      <c r="A442" s="276"/>
      <c r="B442" s="276"/>
      <c r="C442" s="276"/>
      <c r="D442" s="277"/>
      <c r="E442" s="278"/>
      <c r="F442" s="279"/>
      <c r="G442" s="280"/>
      <c r="H442" s="281"/>
      <c r="I442" s="282"/>
      <c r="J442" s="281"/>
      <c r="K442" s="283"/>
      <c r="L442" s="284"/>
      <c r="M442" s="287"/>
      <c r="O442" s="286"/>
      <c r="P442" s="269"/>
      <c r="Q442" s="269"/>
      <c r="R442" s="269"/>
    </row>
    <row r="443" spans="1:18" s="285" customFormat="1" ht="39.6" customHeight="1" x14ac:dyDescent="0.25">
      <c r="A443" s="276"/>
      <c r="B443" s="276"/>
      <c r="C443" s="276"/>
      <c r="D443" s="277"/>
      <c r="E443" s="278"/>
      <c r="F443" s="279"/>
      <c r="G443" s="280"/>
      <c r="H443" s="281"/>
      <c r="I443" s="282"/>
      <c r="J443" s="281"/>
      <c r="K443" s="283"/>
      <c r="L443" s="284"/>
      <c r="M443" s="287"/>
      <c r="O443" s="286"/>
      <c r="P443" s="269"/>
      <c r="Q443" s="269"/>
      <c r="R443" s="269"/>
    </row>
    <row r="444" spans="1:18" s="285" customFormat="1" ht="39.6" customHeight="1" x14ac:dyDescent="0.25">
      <c r="A444" s="276"/>
      <c r="B444" s="276"/>
      <c r="C444" s="276"/>
      <c r="D444" s="277"/>
      <c r="E444" s="278"/>
      <c r="F444" s="279"/>
      <c r="G444" s="280"/>
      <c r="H444" s="281"/>
      <c r="I444" s="282"/>
      <c r="J444" s="281"/>
      <c r="K444" s="283"/>
      <c r="L444" s="284"/>
      <c r="M444" s="287"/>
      <c r="O444" s="286"/>
      <c r="P444" s="269"/>
      <c r="Q444" s="269"/>
      <c r="R444" s="269"/>
    </row>
    <row r="445" spans="1:18" s="285" customFormat="1" ht="39.6" customHeight="1" x14ac:dyDescent="0.25">
      <c r="A445" s="276"/>
      <c r="B445" s="276"/>
      <c r="C445" s="276"/>
      <c r="D445" s="277"/>
      <c r="E445" s="278"/>
      <c r="F445" s="279"/>
      <c r="G445" s="280"/>
      <c r="H445" s="281"/>
      <c r="I445" s="282"/>
      <c r="J445" s="281"/>
      <c r="K445" s="283"/>
      <c r="L445" s="284"/>
      <c r="M445" s="287"/>
      <c r="O445" s="286"/>
      <c r="P445" s="269"/>
      <c r="Q445" s="269"/>
      <c r="R445" s="269"/>
    </row>
    <row r="446" spans="1:18" s="285" customFormat="1" ht="39.6" customHeight="1" x14ac:dyDescent="0.25">
      <c r="A446" s="276"/>
      <c r="B446" s="276"/>
      <c r="C446" s="276"/>
      <c r="D446" s="277"/>
      <c r="E446" s="278"/>
      <c r="F446" s="279"/>
      <c r="G446" s="280"/>
      <c r="H446" s="281"/>
      <c r="I446" s="282"/>
      <c r="J446" s="281"/>
      <c r="K446" s="283"/>
      <c r="L446" s="284"/>
      <c r="M446" s="287"/>
      <c r="O446" s="286"/>
      <c r="P446" s="269"/>
      <c r="Q446" s="269"/>
      <c r="R446" s="269"/>
    </row>
    <row r="447" spans="1:18" s="285" customFormat="1" ht="39.6" customHeight="1" x14ac:dyDescent="0.25">
      <c r="A447" s="276"/>
      <c r="B447" s="276"/>
      <c r="C447" s="276"/>
      <c r="D447" s="277"/>
      <c r="E447" s="278"/>
      <c r="F447" s="279"/>
      <c r="G447" s="280"/>
      <c r="H447" s="281"/>
      <c r="I447" s="282"/>
      <c r="J447" s="281"/>
      <c r="K447" s="283"/>
      <c r="L447" s="284"/>
      <c r="M447" s="287"/>
      <c r="O447" s="286"/>
      <c r="P447" s="269"/>
      <c r="Q447" s="269"/>
      <c r="R447" s="269"/>
    </row>
    <row r="448" spans="1:18" s="285" customFormat="1" ht="39.6" customHeight="1" x14ac:dyDescent="0.25">
      <c r="A448" s="276"/>
      <c r="B448" s="276"/>
      <c r="C448" s="276"/>
      <c r="D448" s="277"/>
      <c r="E448" s="278"/>
      <c r="F448" s="279"/>
      <c r="G448" s="280"/>
      <c r="H448" s="281"/>
      <c r="I448" s="282"/>
      <c r="J448" s="281"/>
      <c r="K448" s="283"/>
      <c r="L448" s="284"/>
      <c r="M448" s="287"/>
      <c r="O448" s="286"/>
      <c r="P448" s="269"/>
      <c r="Q448" s="269"/>
      <c r="R448" s="269"/>
    </row>
    <row r="449" spans="1:18" s="285" customFormat="1" ht="39.6" customHeight="1" x14ac:dyDescent="0.25">
      <c r="A449" s="276"/>
      <c r="B449" s="276"/>
      <c r="C449" s="276"/>
      <c r="D449" s="277"/>
      <c r="E449" s="278"/>
      <c r="F449" s="279"/>
      <c r="G449" s="280"/>
      <c r="H449" s="281"/>
      <c r="I449" s="282"/>
      <c r="J449" s="281"/>
      <c r="K449" s="283"/>
      <c r="L449" s="284"/>
      <c r="M449" s="287"/>
      <c r="O449" s="286"/>
      <c r="P449" s="269"/>
      <c r="Q449" s="269"/>
      <c r="R449" s="269"/>
    </row>
    <row r="450" spans="1:18" s="285" customFormat="1" ht="39.6" customHeight="1" x14ac:dyDescent="0.25">
      <c r="A450" s="276"/>
      <c r="B450" s="276"/>
      <c r="C450" s="276"/>
      <c r="D450" s="277"/>
      <c r="E450" s="278"/>
      <c r="F450" s="279"/>
      <c r="G450" s="280"/>
      <c r="H450" s="281"/>
      <c r="I450" s="282"/>
      <c r="J450" s="281"/>
      <c r="K450" s="283"/>
      <c r="L450" s="284"/>
      <c r="M450" s="287"/>
      <c r="O450" s="286"/>
      <c r="P450" s="269"/>
      <c r="Q450" s="269"/>
      <c r="R450" s="269"/>
    </row>
    <row r="451" spans="1:18" s="285" customFormat="1" ht="39.6" customHeight="1" x14ac:dyDescent="0.25">
      <c r="A451" s="276"/>
      <c r="B451" s="276"/>
      <c r="C451" s="276"/>
      <c r="D451" s="277"/>
      <c r="E451" s="278"/>
      <c r="F451" s="279"/>
      <c r="G451" s="280"/>
      <c r="H451" s="281"/>
      <c r="I451" s="282"/>
      <c r="J451" s="281"/>
      <c r="K451" s="283"/>
      <c r="L451" s="284"/>
      <c r="M451" s="287"/>
      <c r="O451" s="286"/>
      <c r="P451" s="269"/>
      <c r="Q451" s="269"/>
      <c r="R451" s="269"/>
    </row>
    <row r="452" spans="1:18" s="285" customFormat="1" ht="39.6" customHeight="1" x14ac:dyDescent="0.25">
      <c r="A452" s="276"/>
      <c r="B452" s="276"/>
      <c r="C452" s="276"/>
      <c r="D452" s="277"/>
      <c r="E452" s="278"/>
      <c r="F452" s="279"/>
      <c r="G452" s="280"/>
      <c r="H452" s="281"/>
      <c r="I452" s="282"/>
      <c r="J452" s="281"/>
      <c r="K452" s="283"/>
      <c r="L452" s="284"/>
      <c r="M452" s="287"/>
      <c r="O452" s="286"/>
      <c r="P452" s="269"/>
      <c r="Q452" s="269"/>
      <c r="R452" s="269"/>
    </row>
    <row r="453" spans="1:18" s="285" customFormat="1" ht="39.6" customHeight="1" x14ac:dyDescent="0.25">
      <c r="A453" s="276"/>
      <c r="B453" s="276"/>
      <c r="C453" s="276"/>
      <c r="D453" s="277"/>
      <c r="E453" s="278"/>
      <c r="F453" s="279"/>
      <c r="G453" s="280"/>
      <c r="H453" s="281"/>
      <c r="I453" s="282"/>
      <c r="J453" s="281"/>
      <c r="K453" s="283"/>
      <c r="L453" s="284"/>
      <c r="M453" s="287"/>
      <c r="O453" s="286"/>
      <c r="P453" s="269"/>
      <c r="Q453" s="269"/>
      <c r="R453" s="269"/>
    </row>
    <row r="454" spans="1:18" s="285" customFormat="1" ht="39.6" customHeight="1" x14ac:dyDescent="0.25">
      <c r="A454" s="276"/>
      <c r="B454" s="276"/>
      <c r="C454" s="276"/>
      <c r="D454" s="277"/>
      <c r="E454" s="278"/>
      <c r="F454" s="279"/>
      <c r="G454" s="280"/>
      <c r="H454" s="281"/>
      <c r="I454" s="282"/>
      <c r="J454" s="281"/>
      <c r="K454" s="283"/>
      <c r="L454" s="284"/>
      <c r="M454" s="287"/>
      <c r="O454" s="286"/>
      <c r="P454" s="269"/>
      <c r="Q454" s="269"/>
      <c r="R454" s="269"/>
    </row>
    <row r="455" spans="1:18" s="285" customFormat="1" ht="39.6" customHeight="1" x14ac:dyDescent="0.25">
      <c r="A455" s="276"/>
      <c r="B455" s="276"/>
      <c r="C455" s="276"/>
      <c r="D455" s="277"/>
      <c r="E455" s="278"/>
      <c r="F455" s="279"/>
      <c r="G455" s="280"/>
      <c r="H455" s="281"/>
      <c r="I455" s="282"/>
      <c r="J455" s="281"/>
      <c r="K455" s="283"/>
      <c r="L455" s="284"/>
      <c r="M455" s="287"/>
      <c r="O455" s="286"/>
      <c r="P455" s="269"/>
      <c r="Q455" s="269"/>
      <c r="R455" s="269"/>
    </row>
    <row r="456" spans="1:18" s="285" customFormat="1" ht="39.6" customHeight="1" x14ac:dyDescent="0.25">
      <c r="A456" s="276"/>
      <c r="B456" s="276"/>
      <c r="C456" s="276"/>
      <c r="D456" s="277"/>
      <c r="E456" s="278"/>
      <c r="F456" s="279"/>
      <c r="G456" s="280"/>
      <c r="H456" s="281"/>
      <c r="I456" s="282"/>
      <c r="J456" s="281"/>
      <c r="K456" s="283"/>
      <c r="L456" s="284"/>
      <c r="M456" s="287"/>
      <c r="O456" s="286"/>
      <c r="P456" s="269"/>
      <c r="Q456" s="269"/>
      <c r="R456" s="269"/>
    </row>
    <row r="457" spans="1:18" s="285" customFormat="1" ht="39.6" customHeight="1" x14ac:dyDescent="0.25">
      <c r="A457" s="276"/>
      <c r="B457" s="276"/>
      <c r="C457" s="276"/>
      <c r="D457" s="277"/>
      <c r="E457" s="278"/>
      <c r="F457" s="279"/>
      <c r="G457" s="280"/>
      <c r="H457" s="281"/>
      <c r="I457" s="282"/>
      <c r="J457" s="281"/>
      <c r="K457" s="283"/>
      <c r="L457" s="284"/>
      <c r="M457" s="287"/>
      <c r="O457" s="286"/>
      <c r="P457" s="269"/>
      <c r="Q457" s="269"/>
      <c r="R457" s="269"/>
    </row>
    <row r="458" spans="1:18" s="285" customFormat="1" ht="39.6" customHeight="1" x14ac:dyDescent="0.25">
      <c r="A458" s="276"/>
      <c r="B458" s="276"/>
      <c r="C458" s="276"/>
      <c r="D458" s="277"/>
      <c r="E458" s="278"/>
      <c r="F458" s="279"/>
      <c r="G458" s="280"/>
      <c r="H458" s="281"/>
      <c r="I458" s="282"/>
      <c r="J458" s="281"/>
      <c r="K458" s="283"/>
      <c r="L458" s="284"/>
      <c r="M458" s="287"/>
      <c r="O458" s="286"/>
      <c r="P458" s="269"/>
      <c r="Q458" s="269"/>
      <c r="R458" s="269"/>
    </row>
    <row r="459" spans="1:18" s="285" customFormat="1" ht="39.6" customHeight="1" x14ac:dyDescent="0.25">
      <c r="A459" s="276"/>
      <c r="B459" s="276"/>
      <c r="C459" s="276"/>
      <c r="D459" s="277"/>
      <c r="E459" s="278"/>
      <c r="F459" s="279"/>
      <c r="G459" s="280"/>
      <c r="H459" s="281"/>
      <c r="I459" s="282"/>
      <c r="J459" s="281"/>
      <c r="K459" s="283"/>
      <c r="L459" s="284"/>
      <c r="M459" s="287"/>
      <c r="O459" s="286"/>
      <c r="P459" s="269"/>
      <c r="Q459" s="269"/>
      <c r="R459" s="269"/>
    </row>
    <row r="460" spans="1:18" s="285" customFormat="1" ht="39.6" customHeight="1" x14ac:dyDescent="0.25">
      <c r="A460" s="276"/>
      <c r="B460" s="276"/>
      <c r="C460" s="276"/>
      <c r="D460" s="277"/>
      <c r="E460" s="278"/>
      <c r="F460" s="279"/>
      <c r="G460" s="280"/>
      <c r="H460" s="281"/>
      <c r="I460" s="282"/>
      <c r="J460" s="281"/>
      <c r="K460" s="283"/>
      <c r="L460" s="284"/>
      <c r="M460" s="287"/>
      <c r="O460" s="286"/>
      <c r="P460" s="269"/>
      <c r="Q460" s="269"/>
      <c r="R460" s="269"/>
    </row>
    <row r="461" spans="1:18" s="285" customFormat="1" ht="39.6" customHeight="1" x14ac:dyDescent="0.25">
      <c r="A461" s="276"/>
      <c r="B461" s="276"/>
      <c r="C461" s="276"/>
      <c r="D461" s="277"/>
      <c r="E461" s="278"/>
      <c r="F461" s="279"/>
      <c r="G461" s="280"/>
      <c r="H461" s="281"/>
      <c r="I461" s="282"/>
      <c r="J461" s="281"/>
      <c r="K461" s="283"/>
      <c r="L461" s="284"/>
      <c r="M461" s="287"/>
      <c r="O461" s="286"/>
      <c r="P461" s="269"/>
      <c r="Q461" s="269"/>
      <c r="R461" s="269"/>
    </row>
    <row r="462" spans="1:18" s="285" customFormat="1" ht="39.6" customHeight="1" x14ac:dyDescent="0.25">
      <c r="A462" s="276"/>
      <c r="B462" s="276"/>
      <c r="C462" s="276"/>
      <c r="D462" s="277"/>
      <c r="E462" s="278"/>
      <c r="F462" s="279"/>
      <c r="G462" s="280"/>
      <c r="H462" s="281"/>
      <c r="I462" s="282"/>
      <c r="J462" s="281"/>
      <c r="K462" s="283"/>
      <c r="L462" s="284"/>
      <c r="M462" s="287"/>
      <c r="O462" s="286"/>
      <c r="P462" s="269"/>
      <c r="Q462" s="269"/>
      <c r="R462" s="269"/>
    </row>
    <row r="463" spans="1:18" s="285" customFormat="1" ht="39.6" customHeight="1" x14ac:dyDescent="0.25">
      <c r="A463" s="276"/>
      <c r="B463" s="276"/>
      <c r="C463" s="276"/>
      <c r="D463" s="277"/>
      <c r="E463" s="278"/>
      <c r="F463" s="279"/>
      <c r="G463" s="280"/>
      <c r="H463" s="281"/>
      <c r="I463" s="282"/>
      <c r="J463" s="281"/>
      <c r="K463" s="283"/>
      <c r="L463" s="284"/>
      <c r="M463" s="287"/>
      <c r="O463" s="286"/>
      <c r="P463" s="269"/>
      <c r="Q463" s="269"/>
      <c r="R463" s="269"/>
    </row>
    <row r="464" spans="1:18" s="285" customFormat="1" ht="39.6" customHeight="1" x14ac:dyDescent="0.25">
      <c r="A464" s="276"/>
      <c r="B464" s="276"/>
      <c r="C464" s="276"/>
      <c r="D464" s="277"/>
      <c r="E464" s="278"/>
      <c r="F464" s="279"/>
      <c r="G464" s="280"/>
      <c r="H464" s="281"/>
      <c r="I464" s="282"/>
      <c r="J464" s="281"/>
      <c r="K464" s="283"/>
      <c r="L464" s="284"/>
      <c r="M464" s="287"/>
      <c r="O464" s="286"/>
      <c r="P464" s="269"/>
      <c r="Q464" s="269"/>
      <c r="R464" s="269"/>
    </row>
    <row r="465" spans="1:18" s="285" customFormat="1" ht="39.6" customHeight="1" x14ac:dyDescent="0.25">
      <c r="A465" s="276"/>
      <c r="B465" s="276"/>
      <c r="C465" s="276"/>
      <c r="D465" s="277"/>
      <c r="E465" s="278"/>
      <c r="F465" s="279"/>
      <c r="G465" s="280"/>
      <c r="H465" s="281"/>
      <c r="I465" s="282"/>
      <c r="J465" s="281"/>
      <c r="K465" s="283"/>
      <c r="L465" s="284"/>
      <c r="M465" s="287"/>
      <c r="O465" s="286"/>
      <c r="P465" s="269"/>
      <c r="Q465" s="269"/>
      <c r="R465" s="269"/>
    </row>
    <row r="466" spans="1:18" s="285" customFormat="1" ht="39.6" customHeight="1" x14ac:dyDescent="0.25">
      <c r="A466" s="276"/>
      <c r="B466" s="276"/>
      <c r="C466" s="276"/>
      <c r="D466" s="277"/>
      <c r="E466" s="278"/>
      <c r="F466" s="279"/>
      <c r="G466" s="280"/>
      <c r="H466" s="281"/>
      <c r="I466" s="282"/>
      <c r="J466" s="281"/>
      <c r="K466" s="283"/>
      <c r="L466" s="284"/>
      <c r="M466" s="287"/>
      <c r="O466" s="286"/>
      <c r="P466" s="269"/>
      <c r="Q466" s="269"/>
      <c r="R466" s="269"/>
    </row>
    <row r="467" spans="1:18" s="285" customFormat="1" ht="39.6" customHeight="1" x14ac:dyDescent="0.25">
      <c r="A467" s="276"/>
      <c r="B467" s="276"/>
      <c r="C467" s="276"/>
      <c r="D467" s="277"/>
      <c r="E467" s="278"/>
      <c r="F467" s="279"/>
      <c r="G467" s="280"/>
      <c r="H467" s="281"/>
      <c r="I467" s="282"/>
      <c r="J467" s="281"/>
      <c r="K467" s="283"/>
      <c r="L467" s="284"/>
      <c r="M467" s="287"/>
      <c r="O467" s="286"/>
      <c r="P467" s="269"/>
      <c r="Q467" s="269"/>
      <c r="R467" s="269"/>
    </row>
    <row r="468" spans="1:18" s="285" customFormat="1" ht="39.6" customHeight="1" x14ac:dyDescent="0.25">
      <c r="A468" s="276"/>
      <c r="B468" s="276"/>
      <c r="C468" s="276"/>
      <c r="D468" s="277"/>
      <c r="E468" s="278"/>
      <c r="F468" s="279"/>
      <c r="G468" s="280"/>
      <c r="H468" s="281"/>
      <c r="I468" s="282"/>
      <c r="J468" s="281"/>
      <c r="K468" s="283"/>
      <c r="L468" s="284"/>
      <c r="M468" s="287"/>
      <c r="O468" s="286"/>
      <c r="P468" s="269"/>
      <c r="Q468" s="269"/>
      <c r="R468" s="269"/>
    </row>
    <row r="469" spans="1:18" s="285" customFormat="1" ht="39.6" customHeight="1" x14ac:dyDescent="0.25">
      <c r="A469" s="276"/>
      <c r="B469" s="276"/>
      <c r="C469" s="276"/>
      <c r="D469" s="277"/>
      <c r="E469" s="278"/>
      <c r="F469" s="279"/>
      <c r="G469" s="280"/>
      <c r="H469" s="281"/>
      <c r="I469" s="282"/>
      <c r="J469" s="281"/>
      <c r="K469" s="283"/>
      <c r="L469" s="284"/>
      <c r="M469" s="287"/>
      <c r="O469" s="286"/>
      <c r="P469" s="269"/>
      <c r="Q469" s="269"/>
      <c r="R469" s="269"/>
    </row>
    <row r="470" spans="1:18" s="285" customFormat="1" ht="39.6" customHeight="1" x14ac:dyDescent="0.25">
      <c r="A470" s="276"/>
      <c r="B470" s="276"/>
      <c r="C470" s="276"/>
      <c r="D470" s="277"/>
      <c r="E470" s="278"/>
      <c r="F470" s="279"/>
      <c r="G470" s="280"/>
      <c r="H470" s="281"/>
      <c r="I470" s="282"/>
      <c r="J470" s="281"/>
      <c r="K470" s="283"/>
      <c r="L470" s="284"/>
      <c r="M470" s="287"/>
      <c r="O470" s="286"/>
      <c r="P470" s="269"/>
      <c r="Q470" s="269"/>
      <c r="R470" s="269"/>
    </row>
    <row r="471" spans="1:18" s="285" customFormat="1" ht="39.6" customHeight="1" x14ac:dyDescent="0.25">
      <c r="A471" s="276"/>
      <c r="B471" s="276"/>
      <c r="C471" s="276"/>
      <c r="D471" s="277"/>
      <c r="E471" s="278"/>
      <c r="F471" s="279"/>
      <c r="G471" s="280"/>
      <c r="H471" s="281"/>
      <c r="I471" s="282"/>
      <c r="J471" s="281"/>
      <c r="K471" s="283"/>
      <c r="L471" s="284"/>
      <c r="M471" s="287"/>
      <c r="O471" s="286"/>
      <c r="P471" s="269"/>
      <c r="Q471" s="269"/>
      <c r="R471" s="269"/>
    </row>
    <row r="472" spans="1:18" s="285" customFormat="1" ht="39.6" customHeight="1" x14ac:dyDescent="0.25">
      <c r="A472" s="276"/>
      <c r="B472" s="276"/>
      <c r="C472" s="276"/>
      <c r="D472" s="277"/>
      <c r="E472" s="278"/>
      <c r="F472" s="279"/>
      <c r="G472" s="280"/>
      <c r="H472" s="281"/>
      <c r="I472" s="282"/>
      <c r="J472" s="281"/>
      <c r="K472" s="283"/>
      <c r="L472" s="284"/>
      <c r="M472" s="287"/>
      <c r="O472" s="286"/>
      <c r="P472" s="269"/>
      <c r="Q472" s="269"/>
      <c r="R472" s="269"/>
    </row>
    <row r="473" spans="1:18" s="285" customFormat="1" ht="39.6" customHeight="1" x14ac:dyDescent="0.25">
      <c r="A473" s="276"/>
      <c r="B473" s="276"/>
      <c r="C473" s="276"/>
      <c r="D473" s="277"/>
      <c r="E473" s="278"/>
      <c r="F473" s="279"/>
      <c r="G473" s="280"/>
      <c r="H473" s="281"/>
      <c r="I473" s="282"/>
      <c r="J473" s="281"/>
      <c r="K473" s="283"/>
      <c r="L473" s="284"/>
      <c r="M473" s="287"/>
      <c r="O473" s="286"/>
      <c r="P473" s="269"/>
      <c r="Q473" s="269"/>
      <c r="R473" s="269"/>
    </row>
    <row r="474" spans="1:18" s="285" customFormat="1" ht="39.6" customHeight="1" x14ac:dyDescent="0.25">
      <c r="A474" s="276"/>
      <c r="B474" s="276"/>
      <c r="C474" s="276"/>
      <c r="D474" s="277"/>
      <c r="E474" s="278"/>
      <c r="F474" s="279"/>
      <c r="G474" s="280"/>
      <c r="H474" s="281"/>
      <c r="I474" s="282"/>
      <c r="J474" s="281"/>
      <c r="K474" s="283"/>
      <c r="L474" s="284"/>
      <c r="M474" s="287"/>
      <c r="O474" s="286"/>
      <c r="P474" s="269"/>
      <c r="Q474" s="269"/>
      <c r="R474" s="269"/>
    </row>
    <row r="475" spans="1:18" s="285" customFormat="1" ht="39.6" customHeight="1" x14ac:dyDescent="0.25">
      <c r="A475" s="276"/>
      <c r="B475" s="276"/>
      <c r="C475" s="276"/>
      <c r="D475" s="277"/>
      <c r="E475" s="278"/>
      <c r="F475" s="279"/>
      <c r="G475" s="280"/>
      <c r="H475" s="281"/>
      <c r="I475" s="282"/>
      <c r="J475" s="281"/>
      <c r="K475" s="283"/>
      <c r="L475" s="284"/>
      <c r="M475" s="287"/>
      <c r="O475" s="286"/>
      <c r="P475" s="269"/>
      <c r="Q475" s="269"/>
      <c r="R475" s="269"/>
    </row>
    <row r="476" spans="1:18" s="285" customFormat="1" ht="39.6" customHeight="1" x14ac:dyDescent="0.25">
      <c r="A476" s="276"/>
      <c r="B476" s="276"/>
      <c r="C476" s="276"/>
      <c r="D476" s="277"/>
      <c r="E476" s="278"/>
      <c r="F476" s="279"/>
      <c r="G476" s="280"/>
      <c r="H476" s="281"/>
      <c r="I476" s="282"/>
      <c r="J476" s="281"/>
      <c r="K476" s="283"/>
      <c r="L476" s="284"/>
      <c r="M476" s="287"/>
      <c r="O476" s="286"/>
      <c r="P476" s="269"/>
      <c r="Q476" s="269"/>
      <c r="R476" s="269"/>
    </row>
    <row r="477" spans="1:18" s="285" customFormat="1" ht="39.6" customHeight="1" x14ac:dyDescent="0.25">
      <c r="A477" s="276"/>
      <c r="B477" s="276"/>
      <c r="C477" s="276"/>
      <c r="D477" s="277"/>
      <c r="E477" s="278"/>
      <c r="F477" s="279"/>
      <c r="G477" s="280"/>
      <c r="H477" s="281"/>
      <c r="I477" s="282"/>
      <c r="J477" s="281"/>
      <c r="K477" s="283"/>
      <c r="L477" s="284"/>
      <c r="M477" s="287"/>
      <c r="O477" s="286"/>
      <c r="P477" s="269"/>
      <c r="Q477" s="269"/>
      <c r="R477" s="269"/>
    </row>
    <row r="478" spans="1:18" s="285" customFormat="1" ht="39.6" customHeight="1" x14ac:dyDescent="0.25">
      <c r="A478" s="276"/>
      <c r="B478" s="276"/>
      <c r="C478" s="276"/>
      <c r="D478" s="277"/>
      <c r="E478" s="278"/>
      <c r="F478" s="279"/>
      <c r="G478" s="280"/>
      <c r="H478" s="281"/>
      <c r="I478" s="282"/>
      <c r="J478" s="281"/>
      <c r="K478" s="283"/>
      <c r="L478" s="284"/>
      <c r="M478" s="287"/>
      <c r="O478" s="286"/>
      <c r="P478" s="269"/>
      <c r="Q478" s="269"/>
      <c r="R478" s="269"/>
    </row>
    <row r="479" spans="1:18" s="285" customFormat="1" ht="39.6" customHeight="1" x14ac:dyDescent="0.25">
      <c r="A479" s="276"/>
      <c r="B479" s="276"/>
      <c r="C479" s="276"/>
      <c r="D479" s="277"/>
      <c r="E479" s="278"/>
      <c r="F479" s="279"/>
      <c r="G479" s="280"/>
      <c r="H479" s="281"/>
      <c r="I479" s="282"/>
      <c r="J479" s="281"/>
      <c r="K479" s="283"/>
      <c r="L479" s="284"/>
      <c r="M479" s="287"/>
      <c r="O479" s="286"/>
      <c r="P479" s="269"/>
      <c r="Q479" s="269"/>
      <c r="R479" s="269"/>
    </row>
    <row r="480" spans="1:18" s="285" customFormat="1" ht="39.6" customHeight="1" x14ac:dyDescent="0.25">
      <c r="A480" s="276"/>
      <c r="B480" s="276"/>
      <c r="C480" s="276"/>
      <c r="D480" s="277"/>
      <c r="E480" s="278"/>
      <c r="F480" s="279"/>
      <c r="G480" s="280"/>
      <c r="H480" s="281"/>
      <c r="I480" s="282"/>
      <c r="J480" s="281"/>
      <c r="K480" s="283"/>
      <c r="L480" s="284"/>
      <c r="M480" s="287"/>
      <c r="O480" s="286"/>
      <c r="P480" s="269"/>
      <c r="Q480" s="269"/>
      <c r="R480" s="269"/>
    </row>
    <row r="481" spans="1:18" s="285" customFormat="1" ht="39.6" customHeight="1" x14ac:dyDescent="0.25">
      <c r="A481" s="276"/>
      <c r="B481" s="276"/>
      <c r="C481" s="276"/>
      <c r="D481" s="277"/>
      <c r="E481" s="278"/>
      <c r="F481" s="279"/>
      <c r="G481" s="280"/>
      <c r="H481" s="281"/>
      <c r="I481" s="282"/>
      <c r="J481" s="281"/>
      <c r="K481" s="283"/>
      <c r="L481" s="284"/>
      <c r="M481" s="287"/>
      <c r="O481" s="286"/>
      <c r="P481" s="269"/>
      <c r="Q481" s="269"/>
      <c r="R481" s="269"/>
    </row>
    <row r="482" spans="1:18" s="285" customFormat="1" ht="39.6" customHeight="1" x14ac:dyDescent="0.25">
      <c r="A482" s="276"/>
      <c r="B482" s="276"/>
      <c r="C482" s="276"/>
      <c r="D482" s="277"/>
      <c r="E482" s="278"/>
      <c r="F482" s="279"/>
      <c r="G482" s="280"/>
      <c r="H482" s="281"/>
      <c r="I482" s="282"/>
      <c r="J482" s="281"/>
      <c r="K482" s="283"/>
      <c r="L482" s="284"/>
      <c r="M482" s="287"/>
      <c r="O482" s="286"/>
      <c r="P482" s="269"/>
      <c r="Q482" s="269"/>
      <c r="R482" s="269"/>
    </row>
    <row r="483" spans="1:18" s="285" customFormat="1" ht="39.6" customHeight="1" x14ac:dyDescent="0.25">
      <c r="A483" s="276"/>
      <c r="B483" s="276"/>
      <c r="C483" s="276"/>
      <c r="D483" s="277"/>
      <c r="E483" s="278"/>
      <c r="F483" s="279"/>
      <c r="G483" s="280"/>
      <c r="H483" s="281"/>
      <c r="I483" s="282"/>
      <c r="J483" s="281"/>
      <c r="K483" s="283"/>
      <c r="L483" s="284"/>
      <c r="M483" s="287"/>
      <c r="O483" s="286"/>
      <c r="P483" s="269"/>
      <c r="Q483" s="269"/>
      <c r="R483" s="269"/>
    </row>
    <row r="484" spans="1:18" s="285" customFormat="1" ht="39.6" customHeight="1" x14ac:dyDescent="0.25">
      <c r="A484" s="276"/>
      <c r="B484" s="276"/>
      <c r="C484" s="276"/>
      <c r="D484" s="277"/>
      <c r="E484" s="278"/>
      <c r="F484" s="279"/>
      <c r="G484" s="280"/>
      <c r="H484" s="281"/>
      <c r="I484" s="282"/>
      <c r="J484" s="281"/>
      <c r="K484" s="283"/>
      <c r="L484" s="284"/>
      <c r="M484" s="287"/>
      <c r="O484" s="286"/>
      <c r="P484" s="269"/>
      <c r="Q484" s="269"/>
      <c r="R484" s="269"/>
    </row>
    <row r="485" spans="1:18" s="285" customFormat="1" ht="39.6" customHeight="1" x14ac:dyDescent="0.25">
      <c r="A485" s="276"/>
      <c r="B485" s="276"/>
      <c r="C485" s="276"/>
      <c r="D485" s="277"/>
      <c r="E485" s="278"/>
      <c r="F485" s="279"/>
      <c r="G485" s="280"/>
      <c r="H485" s="281"/>
      <c r="I485" s="282"/>
      <c r="J485" s="281"/>
      <c r="K485" s="283"/>
      <c r="L485" s="284"/>
      <c r="M485" s="287"/>
      <c r="O485" s="286"/>
      <c r="P485" s="269"/>
      <c r="Q485" s="269"/>
      <c r="R485" s="269"/>
    </row>
    <row r="486" spans="1:18" s="285" customFormat="1" ht="39.6" customHeight="1" x14ac:dyDescent="0.25">
      <c r="A486" s="276"/>
      <c r="B486" s="276"/>
      <c r="C486" s="276"/>
      <c r="D486" s="277"/>
      <c r="E486" s="278"/>
      <c r="F486" s="279"/>
      <c r="G486" s="280"/>
      <c r="H486" s="281"/>
      <c r="I486" s="282"/>
      <c r="J486" s="281"/>
      <c r="K486" s="283"/>
      <c r="L486" s="284"/>
      <c r="M486" s="287"/>
      <c r="O486" s="286"/>
      <c r="P486" s="269"/>
      <c r="Q486" s="269"/>
      <c r="R486" s="269"/>
    </row>
    <row r="487" spans="1:18" s="285" customFormat="1" ht="39.6" customHeight="1" x14ac:dyDescent="0.25">
      <c r="A487" s="276"/>
      <c r="B487" s="276"/>
      <c r="C487" s="276"/>
      <c r="D487" s="277"/>
      <c r="E487" s="278"/>
      <c r="F487" s="279"/>
      <c r="G487" s="280"/>
      <c r="H487" s="281"/>
      <c r="I487" s="282"/>
      <c r="J487" s="281"/>
      <c r="K487" s="283"/>
      <c r="L487" s="284"/>
      <c r="M487" s="287"/>
      <c r="O487" s="286"/>
      <c r="P487" s="269"/>
      <c r="Q487" s="269"/>
      <c r="R487" s="269"/>
    </row>
    <row r="488" spans="1:18" s="285" customFormat="1" ht="39.6" customHeight="1" x14ac:dyDescent="0.25">
      <c r="A488" s="276"/>
      <c r="B488" s="276"/>
      <c r="C488" s="276"/>
      <c r="D488" s="277"/>
      <c r="E488" s="278"/>
      <c r="F488" s="279"/>
      <c r="G488" s="280"/>
      <c r="H488" s="281"/>
      <c r="I488" s="282"/>
      <c r="J488" s="281"/>
      <c r="K488" s="283"/>
      <c r="L488" s="284"/>
      <c r="M488" s="287"/>
      <c r="O488" s="286"/>
      <c r="P488" s="269"/>
      <c r="Q488" s="269"/>
      <c r="R488" s="269"/>
    </row>
    <row r="489" spans="1:18" s="285" customFormat="1" ht="39.6" customHeight="1" x14ac:dyDescent="0.25">
      <c r="A489" s="276"/>
      <c r="B489" s="276"/>
      <c r="C489" s="276"/>
      <c r="D489" s="277"/>
      <c r="E489" s="278"/>
      <c r="F489" s="279"/>
      <c r="G489" s="280"/>
      <c r="H489" s="281"/>
      <c r="I489" s="282"/>
      <c r="J489" s="281"/>
      <c r="K489" s="283"/>
      <c r="L489" s="284"/>
      <c r="M489" s="287"/>
      <c r="O489" s="286"/>
      <c r="P489" s="269"/>
      <c r="Q489" s="269"/>
      <c r="R489" s="269"/>
    </row>
    <row r="490" spans="1:18" s="285" customFormat="1" ht="39.6" customHeight="1" x14ac:dyDescent="0.25">
      <c r="A490" s="276"/>
      <c r="B490" s="276"/>
      <c r="C490" s="276"/>
      <c r="D490" s="277"/>
      <c r="E490" s="278"/>
      <c r="F490" s="279"/>
      <c r="G490" s="280"/>
      <c r="H490" s="281"/>
      <c r="I490" s="282"/>
      <c r="J490" s="281"/>
      <c r="K490" s="283"/>
      <c r="L490" s="284"/>
      <c r="M490" s="287"/>
      <c r="O490" s="286"/>
      <c r="P490" s="269"/>
      <c r="Q490" s="269"/>
      <c r="R490" s="269"/>
    </row>
    <row r="491" spans="1:18" s="285" customFormat="1" ht="39.6" customHeight="1" x14ac:dyDescent="0.25">
      <c r="A491" s="276"/>
      <c r="B491" s="276"/>
      <c r="C491" s="276"/>
      <c r="D491" s="277"/>
      <c r="E491" s="278"/>
      <c r="F491" s="279"/>
      <c r="G491" s="280"/>
      <c r="H491" s="281"/>
      <c r="I491" s="282"/>
      <c r="J491" s="281"/>
      <c r="K491" s="283"/>
      <c r="L491" s="284"/>
      <c r="M491" s="287"/>
      <c r="O491" s="286"/>
      <c r="P491" s="269"/>
      <c r="Q491" s="269"/>
      <c r="R491" s="269"/>
    </row>
    <row r="492" spans="1:18" s="285" customFormat="1" ht="39.6" customHeight="1" x14ac:dyDescent="0.25">
      <c r="A492" s="276"/>
      <c r="B492" s="276"/>
      <c r="C492" s="276"/>
      <c r="D492" s="277"/>
      <c r="E492" s="278"/>
      <c r="F492" s="279"/>
      <c r="G492" s="280"/>
      <c r="H492" s="281"/>
      <c r="I492" s="282"/>
      <c r="J492" s="281"/>
      <c r="K492" s="283"/>
      <c r="L492" s="284"/>
      <c r="M492" s="287"/>
      <c r="O492" s="286"/>
      <c r="P492" s="269"/>
      <c r="Q492" s="269"/>
      <c r="R492" s="269"/>
    </row>
    <row r="493" spans="1:18" s="285" customFormat="1" ht="39.6" customHeight="1" x14ac:dyDescent="0.25">
      <c r="A493" s="276"/>
      <c r="B493" s="276"/>
      <c r="C493" s="276"/>
      <c r="D493" s="277"/>
      <c r="E493" s="278"/>
      <c r="F493" s="279"/>
      <c r="G493" s="280"/>
      <c r="H493" s="281"/>
      <c r="I493" s="282"/>
      <c r="J493" s="281"/>
      <c r="K493" s="283"/>
      <c r="L493" s="284"/>
      <c r="M493" s="287"/>
      <c r="O493" s="286"/>
      <c r="P493" s="269"/>
      <c r="Q493" s="269"/>
      <c r="R493" s="269"/>
    </row>
    <row r="494" spans="1:18" s="285" customFormat="1" ht="39.6" customHeight="1" x14ac:dyDescent="0.25">
      <c r="A494" s="276"/>
      <c r="B494" s="276"/>
      <c r="C494" s="276"/>
      <c r="D494" s="277"/>
      <c r="E494" s="278"/>
      <c r="F494" s="279"/>
      <c r="G494" s="280"/>
      <c r="H494" s="281"/>
      <c r="I494" s="282"/>
      <c r="J494" s="281"/>
      <c r="K494" s="283"/>
      <c r="L494" s="284"/>
      <c r="M494" s="287"/>
      <c r="O494" s="286"/>
      <c r="P494" s="269"/>
      <c r="Q494" s="269"/>
      <c r="R494" s="269"/>
    </row>
    <row r="495" spans="1:18" s="285" customFormat="1" ht="39.6" customHeight="1" x14ac:dyDescent="0.25">
      <c r="A495" s="276"/>
      <c r="B495" s="276"/>
      <c r="C495" s="276"/>
      <c r="D495" s="277"/>
      <c r="E495" s="278"/>
      <c r="F495" s="279"/>
      <c r="G495" s="280"/>
      <c r="H495" s="281"/>
      <c r="I495" s="282"/>
      <c r="J495" s="281"/>
      <c r="K495" s="283"/>
      <c r="L495" s="284"/>
      <c r="M495" s="287"/>
      <c r="O495" s="286"/>
      <c r="P495" s="269"/>
      <c r="Q495" s="269"/>
      <c r="R495" s="269"/>
    </row>
    <row r="496" spans="1:18" s="285" customFormat="1" ht="39.6" customHeight="1" x14ac:dyDescent="0.25">
      <c r="A496" s="276"/>
      <c r="B496" s="276"/>
      <c r="C496" s="276"/>
      <c r="D496" s="277"/>
      <c r="E496" s="278"/>
      <c r="F496" s="279"/>
      <c r="G496" s="280"/>
      <c r="H496" s="281"/>
      <c r="I496" s="282"/>
      <c r="J496" s="281"/>
      <c r="K496" s="283"/>
      <c r="L496" s="284"/>
      <c r="M496" s="287"/>
      <c r="O496" s="286"/>
      <c r="P496" s="269"/>
      <c r="Q496" s="269"/>
      <c r="R496" s="269"/>
    </row>
    <row r="497" spans="1:18" s="285" customFormat="1" ht="39.6" customHeight="1" x14ac:dyDescent="0.25">
      <c r="A497" s="276"/>
      <c r="B497" s="276"/>
      <c r="C497" s="276"/>
      <c r="D497" s="277"/>
      <c r="E497" s="278"/>
      <c r="F497" s="279"/>
      <c r="G497" s="280"/>
      <c r="H497" s="281"/>
      <c r="I497" s="282"/>
      <c r="J497" s="281"/>
      <c r="K497" s="283"/>
      <c r="L497" s="284"/>
      <c r="M497" s="287"/>
      <c r="O497" s="286"/>
      <c r="P497" s="269"/>
      <c r="Q497" s="269"/>
      <c r="R497" s="269"/>
    </row>
    <row r="498" spans="1:18" s="285" customFormat="1" ht="39.6" customHeight="1" x14ac:dyDescent="0.25">
      <c r="A498" s="276"/>
      <c r="B498" s="276"/>
      <c r="C498" s="276"/>
      <c r="D498" s="277"/>
      <c r="E498" s="278"/>
      <c r="F498" s="279"/>
      <c r="G498" s="280"/>
      <c r="H498" s="281"/>
      <c r="I498" s="282"/>
      <c r="J498" s="281"/>
      <c r="K498" s="283"/>
      <c r="L498" s="284"/>
      <c r="M498" s="287"/>
      <c r="O498" s="286"/>
      <c r="P498" s="269"/>
      <c r="Q498" s="269"/>
      <c r="R498" s="269"/>
    </row>
    <row r="499" spans="1:18" s="285" customFormat="1" ht="39.6" customHeight="1" x14ac:dyDescent="0.25">
      <c r="A499" s="276"/>
      <c r="B499" s="276"/>
      <c r="C499" s="276"/>
      <c r="D499" s="277"/>
      <c r="E499" s="278"/>
      <c r="F499" s="279"/>
      <c r="G499" s="280"/>
      <c r="H499" s="281"/>
      <c r="I499" s="282"/>
      <c r="J499" s="281"/>
      <c r="K499" s="283"/>
      <c r="L499" s="284"/>
      <c r="M499" s="287"/>
      <c r="O499" s="286"/>
      <c r="P499" s="269"/>
      <c r="Q499" s="269"/>
      <c r="R499" s="269"/>
    </row>
    <row r="500" spans="1:18" s="285" customFormat="1" ht="39.6" customHeight="1" x14ac:dyDescent="0.25">
      <c r="A500" s="276"/>
      <c r="B500" s="276"/>
      <c r="C500" s="276"/>
      <c r="D500" s="277"/>
      <c r="E500" s="278"/>
      <c r="F500" s="279"/>
      <c r="G500" s="280"/>
      <c r="H500" s="281"/>
      <c r="I500" s="282"/>
      <c r="J500" s="281"/>
      <c r="K500" s="283"/>
      <c r="L500" s="284"/>
      <c r="M500" s="287"/>
      <c r="O500" s="286"/>
      <c r="P500" s="269"/>
      <c r="Q500" s="269"/>
      <c r="R500" s="269"/>
    </row>
    <row r="501" spans="1:18" s="285" customFormat="1" ht="39.6" customHeight="1" x14ac:dyDescent="0.25">
      <c r="A501" s="276"/>
      <c r="B501" s="276"/>
      <c r="C501" s="276"/>
      <c r="D501" s="277"/>
      <c r="E501" s="278"/>
      <c r="F501" s="279"/>
      <c r="G501" s="280"/>
      <c r="H501" s="281"/>
      <c r="I501" s="282"/>
      <c r="J501" s="281"/>
      <c r="K501" s="283"/>
      <c r="L501" s="284"/>
      <c r="M501" s="287"/>
      <c r="O501" s="286"/>
      <c r="P501" s="269"/>
      <c r="Q501" s="269"/>
      <c r="R501" s="269"/>
    </row>
    <row r="502" spans="1:18" s="285" customFormat="1" ht="39.6" customHeight="1" x14ac:dyDescent="0.25">
      <c r="A502" s="276"/>
      <c r="B502" s="276"/>
      <c r="C502" s="276"/>
      <c r="D502" s="277"/>
      <c r="E502" s="278"/>
      <c r="F502" s="279"/>
      <c r="G502" s="280"/>
      <c r="H502" s="281"/>
      <c r="I502" s="282"/>
      <c r="J502" s="281"/>
      <c r="K502" s="283"/>
      <c r="L502" s="284"/>
      <c r="M502" s="287"/>
      <c r="O502" s="286"/>
      <c r="P502" s="269"/>
      <c r="Q502" s="269"/>
      <c r="R502" s="269"/>
    </row>
    <row r="503" spans="1:18" s="285" customFormat="1" ht="39.6" customHeight="1" x14ac:dyDescent="0.25">
      <c r="A503" s="276"/>
      <c r="B503" s="276"/>
      <c r="C503" s="276"/>
      <c r="D503" s="277"/>
      <c r="E503" s="278"/>
      <c r="F503" s="279"/>
      <c r="G503" s="280"/>
      <c r="H503" s="281"/>
      <c r="I503" s="282"/>
      <c r="J503" s="281"/>
      <c r="K503" s="283"/>
      <c r="L503" s="284"/>
      <c r="M503" s="287"/>
      <c r="O503" s="286"/>
      <c r="P503" s="269"/>
      <c r="Q503" s="269"/>
      <c r="R503" s="269"/>
    </row>
    <row r="504" spans="1:18" s="285" customFormat="1" ht="39.6" customHeight="1" x14ac:dyDescent="0.25">
      <c r="A504" s="276"/>
      <c r="B504" s="276"/>
      <c r="C504" s="276"/>
      <c r="D504" s="277"/>
      <c r="E504" s="278"/>
      <c r="F504" s="279"/>
      <c r="G504" s="280"/>
      <c r="H504" s="281"/>
      <c r="I504" s="282"/>
      <c r="J504" s="281"/>
      <c r="K504" s="283"/>
      <c r="L504" s="284"/>
      <c r="M504" s="287"/>
      <c r="O504" s="286"/>
      <c r="P504" s="269"/>
      <c r="Q504" s="269"/>
      <c r="R504" s="269"/>
    </row>
    <row r="505" spans="1:18" s="285" customFormat="1" ht="39.6" customHeight="1" x14ac:dyDescent="0.25">
      <c r="A505" s="276"/>
      <c r="B505" s="276"/>
      <c r="C505" s="276"/>
      <c r="D505" s="277"/>
      <c r="E505" s="278"/>
      <c r="F505" s="279"/>
      <c r="G505" s="280"/>
      <c r="H505" s="281"/>
      <c r="I505" s="282"/>
      <c r="J505" s="281"/>
      <c r="K505" s="283"/>
      <c r="L505" s="284"/>
      <c r="M505" s="287"/>
      <c r="O505" s="286"/>
      <c r="P505" s="269"/>
      <c r="Q505" s="269"/>
      <c r="R505" s="269"/>
    </row>
    <row r="506" spans="1:18" s="285" customFormat="1" ht="39.6" customHeight="1" x14ac:dyDescent="0.25">
      <c r="A506" s="276"/>
      <c r="B506" s="276"/>
      <c r="C506" s="276"/>
      <c r="D506" s="277"/>
      <c r="E506" s="278"/>
      <c r="F506" s="279"/>
      <c r="G506" s="280"/>
      <c r="H506" s="281"/>
      <c r="I506" s="282"/>
      <c r="J506" s="281"/>
      <c r="K506" s="283"/>
      <c r="L506" s="284"/>
      <c r="M506" s="287"/>
      <c r="O506" s="286"/>
      <c r="P506" s="269"/>
      <c r="Q506" s="269"/>
      <c r="R506" s="269"/>
    </row>
    <row r="507" spans="1:18" s="285" customFormat="1" ht="39.6" customHeight="1" x14ac:dyDescent="0.25">
      <c r="A507" s="276"/>
      <c r="B507" s="276"/>
      <c r="C507" s="276"/>
      <c r="D507" s="277"/>
      <c r="E507" s="278"/>
      <c r="F507" s="279"/>
      <c r="G507" s="280"/>
      <c r="H507" s="281"/>
      <c r="I507" s="282"/>
      <c r="J507" s="281"/>
      <c r="K507" s="283"/>
      <c r="L507" s="284"/>
      <c r="M507" s="287"/>
      <c r="O507" s="286"/>
      <c r="P507" s="269"/>
      <c r="Q507" s="269"/>
      <c r="R507" s="269"/>
    </row>
    <row r="508" spans="1:18" s="285" customFormat="1" ht="39.6" customHeight="1" x14ac:dyDescent="0.25">
      <c r="A508" s="276"/>
      <c r="B508" s="276"/>
      <c r="C508" s="276"/>
      <c r="D508" s="277"/>
      <c r="E508" s="278"/>
      <c r="F508" s="279"/>
      <c r="G508" s="280"/>
      <c r="H508" s="281"/>
      <c r="I508" s="282"/>
      <c r="J508" s="281"/>
      <c r="K508" s="283"/>
      <c r="L508" s="284"/>
      <c r="M508" s="287"/>
      <c r="O508" s="286"/>
      <c r="P508" s="269"/>
      <c r="Q508" s="269"/>
      <c r="R508" s="269"/>
    </row>
    <row r="509" spans="1:18" s="285" customFormat="1" ht="39.6" customHeight="1" x14ac:dyDescent="0.25">
      <c r="A509" s="276"/>
      <c r="B509" s="276"/>
      <c r="C509" s="276"/>
      <c r="D509" s="277"/>
      <c r="E509" s="278"/>
      <c r="F509" s="279"/>
      <c r="G509" s="280"/>
      <c r="H509" s="281"/>
      <c r="I509" s="282"/>
      <c r="J509" s="281"/>
      <c r="K509" s="283"/>
      <c r="L509" s="284"/>
      <c r="M509" s="287"/>
      <c r="O509" s="286"/>
      <c r="P509" s="269"/>
      <c r="Q509" s="269"/>
      <c r="R509" s="269"/>
    </row>
    <row r="510" spans="1:18" s="285" customFormat="1" ht="39.6" customHeight="1" x14ac:dyDescent="0.25">
      <c r="A510" s="276"/>
      <c r="B510" s="276"/>
      <c r="C510" s="276"/>
      <c r="D510" s="277"/>
      <c r="E510" s="278"/>
      <c r="F510" s="279"/>
      <c r="G510" s="280"/>
      <c r="H510" s="281"/>
      <c r="I510" s="282"/>
      <c r="J510" s="281"/>
      <c r="K510" s="283"/>
      <c r="L510" s="284"/>
      <c r="M510" s="287"/>
      <c r="O510" s="286"/>
      <c r="P510" s="269"/>
      <c r="Q510" s="269"/>
      <c r="R510" s="269"/>
    </row>
    <row r="511" spans="1:18" s="285" customFormat="1" ht="39.6" customHeight="1" x14ac:dyDescent="0.25">
      <c r="A511" s="276"/>
      <c r="B511" s="276"/>
      <c r="C511" s="276"/>
      <c r="D511" s="277"/>
      <c r="E511" s="278"/>
      <c r="F511" s="279"/>
      <c r="G511" s="280"/>
      <c r="H511" s="281"/>
      <c r="I511" s="282"/>
      <c r="J511" s="281"/>
      <c r="K511" s="283"/>
      <c r="L511" s="284"/>
      <c r="M511" s="287"/>
      <c r="O511" s="286"/>
      <c r="P511" s="269"/>
      <c r="Q511" s="269"/>
      <c r="R511" s="269"/>
    </row>
    <row r="512" spans="1:18" s="285" customFormat="1" ht="39.6" customHeight="1" x14ac:dyDescent="0.25">
      <c r="A512" s="276"/>
      <c r="B512" s="276"/>
      <c r="C512" s="276"/>
      <c r="D512" s="277"/>
      <c r="E512" s="278"/>
      <c r="F512" s="279"/>
      <c r="G512" s="280"/>
      <c r="H512" s="281"/>
      <c r="I512" s="282"/>
      <c r="J512" s="281"/>
      <c r="K512" s="283"/>
      <c r="L512" s="284"/>
      <c r="M512" s="287"/>
      <c r="O512" s="286"/>
      <c r="P512" s="269"/>
      <c r="Q512" s="269"/>
      <c r="R512" s="269"/>
    </row>
    <row r="513" spans="1:18" s="285" customFormat="1" ht="39.6" customHeight="1" x14ac:dyDescent="0.25">
      <c r="A513" s="276"/>
      <c r="B513" s="276"/>
      <c r="C513" s="276"/>
      <c r="D513" s="277"/>
      <c r="E513" s="278"/>
      <c r="F513" s="279"/>
      <c r="G513" s="280"/>
      <c r="H513" s="281"/>
      <c r="I513" s="282"/>
      <c r="J513" s="281"/>
      <c r="K513" s="283"/>
      <c r="L513" s="284"/>
      <c r="M513" s="287"/>
      <c r="O513" s="286"/>
      <c r="P513" s="269"/>
      <c r="Q513" s="269"/>
      <c r="R513" s="269"/>
    </row>
    <row r="514" spans="1:18" s="285" customFormat="1" ht="39.6" customHeight="1" x14ac:dyDescent="0.25">
      <c r="A514" s="276"/>
      <c r="B514" s="276"/>
      <c r="C514" s="276"/>
      <c r="D514" s="277"/>
      <c r="E514" s="278"/>
      <c r="F514" s="279"/>
      <c r="G514" s="280"/>
      <c r="H514" s="281"/>
      <c r="I514" s="282"/>
      <c r="J514" s="281"/>
      <c r="K514" s="283"/>
      <c r="L514" s="284"/>
      <c r="M514" s="287"/>
      <c r="O514" s="286"/>
      <c r="P514" s="269"/>
      <c r="Q514" s="269"/>
      <c r="R514" s="269"/>
    </row>
    <row r="515" spans="1:18" s="285" customFormat="1" ht="39.6" customHeight="1" x14ac:dyDescent="0.25">
      <c r="A515" s="276"/>
      <c r="B515" s="276"/>
      <c r="C515" s="276"/>
      <c r="D515" s="277"/>
      <c r="E515" s="278"/>
      <c r="F515" s="279"/>
      <c r="G515" s="280"/>
      <c r="H515" s="281"/>
      <c r="I515" s="282"/>
      <c r="J515" s="281"/>
      <c r="K515" s="283"/>
      <c r="L515" s="284"/>
      <c r="M515" s="287"/>
      <c r="O515" s="286"/>
      <c r="P515" s="269"/>
      <c r="Q515" s="269"/>
      <c r="R515" s="269"/>
    </row>
    <row r="516" spans="1:18" s="285" customFormat="1" ht="39.6" customHeight="1" x14ac:dyDescent="0.25">
      <c r="A516" s="276"/>
      <c r="B516" s="276"/>
      <c r="C516" s="276"/>
      <c r="D516" s="277"/>
      <c r="E516" s="278"/>
      <c r="F516" s="279"/>
      <c r="G516" s="280"/>
      <c r="H516" s="281"/>
      <c r="I516" s="282"/>
      <c r="J516" s="281"/>
      <c r="K516" s="283"/>
      <c r="L516" s="284"/>
      <c r="M516" s="287"/>
      <c r="O516" s="286"/>
      <c r="P516" s="269"/>
      <c r="Q516" s="269"/>
      <c r="R516" s="269"/>
    </row>
    <row r="517" spans="1:18" s="285" customFormat="1" ht="39.6" customHeight="1" x14ac:dyDescent="0.25">
      <c r="A517" s="276"/>
      <c r="B517" s="276"/>
      <c r="C517" s="276"/>
      <c r="D517" s="277"/>
      <c r="E517" s="278"/>
      <c r="F517" s="279"/>
      <c r="G517" s="280"/>
      <c r="H517" s="281"/>
      <c r="I517" s="282"/>
      <c r="J517" s="281"/>
      <c r="K517" s="283"/>
      <c r="L517" s="284"/>
      <c r="M517" s="287"/>
      <c r="O517" s="286"/>
      <c r="P517" s="269"/>
      <c r="Q517" s="269"/>
      <c r="R517" s="269"/>
    </row>
    <row r="518" spans="1:18" s="285" customFormat="1" ht="39.6" customHeight="1" x14ac:dyDescent="0.25">
      <c r="A518" s="276"/>
      <c r="B518" s="276"/>
      <c r="C518" s="276"/>
      <c r="D518" s="277"/>
      <c r="E518" s="278"/>
      <c r="F518" s="279"/>
      <c r="G518" s="280"/>
      <c r="H518" s="281"/>
      <c r="I518" s="282"/>
      <c r="J518" s="281"/>
      <c r="K518" s="283"/>
      <c r="L518" s="284"/>
      <c r="M518" s="287"/>
      <c r="O518" s="286"/>
      <c r="P518" s="269"/>
      <c r="Q518" s="269"/>
      <c r="R518" s="269"/>
    </row>
    <row r="519" spans="1:18" s="285" customFormat="1" ht="39.6" customHeight="1" x14ac:dyDescent="0.25">
      <c r="A519" s="276"/>
      <c r="B519" s="276"/>
      <c r="C519" s="276"/>
      <c r="D519" s="277"/>
      <c r="E519" s="278"/>
      <c r="F519" s="279"/>
      <c r="G519" s="280"/>
      <c r="H519" s="281"/>
      <c r="I519" s="282"/>
      <c r="J519" s="281"/>
      <c r="K519" s="283"/>
      <c r="L519" s="284"/>
      <c r="M519" s="287"/>
      <c r="O519" s="286"/>
      <c r="P519" s="269"/>
      <c r="Q519" s="269"/>
      <c r="R519" s="269"/>
    </row>
    <row r="520" spans="1:18" s="285" customFormat="1" ht="39.6" customHeight="1" x14ac:dyDescent="0.25">
      <c r="A520" s="276"/>
      <c r="B520" s="276"/>
      <c r="C520" s="276"/>
      <c r="D520" s="277"/>
      <c r="E520" s="278"/>
      <c r="F520" s="279"/>
      <c r="G520" s="280"/>
      <c r="H520" s="281"/>
      <c r="I520" s="282"/>
      <c r="J520" s="281"/>
      <c r="K520" s="283"/>
      <c r="L520" s="284"/>
      <c r="M520" s="287"/>
      <c r="O520" s="286"/>
      <c r="P520" s="269"/>
      <c r="Q520" s="269"/>
      <c r="R520" s="269"/>
    </row>
    <row r="521" spans="1:18" s="285" customFormat="1" ht="39.6" customHeight="1" x14ac:dyDescent="0.25">
      <c r="A521" s="276"/>
      <c r="B521" s="276"/>
      <c r="C521" s="276"/>
      <c r="D521" s="277"/>
      <c r="E521" s="278"/>
      <c r="F521" s="279"/>
      <c r="G521" s="280"/>
      <c r="H521" s="281"/>
      <c r="I521" s="282"/>
      <c r="J521" s="281"/>
      <c r="K521" s="283"/>
      <c r="L521" s="284"/>
      <c r="M521" s="287"/>
      <c r="O521" s="286"/>
      <c r="P521" s="269"/>
      <c r="Q521" s="269"/>
      <c r="R521" s="269"/>
    </row>
    <row r="522" spans="1:18" s="285" customFormat="1" ht="39.6" customHeight="1" x14ac:dyDescent="0.25">
      <c r="A522" s="276"/>
      <c r="B522" s="276"/>
      <c r="C522" s="276"/>
      <c r="D522" s="277"/>
      <c r="E522" s="278"/>
      <c r="F522" s="279"/>
      <c r="G522" s="280"/>
      <c r="H522" s="281"/>
      <c r="I522" s="282"/>
      <c r="J522" s="281"/>
      <c r="K522" s="283"/>
      <c r="L522" s="284"/>
      <c r="M522" s="287"/>
      <c r="O522" s="286"/>
      <c r="P522" s="269"/>
      <c r="Q522" s="269"/>
      <c r="R522" s="269"/>
    </row>
    <row r="523" spans="1:18" s="285" customFormat="1" ht="39.6" customHeight="1" x14ac:dyDescent="0.25">
      <c r="A523" s="276"/>
      <c r="B523" s="276"/>
      <c r="C523" s="276"/>
      <c r="D523" s="277"/>
      <c r="E523" s="278"/>
      <c r="F523" s="279"/>
      <c r="G523" s="280"/>
      <c r="H523" s="281"/>
      <c r="I523" s="282"/>
      <c r="J523" s="281"/>
      <c r="K523" s="283"/>
      <c r="L523" s="284"/>
      <c r="M523" s="287"/>
      <c r="O523" s="286"/>
      <c r="P523" s="269"/>
      <c r="Q523" s="269"/>
      <c r="R523" s="269"/>
    </row>
    <row r="524" spans="1:18" s="285" customFormat="1" ht="39.6" customHeight="1" x14ac:dyDescent="0.25">
      <c r="A524" s="276"/>
      <c r="B524" s="276"/>
      <c r="C524" s="276"/>
      <c r="D524" s="277"/>
      <c r="E524" s="278"/>
      <c r="F524" s="279"/>
      <c r="G524" s="280"/>
      <c r="H524" s="281"/>
      <c r="I524" s="282"/>
      <c r="J524" s="281"/>
      <c r="K524" s="283"/>
      <c r="L524" s="284"/>
      <c r="M524" s="287"/>
      <c r="O524" s="286"/>
      <c r="P524" s="269"/>
      <c r="Q524" s="269"/>
      <c r="R524" s="269"/>
    </row>
    <row r="525" spans="1:18" s="285" customFormat="1" ht="39.6" customHeight="1" x14ac:dyDescent="0.25">
      <c r="A525" s="276"/>
      <c r="B525" s="276"/>
      <c r="C525" s="276"/>
      <c r="D525" s="277"/>
      <c r="E525" s="278"/>
      <c r="F525" s="279"/>
      <c r="G525" s="280"/>
      <c r="H525" s="281"/>
      <c r="I525" s="282"/>
      <c r="J525" s="281"/>
      <c r="K525" s="283"/>
      <c r="L525" s="284"/>
      <c r="M525" s="287"/>
      <c r="O525" s="286"/>
      <c r="P525" s="269"/>
      <c r="Q525" s="269"/>
      <c r="R525" s="269"/>
    </row>
    <row r="526" spans="1:18" s="285" customFormat="1" ht="39.6" customHeight="1" x14ac:dyDescent="0.25">
      <c r="A526" s="276"/>
      <c r="B526" s="276"/>
      <c r="C526" s="276"/>
      <c r="D526" s="277"/>
      <c r="E526" s="278"/>
      <c r="F526" s="279"/>
      <c r="G526" s="280"/>
      <c r="H526" s="281"/>
      <c r="I526" s="282"/>
      <c r="J526" s="281"/>
      <c r="K526" s="283"/>
      <c r="L526" s="284"/>
      <c r="M526" s="287"/>
      <c r="O526" s="286"/>
      <c r="P526" s="269"/>
      <c r="Q526" s="269"/>
      <c r="R526" s="269"/>
    </row>
    <row r="527" spans="1:18" s="285" customFormat="1" ht="39.6" customHeight="1" x14ac:dyDescent="0.25">
      <c r="A527" s="276"/>
      <c r="B527" s="276"/>
      <c r="C527" s="276"/>
      <c r="D527" s="277"/>
      <c r="E527" s="278"/>
      <c r="F527" s="279"/>
      <c r="G527" s="280"/>
      <c r="H527" s="281"/>
      <c r="I527" s="282"/>
      <c r="J527" s="281"/>
      <c r="K527" s="283"/>
      <c r="L527" s="284"/>
      <c r="M527" s="287"/>
      <c r="O527" s="286"/>
      <c r="P527" s="269"/>
      <c r="Q527" s="269"/>
      <c r="R527" s="269"/>
    </row>
    <row r="528" spans="1:18" s="285" customFormat="1" ht="39.6" customHeight="1" x14ac:dyDescent="0.25">
      <c r="A528" s="276"/>
      <c r="B528" s="276"/>
      <c r="C528" s="276"/>
      <c r="D528" s="277"/>
      <c r="E528" s="278"/>
      <c r="F528" s="279"/>
      <c r="G528" s="280"/>
      <c r="H528" s="281"/>
      <c r="I528" s="282"/>
      <c r="J528" s="281"/>
      <c r="K528" s="283"/>
      <c r="L528" s="284"/>
      <c r="M528" s="287"/>
      <c r="O528" s="286"/>
      <c r="P528" s="269"/>
      <c r="Q528" s="269"/>
      <c r="R528" s="269"/>
    </row>
    <row r="529" spans="1:18" s="285" customFormat="1" ht="39.6" customHeight="1" x14ac:dyDescent="0.25">
      <c r="A529" s="276"/>
      <c r="B529" s="276"/>
      <c r="C529" s="276"/>
      <c r="D529" s="277"/>
      <c r="E529" s="278"/>
      <c r="F529" s="279"/>
      <c r="G529" s="280"/>
      <c r="H529" s="281"/>
      <c r="I529" s="282"/>
      <c r="J529" s="281"/>
      <c r="K529" s="283"/>
      <c r="L529" s="284"/>
      <c r="M529" s="287"/>
      <c r="O529" s="286"/>
      <c r="P529" s="269"/>
      <c r="Q529" s="269"/>
      <c r="R529" s="269"/>
    </row>
    <row r="530" spans="1:18" s="285" customFormat="1" ht="39.6" customHeight="1" x14ac:dyDescent="0.25">
      <c r="A530" s="276"/>
      <c r="B530" s="276"/>
      <c r="C530" s="276"/>
      <c r="D530" s="277"/>
      <c r="E530" s="278"/>
      <c r="F530" s="279"/>
      <c r="G530" s="280"/>
      <c r="H530" s="281"/>
      <c r="I530" s="282"/>
      <c r="J530" s="281"/>
      <c r="K530" s="283"/>
      <c r="L530" s="284"/>
      <c r="M530" s="287"/>
      <c r="O530" s="286"/>
      <c r="P530" s="269"/>
      <c r="Q530" s="269"/>
      <c r="R530" s="269"/>
    </row>
    <row r="531" spans="1:18" s="285" customFormat="1" ht="39.6" customHeight="1" x14ac:dyDescent="0.25">
      <c r="A531" s="276"/>
      <c r="B531" s="276"/>
      <c r="C531" s="276"/>
      <c r="D531" s="277"/>
      <c r="E531" s="278"/>
      <c r="F531" s="279"/>
      <c r="G531" s="280"/>
      <c r="H531" s="281"/>
      <c r="I531" s="282"/>
      <c r="J531" s="281"/>
      <c r="K531" s="283"/>
      <c r="L531" s="284"/>
      <c r="M531" s="287"/>
      <c r="O531" s="286"/>
      <c r="P531" s="269"/>
      <c r="Q531" s="269"/>
      <c r="R531" s="269"/>
    </row>
    <row r="532" spans="1:18" s="285" customFormat="1" ht="39.6" customHeight="1" x14ac:dyDescent="0.25">
      <c r="A532" s="276"/>
      <c r="B532" s="276"/>
      <c r="C532" s="276"/>
      <c r="D532" s="277"/>
      <c r="E532" s="278"/>
      <c r="F532" s="279"/>
      <c r="G532" s="280"/>
      <c r="H532" s="281"/>
      <c r="I532" s="282"/>
      <c r="J532" s="281"/>
      <c r="K532" s="283"/>
      <c r="L532" s="284"/>
      <c r="M532" s="287"/>
      <c r="O532" s="286"/>
      <c r="P532" s="269"/>
      <c r="Q532" s="269"/>
      <c r="R532" s="269"/>
    </row>
    <row r="533" spans="1:18" s="285" customFormat="1" ht="39.6" customHeight="1" x14ac:dyDescent="0.25">
      <c r="A533" s="276"/>
      <c r="B533" s="276"/>
      <c r="C533" s="276"/>
      <c r="D533" s="277"/>
      <c r="E533" s="278"/>
      <c r="F533" s="279"/>
      <c r="G533" s="280"/>
      <c r="H533" s="281"/>
      <c r="I533" s="282"/>
      <c r="J533" s="281"/>
      <c r="K533" s="283"/>
      <c r="L533" s="284"/>
      <c r="M533" s="287"/>
      <c r="O533" s="286"/>
      <c r="P533" s="269"/>
      <c r="Q533" s="269"/>
      <c r="R533" s="269"/>
    </row>
    <row r="534" spans="1:18" s="285" customFormat="1" ht="39.6" customHeight="1" x14ac:dyDescent="0.25">
      <c r="A534" s="276"/>
      <c r="B534" s="276"/>
      <c r="C534" s="276"/>
      <c r="D534" s="277"/>
      <c r="E534" s="278"/>
      <c r="F534" s="279"/>
      <c r="G534" s="280"/>
      <c r="H534" s="281"/>
      <c r="I534" s="282"/>
      <c r="J534" s="281"/>
      <c r="K534" s="283"/>
      <c r="L534" s="284"/>
      <c r="M534" s="287"/>
      <c r="O534" s="286"/>
      <c r="P534" s="269"/>
      <c r="Q534" s="269"/>
      <c r="R534" s="269"/>
    </row>
    <row r="535" spans="1:18" s="285" customFormat="1" ht="39.6" customHeight="1" x14ac:dyDescent="0.25">
      <c r="A535" s="276"/>
      <c r="B535" s="276"/>
      <c r="C535" s="276"/>
      <c r="D535" s="277"/>
      <c r="E535" s="278"/>
      <c r="F535" s="279"/>
      <c r="G535" s="280"/>
      <c r="H535" s="281"/>
      <c r="I535" s="282"/>
      <c r="J535" s="281"/>
      <c r="K535" s="283"/>
      <c r="L535" s="284"/>
      <c r="M535" s="287"/>
      <c r="O535" s="286"/>
      <c r="P535" s="269"/>
      <c r="Q535" s="269"/>
      <c r="R535" s="269"/>
    </row>
    <row r="536" spans="1:18" s="285" customFormat="1" ht="39.6" customHeight="1" x14ac:dyDescent="0.25">
      <c r="A536" s="276"/>
      <c r="B536" s="276"/>
      <c r="C536" s="276"/>
      <c r="D536" s="277"/>
      <c r="E536" s="278"/>
      <c r="F536" s="279"/>
      <c r="G536" s="280"/>
      <c r="H536" s="281"/>
      <c r="I536" s="282"/>
      <c r="J536" s="281"/>
      <c r="K536" s="283"/>
      <c r="L536" s="284"/>
      <c r="M536" s="287"/>
      <c r="O536" s="286"/>
      <c r="P536" s="269"/>
      <c r="Q536" s="269"/>
      <c r="R536" s="269"/>
    </row>
    <row r="537" spans="1:18" s="285" customFormat="1" ht="39.6" customHeight="1" x14ac:dyDescent="0.25">
      <c r="A537" s="276"/>
      <c r="B537" s="276"/>
      <c r="C537" s="276"/>
      <c r="D537" s="277"/>
      <c r="E537" s="278"/>
      <c r="F537" s="279"/>
      <c r="G537" s="280"/>
      <c r="H537" s="281"/>
      <c r="I537" s="282"/>
      <c r="J537" s="281"/>
      <c r="K537" s="283"/>
      <c r="L537" s="284"/>
      <c r="M537" s="287"/>
      <c r="O537" s="286"/>
      <c r="P537" s="269"/>
      <c r="Q537" s="269"/>
      <c r="R537" s="269"/>
    </row>
    <row r="538" spans="1:18" s="285" customFormat="1" ht="39.6" customHeight="1" x14ac:dyDescent="0.25">
      <c r="A538" s="276"/>
      <c r="B538" s="276"/>
      <c r="C538" s="276"/>
      <c r="D538" s="277"/>
      <c r="E538" s="278"/>
      <c r="F538" s="279"/>
      <c r="G538" s="280"/>
      <c r="H538" s="281"/>
      <c r="I538" s="282"/>
      <c r="J538" s="281"/>
      <c r="K538" s="283"/>
      <c r="L538" s="284"/>
      <c r="M538" s="287"/>
      <c r="O538" s="286"/>
      <c r="P538" s="269"/>
      <c r="Q538" s="269"/>
      <c r="R538" s="269"/>
    </row>
    <row r="539" spans="1:18" s="285" customFormat="1" ht="39.6" customHeight="1" x14ac:dyDescent="0.25">
      <c r="A539" s="276"/>
      <c r="B539" s="276"/>
      <c r="C539" s="276"/>
      <c r="D539" s="277"/>
      <c r="E539" s="278"/>
      <c r="F539" s="279"/>
      <c r="G539" s="280"/>
      <c r="H539" s="281"/>
      <c r="I539" s="282"/>
      <c r="J539" s="281"/>
      <c r="K539" s="283"/>
      <c r="L539" s="284"/>
      <c r="M539" s="287"/>
      <c r="O539" s="286"/>
      <c r="P539" s="269"/>
      <c r="Q539" s="269"/>
      <c r="R539" s="269"/>
    </row>
    <row r="540" spans="1:18" s="285" customFormat="1" ht="39.6" customHeight="1" x14ac:dyDescent="0.25">
      <c r="A540" s="276"/>
      <c r="B540" s="276"/>
      <c r="C540" s="276"/>
      <c r="D540" s="277"/>
      <c r="E540" s="278"/>
      <c r="F540" s="279"/>
      <c r="G540" s="280"/>
      <c r="H540" s="281"/>
      <c r="I540" s="282"/>
      <c r="J540" s="281"/>
      <c r="K540" s="283"/>
      <c r="L540" s="284"/>
      <c r="M540" s="287"/>
      <c r="O540" s="286"/>
      <c r="P540" s="269"/>
      <c r="Q540" s="269"/>
      <c r="R540" s="269"/>
    </row>
    <row r="541" spans="1:18" s="285" customFormat="1" ht="39.6" customHeight="1" x14ac:dyDescent="0.25">
      <c r="A541" s="276"/>
      <c r="B541" s="276"/>
      <c r="C541" s="276"/>
      <c r="D541" s="277"/>
      <c r="E541" s="278"/>
      <c r="F541" s="279"/>
      <c r="G541" s="280"/>
      <c r="H541" s="281"/>
      <c r="I541" s="282"/>
      <c r="J541" s="281"/>
      <c r="K541" s="283"/>
      <c r="L541" s="284"/>
      <c r="M541" s="287"/>
      <c r="O541" s="286"/>
      <c r="P541" s="269"/>
      <c r="Q541" s="269"/>
      <c r="R541" s="269"/>
    </row>
    <row r="542" spans="1:18" s="285" customFormat="1" ht="39.6" customHeight="1" x14ac:dyDescent="0.25">
      <c r="A542" s="276"/>
      <c r="B542" s="276"/>
      <c r="C542" s="276"/>
      <c r="D542" s="277"/>
      <c r="E542" s="278"/>
      <c r="F542" s="279"/>
      <c r="G542" s="280"/>
      <c r="H542" s="281"/>
      <c r="I542" s="282"/>
      <c r="J542" s="281"/>
      <c r="K542" s="283"/>
      <c r="L542" s="284"/>
      <c r="M542" s="287"/>
      <c r="O542" s="286"/>
      <c r="P542" s="269"/>
      <c r="Q542" s="269"/>
      <c r="R542" s="269"/>
    </row>
    <row r="543" spans="1:18" s="285" customFormat="1" ht="39.6" customHeight="1" x14ac:dyDescent="0.25">
      <c r="A543" s="276"/>
      <c r="B543" s="276"/>
      <c r="C543" s="276"/>
      <c r="D543" s="277"/>
      <c r="E543" s="278"/>
      <c r="F543" s="279"/>
      <c r="G543" s="280"/>
      <c r="H543" s="281"/>
      <c r="I543" s="282"/>
      <c r="J543" s="281"/>
      <c r="K543" s="283"/>
      <c r="L543" s="284"/>
      <c r="M543" s="287"/>
      <c r="O543" s="286"/>
      <c r="P543" s="269"/>
      <c r="Q543" s="269"/>
      <c r="R543" s="269"/>
    </row>
    <row r="544" spans="1:18" s="285" customFormat="1" ht="39.6" customHeight="1" x14ac:dyDescent="0.25">
      <c r="A544" s="276"/>
      <c r="B544" s="276"/>
      <c r="C544" s="276"/>
      <c r="D544" s="277"/>
      <c r="E544" s="278"/>
      <c r="F544" s="279"/>
      <c r="G544" s="280"/>
      <c r="H544" s="281"/>
      <c r="I544" s="282"/>
      <c r="J544" s="281"/>
      <c r="K544" s="283"/>
      <c r="L544" s="284"/>
      <c r="M544" s="287"/>
      <c r="O544" s="286"/>
      <c r="P544" s="269"/>
      <c r="Q544" s="269"/>
      <c r="R544" s="269"/>
    </row>
    <row r="545" spans="1:18" s="285" customFormat="1" ht="39.6" customHeight="1" x14ac:dyDescent="0.25">
      <c r="A545" s="276"/>
      <c r="B545" s="276"/>
      <c r="C545" s="276"/>
      <c r="D545" s="277"/>
      <c r="E545" s="278"/>
      <c r="F545" s="279"/>
      <c r="G545" s="280"/>
      <c r="H545" s="281"/>
      <c r="I545" s="282"/>
      <c r="J545" s="281"/>
      <c r="K545" s="283"/>
      <c r="L545" s="284"/>
      <c r="M545" s="287"/>
      <c r="O545" s="286"/>
      <c r="P545" s="269"/>
      <c r="Q545" s="269"/>
      <c r="R545" s="269"/>
    </row>
    <row r="546" spans="1:18" s="285" customFormat="1" ht="39.6" customHeight="1" x14ac:dyDescent="0.25">
      <c r="A546" s="276"/>
      <c r="B546" s="276"/>
      <c r="C546" s="276"/>
      <c r="D546" s="277"/>
      <c r="E546" s="278"/>
      <c r="F546" s="279"/>
      <c r="G546" s="280"/>
      <c r="H546" s="281"/>
      <c r="I546" s="282"/>
      <c r="J546" s="281"/>
      <c r="K546" s="283"/>
      <c r="L546" s="284"/>
      <c r="M546" s="287"/>
      <c r="O546" s="286"/>
      <c r="P546" s="269"/>
      <c r="Q546" s="269"/>
      <c r="R546" s="269"/>
    </row>
    <row r="547" spans="1:18" s="285" customFormat="1" ht="39.6" customHeight="1" x14ac:dyDescent="0.25">
      <c r="A547" s="276"/>
      <c r="B547" s="276"/>
      <c r="C547" s="276"/>
      <c r="D547" s="277"/>
      <c r="E547" s="278"/>
      <c r="F547" s="279"/>
      <c r="G547" s="280"/>
      <c r="H547" s="281"/>
      <c r="I547" s="282"/>
      <c r="J547" s="281"/>
      <c r="K547" s="283"/>
      <c r="L547" s="284"/>
      <c r="M547" s="287"/>
      <c r="O547" s="286"/>
      <c r="P547" s="269"/>
      <c r="Q547" s="269"/>
      <c r="R547" s="269"/>
    </row>
    <row r="548" spans="1:18" s="285" customFormat="1" ht="39.6" customHeight="1" x14ac:dyDescent="0.25">
      <c r="A548" s="276"/>
      <c r="B548" s="276"/>
      <c r="C548" s="276"/>
      <c r="D548" s="277"/>
      <c r="E548" s="278"/>
      <c r="F548" s="279"/>
      <c r="G548" s="280"/>
      <c r="H548" s="281"/>
      <c r="I548" s="282"/>
      <c r="J548" s="281"/>
      <c r="K548" s="283"/>
      <c r="L548" s="284"/>
      <c r="M548" s="287"/>
      <c r="O548" s="286"/>
      <c r="P548" s="269"/>
      <c r="Q548" s="269"/>
      <c r="R548" s="269"/>
    </row>
    <row r="549" spans="1:18" s="285" customFormat="1" ht="39.6" customHeight="1" x14ac:dyDescent="0.25">
      <c r="A549" s="276"/>
      <c r="B549" s="276"/>
      <c r="C549" s="276"/>
      <c r="D549" s="277"/>
      <c r="E549" s="278"/>
      <c r="F549" s="279"/>
      <c r="G549" s="280"/>
      <c r="H549" s="281"/>
      <c r="I549" s="282"/>
      <c r="J549" s="281"/>
      <c r="K549" s="283"/>
      <c r="L549" s="284"/>
      <c r="M549" s="287"/>
      <c r="O549" s="286"/>
      <c r="P549" s="269"/>
      <c r="Q549" s="269"/>
      <c r="R549" s="269"/>
    </row>
    <row r="550" spans="1:18" s="285" customFormat="1" ht="39.6" customHeight="1" x14ac:dyDescent="0.25">
      <c r="A550" s="276"/>
      <c r="B550" s="276"/>
      <c r="C550" s="276"/>
      <c r="D550" s="277"/>
      <c r="E550" s="278"/>
      <c r="F550" s="279"/>
      <c r="G550" s="280"/>
      <c r="H550" s="281"/>
      <c r="I550" s="282"/>
      <c r="J550" s="281"/>
      <c r="K550" s="283"/>
      <c r="L550" s="284"/>
      <c r="M550" s="287"/>
      <c r="O550" s="286"/>
      <c r="P550" s="269"/>
      <c r="Q550" s="269"/>
      <c r="R550" s="269"/>
    </row>
    <row r="551" spans="1:18" s="285" customFormat="1" ht="39.6" customHeight="1" x14ac:dyDescent="0.25">
      <c r="A551" s="276"/>
      <c r="B551" s="276"/>
      <c r="C551" s="276"/>
      <c r="D551" s="277"/>
      <c r="E551" s="278"/>
      <c r="F551" s="279"/>
      <c r="G551" s="280"/>
      <c r="H551" s="281"/>
      <c r="I551" s="282"/>
      <c r="J551" s="281"/>
      <c r="K551" s="283"/>
      <c r="L551" s="284"/>
      <c r="M551" s="287"/>
      <c r="O551" s="286"/>
      <c r="P551" s="269"/>
      <c r="Q551" s="269"/>
      <c r="R551" s="269"/>
    </row>
    <row r="552" spans="1:18" s="285" customFormat="1" ht="39.6" customHeight="1" x14ac:dyDescent="0.25">
      <c r="A552" s="276"/>
      <c r="B552" s="276"/>
      <c r="C552" s="276"/>
      <c r="D552" s="277"/>
      <c r="E552" s="278"/>
      <c r="F552" s="279"/>
      <c r="G552" s="280"/>
      <c r="H552" s="281"/>
      <c r="I552" s="282"/>
      <c r="J552" s="281"/>
      <c r="K552" s="283"/>
      <c r="L552" s="284"/>
      <c r="M552" s="287"/>
      <c r="O552" s="286"/>
      <c r="P552" s="269"/>
      <c r="Q552" s="269"/>
      <c r="R552" s="269"/>
    </row>
    <row r="553" spans="1:18" s="285" customFormat="1" ht="39.6" customHeight="1" x14ac:dyDescent="0.25">
      <c r="A553" s="276"/>
      <c r="B553" s="276"/>
      <c r="C553" s="276"/>
      <c r="D553" s="277"/>
      <c r="E553" s="278"/>
      <c r="F553" s="279"/>
      <c r="G553" s="280"/>
      <c r="H553" s="281"/>
      <c r="I553" s="282"/>
      <c r="J553" s="281"/>
      <c r="K553" s="283"/>
      <c r="L553" s="284"/>
      <c r="M553" s="287"/>
      <c r="O553" s="286"/>
      <c r="P553" s="269"/>
      <c r="Q553" s="269"/>
      <c r="R553" s="269"/>
    </row>
    <row r="554" spans="1:18" s="285" customFormat="1" ht="39.6" customHeight="1" x14ac:dyDescent="0.25">
      <c r="A554" s="276"/>
      <c r="B554" s="276"/>
      <c r="C554" s="276"/>
      <c r="D554" s="277"/>
      <c r="E554" s="278"/>
      <c r="F554" s="279"/>
      <c r="G554" s="280"/>
      <c r="H554" s="281"/>
      <c r="I554" s="282"/>
      <c r="J554" s="281"/>
      <c r="K554" s="283"/>
      <c r="L554" s="284"/>
      <c r="M554" s="287"/>
      <c r="O554" s="286"/>
      <c r="P554" s="269"/>
      <c r="Q554" s="269"/>
      <c r="R554" s="269"/>
    </row>
    <row r="555" spans="1:18" s="285" customFormat="1" ht="39.6" customHeight="1" x14ac:dyDescent="0.25">
      <c r="A555" s="276"/>
      <c r="B555" s="276"/>
      <c r="C555" s="276"/>
      <c r="D555" s="277"/>
      <c r="E555" s="278"/>
      <c r="F555" s="279"/>
      <c r="G555" s="280"/>
      <c r="H555" s="281"/>
      <c r="I555" s="282"/>
      <c r="J555" s="281"/>
      <c r="K555" s="283"/>
      <c r="L555" s="284"/>
      <c r="M555" s="287"/>
      <c r="O555" s="286"/>
      <c r="P555" s="269"/>
      <c r="Q555" s="269"/>
      <c r="R555" s="269"/>
    </row>
    <row r="556" spans="1:18" s="285" customFormat="1" ht="39.6" customHeight="1" x14ac:dyDescent="0.25">
      <c r="A556" s="276"/>
      <c r="B556" s="276"/>
      <c r="C556" s="276"/>
      <c r="D556" s="277"/>
      <c r="E556" s="278"/>
      <c r="F556" s="279"/>
      <c r="G556" s="280"/>
      <c r="H556" s="281"/>
      <c r="I556" s="282"/>
      <c r="J556" s="281"/>
      <c r="K556" s="283"/>
      <c r="L556" s="284"/>
      <c r="M556" s="287"/>
      <c r="O556" s="286"/>
      <c r="P556" s="269"/>
      <c r="Q556" s="269"/>
      <c r="R556" s="269"/>
    </row>
    <row r="557" spans="1:18" s="285" customFormat="1" ht="39.6" customHeight="1" x14ac:dyDescent="0.25">
      <c r="A557" s="276"/>
      <c r="B557" s="276"/>
      <c r="C557" s="276"/>
      <c r="D557" s="277"/>
      <c r="E557" s="278"/>
      <c r="F557" s="279"/>
      <c r="G557" s="280"/>
      <c r="H557" s="281"/>
      <c r="I557" s="282"/>
      <c r="J557" s="281"/>
      <c r="K557" s="283"/>
      <c r="L557" s="284"/>
      <c r="M557" s="287"/>
      <c r="O557" s="286"/>
      <c r="P557" s="269"/>
      <c r="Q557" s="269"/>
      <c r="R557" s="269"/>
    </row>
    <row r="558" spans="1:18" s="285" customFormat="1" ht="39.6" customHeight="1" x14ac:dyDescent="0.25">
      <c r="A558" s="276"/>
      <c r="B558" s="276"/>
      <c r="C558" s="276"/>
      <c r="D558" s="277"/>
      <c r="E558" s="278"/>
      <c r="F558" s="279"/>
      <c r="G558" s="280"/>
      <c r="H558" s="281"/>
      <c r="I558" s="282"/>
      <c r="J558" s="281"/>
      <c r="K558" s="283"/>
      <c r="L558" s="284"/>
      <c r="M558" s="287"/>
      <c r="O558" s="286"/>
      <c r="P558" s="269"/>
      <c r="Q558" s="269"/>
      <c r="R558" s="269"/>
    </row>
    <row r="559" spans="1:18" s="285" customFormat="1" ht="39.6" customHeight="1" x14ac:dyDescent="0.25">
      <c r="A559" s="276"/>
      <c r="B559" s="276"/>
      <c r="C559" s="276"/>
      <c r="D559" s="277"/>
      <c r="E559" s="278"/>
      <c r="F559" s="279"/>
      <c r="G559" s="280"/>
      <c r="H559" s="281"/>
      <c r="I559" s="282"/>
      <c r="J559" s="281"/>
      <c r="K559" s="283"/>
      <c r="L559" s="284"/>
      <c r="M559" s="287"/>
      <c r="O559" s="286"/>
      <c r="P559" s="269"/>
      <c r="Q559" s="269"/>
      <c r="R559" s="269"/>
    </row>
    <row r="560" spans="1:18" s="285" customFormat="1" ht="39.6" customHeight="1" x14ac:dyDescent="0.25">
      <c r="A560" s="276"/>
      <c r="B560" s="276"/>
      <c r="C560" s="276"/>
      <c r="D560" s="277"/>
      <c r="E560" s="278"/>
      <c r="F560" s="279"/>
      <c r="G560" s="280"/>
      <c r="H560" s="281"/>
      <c r="I560" s="282"/>
      <c r="J560" s="281"/>
      <c r="K560" s="283"/>
      <c r="L560" s="284"/>
      <c r="M560" s="287"/>
      <c r="O560" s="286"/>
      <c r="P560" s="269"/>
      <c r="Q560" s="269"/>
      <c r="R560" s="269"/>
    </row>
    <row r="561" spans="1:18" s="285" customFormat="1" ht="39.6" customHeight="1" x14ac:dyDescent="0.25">
      <c r="A561" s="276"/>
      <c r="B561" s="276"/>
      <c r="C561" s="276"/>
      <c r="D561" s="277"/>
      <c r="E561" s="278"/>
      <c r="F561" s="279"/>
      <c r="G561" s="280"/>
      <c r="H561" s="281"/>
      <c r="I561" s="282"/>
      <c r="J561" s="281"/>
      <c r="K561" s="283"/>
      <c r="L561" s="284"/>
      <c r="M561" s="287"/>
      <c r="O561" s="286"/>
      <c r="P561" s="269"/>
      <c r="Q561" s="269"/>
      <c r="R561" s="269"/>
    </row>
    <row r="562" spans="1:18" s="285" customFormat="1" ht="39.6" customHeight="1" x14ac:dyDescent="0.25">
      <c r="A562" s="276"/>
      <c r="B562" s="276"/>
      <c r="C562" s="276"/>
      <c r="D562" s="277"/>
      <c r="E562" s="278"/>
      <c r="F562" s="279"/>
      <c r="G562" s="280"/>
      <c r="H562" s="281"/>
      <c r="I562" s="282"/>
      <c r="J562" s="281"/>
      <c r="K562" s="283"/>
      <c r="L562" s="284"/>
      <c r="M562" s="287"/>
      <c r="O562" s="286"/>
      <c r="P562" s="269"/>
      <c r="Q562" s="269"/>
      <c r="R562" s="269"/>
    </row>
    <row r="563" spans="1:18" s="285" customFormat="1" ht="39.6" customHeight="1" x14ac:dyDescent="0.25">
      <c r="A563" s="276"/>
      <c r="B563" s="276"/>
      <c r="C563" s="276"/>
      <c r="D563" s="277"/>
      <c r="E563" s="278"/>
      <c r="F563" s="279"/>
      <c r="G563" s="280"/>
      <c r="H563" s="281"/>
      <c r="I563" s="282"/>
      <c r="J563" s="281"/>
      <c r="K563" s="283"/>
      <c r="L563" s="284"/>
      <c r="M563" s="287"/>
      <c r="O563" s="286"/>
      <c r="P563" s="269"/>
      <c r="Q563" s="269"/>
      <c r="R563" s="269"/>
    </row>
    <row r="564" spans="1:18" s="285" customFormat="1" ht="39.6" customHeight="1" x14ac:dyDescent="0.25">
      <c r="A564" s="276"/>
      <c r="B564" s="276"/>
      <c r="C564" s="276"/>
      <c r="D564" s="277"/>
      <c r="E564" s="278"/>
      <c r="F564" s="279"/>
      <c r="G564" s="280"/>
      <c r="H564" s="281"/>
      <c r="I564" s="282"/>
      <c r="J564" s="281"/>
      <c r="K564" s="283"/>
      <c r="L564" s="284"/>
      <c r="M564" s="287"/>
      <c r="O564" s="286"/>
      <c r="P564" s="269"/>
      <c r="Q564" s="269"/>
      <c r="R564" s="269"/>
    </row>
    <row r="565" spans="1:18" s="285" customFormat="1" ht="39.6" customHeight="1" x14ac:dyDescent="0.25">
      <c r="A565" s="276"/>
      <c r="B565" s="276"/>
      <c r="C565" s="276"/>
      <c r="D565" s="277"/>
      <c r="E565" s="278"/>
      <c r="F565" s="279"/>
      <c r="G565" s="280"/>
      <c r="H565" s="281"/>
      <c r="I565" s="282"/>
      <c r="J565" s="281"/>
      <c r="K565" s="283"/>
      <c r="L565" s="284"/>
      <c r="M565" s="287"/>
      <c r="O565" s="286"/>
      <c r="P565" s="269"/>
      <c r="Q565" s="269"/>
      <c r="R565" s="269"/>
    </row>
    <row r="566" spans="1:18" s="285" customFormat="1" ht="39.6" customHeight="1" x14ac:dyDescent="0.25">
      <c r="A566" s="276"/>
      <c r="B566" s="276"/>
      <c r="C566" s="276"/>
      <c r="D566" s="277"/>
      <c r="E566" s="278"/>
      <c r="F566" s="279"/>
      <c r="G566" s="280"/>
      <c r="H566" s="281"/>
      <c r="I566" s="282"/>
      <c r="J566" s="281"/>
      <c r="K566" s="283"/>
      <c r="L566" s="284"/>
      <c r="M566" s="287"/>
      <c r="O566" s="286"/>
      <c r="P566" s="269"/>
      <c r="Q566" s="269"/>
      <c r="R566" s="269"/>
    </row>
    <row r="567" spans="1:18" s="285" customFormat="1" ht="39.6" customHeight="1" x14ac:dyDescent="0.25">
      <c r="A567" s="276"/>
      <c r="B567" s="276"/>
      <c r="C567" s="276"/>
      <c r="D567" s="277"/>
      <c r="E567" s="278"/>
      <c r="F567" s="279"/>
      <c r="G567" s="280"/>
      <c r="H567" s="281"/>
      <c r="I567" s="282"/>
      <c r="J567" s="281"/>
      <c r="K567" s="283"/>
      <c r="L567" s="284"/>
      <c r="M567" s="287"/>
      <c r="O567" s="286"/>
      <c r="P567" s="269"/>
      <c r="Q567" s="269"/>
      <c r="R567" s="269"/>
    </row>
    <row r="568" spans="1:18" s="285" customFormat="1" ht="39.6" customHeight="1" x14ac:dyDescent="0.25">
      <c r="A568" s="276"/>
      <c r="B568" s="276"/>
      <c r="C568" s="276"/>
      <c r="D568" s="277"/>
      <c r="E568" s="278"/>
      <c r="F568" s="279"/>
      <c r="G568" s="280"/>
      <c r="H568" s="281"/>
      <c r="I568" s="282"/>
      <c r="J568" s="281"/>
      <c r="K568" s="283"/>
      <c r="L568" s="284"/>
      <c r="M568" s="287"/>
      <c r="O568" s="286"/>
      <c r="P568" s="269"/>
      <c r="Q568" s="269"/>
      <c r="R568" s="269"/>
    </row>
    <row r="569" spans="1:18" s="285" customFormat="1" ht="39.6" customHeight="1" x14ac:dyDescent="0.25">
      <c r="A569" s="276"/>
      <c r="B569" s="276"/>
      <c r="C569" s="276"/>
      <c r="D569" s="277"/>
      <c r="E569" s="278"/>
      <c r="F569" s="279"/>
      <c r="G569" s="280"/>
      <c r="H569" s="281"/>
      <c r="I569" s="282"/>
      <c r="J569" s="281"/>
      <c r="K569" s="283"/>
      <c r="L569" s="284"/>
      <c r="M569" s="287"/>
      <c r="O569" s="286"/>
      <c r="P569" s="269"/>
      <c r="Q569" s="269"/>
      <c r="R569" s="269"/>
    </row>
    <row r="570" spans="1:18" s="285" customFormat="1" ht="39.6" customHeight="1" x14ac:dyDescent="0.25">
      <c r="A570" s="276"/>
      <c r="B570" s="276"/>
      <c r="C570" s="276"/>
      <c r="D570" s="277"/>
      <c r="E570" s="278"/>
      <c r="F570" s="279"/>
      <c r="G570" s="280"/>
      <c r="H570" s="281"/>
      <c r="I570" s="282"/>
      <c r="J570" s="281"/>
      <c r="K570" s="283"/>
      <c r="L570" s="284"/>
      <c r="M570" s="287"/>
      <c r="O570" s="286"/>
      <c r="P570" s="269"/>
      <c r="Q570" s="269"/>
      <c r="R570" s="269"/>
    </row>
    <row r="571" spans="1:18" s="285" customFormat="1" ht="39.6" customHeight="1" x14ac:dyDescent="0.25">
      <c r="A571" s="276"/>
      <c r="B571" s="276"/>
      <c r="C571" s="276"/>
      <c r="D571" s="277"/>
      <c r="E571" s="278"/>
      <c r="F571" s="279"/>
      <c r="G571" s="280"/>
      <c r="H571" s="281"/>
      <c r="I571" s="282"/>
      <c r="J571" s="281"/>
      <c r="K571" s="283"/>
      <c r="L571" s="284"/>
      <c r="M571" s="287"/>
      <c r="O571" s="286"/>
      <c r="P571" s="269"/>
      <c r="Q571" s="269"/>
      <c r="R571" s="269"/>
    </row>
    <row r="572" spans="1:18" s="285" customFormat="1" ht="39.6" customHeight="1" x14ac:dyDescent="0.25">
      <c r="A572" s="276"/>
      <c r="B572" s="276"/>
      <c r="C572" s="276"/>
      <c r="D572" s="277"/>
      <c r="E572" s="278"/>
      <c r="F572" s="279"/>
      <c r="G572" s="280"/>
      <c r="H572" s="281"/>
      <c r="I572" s="282"/>
      <c r="J572" s="281"/>
      <c r="K572" s="283"/>
      <c r="L572" s="284"/>
      <c r="M572" s="287"/>
      <c r="O572" s="286"/>
      <c r="P572" s="269"/>
      <c r="Q572" s="269"/>
      <c r="R572" s="269"/>
    </row>
    <row r="573" spans="1:18" s="285" customFormat="1" ht="39.6" customHeight="1" x14ac:dyDescent="0.25">
      <c r="A573" s="276"/>
      <c r="B573" s="276"/>
      <c r="C573" s="276"/>
      <c r="D573" s="277"/>
      <c r="E573" s="278"/>
      <c r="F573" s="279"/>
      <c r="G573" s="280"/>
      <c r="H573" s="281"/>
      <c r="I573" s="282"/>
      <c r="J573" s="281"/>
      <c r="K573" s="283"/>
      <c r="L573" s="284"/>
      <c r="M573" s="287"/>
      <c r="O573" s="286"/>
      <c r="P573" s="269"/>
      <c r="Q573" s="269"/>
      <c r="R573" s="269"/>
    </row>
    <row r="574" spans="1:18" s="285" customFormat="1" ht="39.6" customHeight="1" x14ac:dyDescent="0.25">
      <c r="A574" s="276"/>
      <c r="B574" s="276"/>
      <c r="C574" s="276"/>
      <c r="D574" s="277"/>
      <c r="E574" s="278"/>
      <c r="F574" s="279"/>
      <c r="G574" s="280"/>
      <c r="H574" s="281"/>
      <c r="I574" s="282"/>
      <c r="J574" s="281"/>
      <c r="K574" s="283"/>
      <c r="L574" s="284"/>
      <c r="M574" s="287"/>
      <c r="O574" s="286"/>
      <c r="P574" s="269"/>
      <c r="Q574" s="269"/>
      <c r="R574" s="269"/>
    </row>
    <row r="575" spans="1:18" s="285" customFormat="1" ht="39.6" customHeight="1" x14ac:dyDescent="0.25">
      <c r="A575" s="276"/>
      <c r="B575" s="276"/>
      <c r="C575" s="276"/>
      <c r="D575" s="277"/>
      <c r="E575" s="278"/>
      <c r="F575" s="279"/>
      <c r="G575" s="280"/>
      <c r="H575" s="281"/>
      <c r="I575" s="282"/>
      <c r="J575" s="281"/>
      <c r="K575" s="283"/>
      <c r="L575" s="284"/>
      <c r="M575" s="287"/>
      <c r="O575" s="286"/>
      <c r="P575" s="269"/>
      <c r="Q575" s="269"/>
      <c r="R575" s="269"/>
    </row>
    <row r="576" spans="1:18" s="285" customFormat="1" ht="39.6" customHeight="1" x14ac:dyDescent="0.25">
      <c r="A576" s="276"/>
      <c r="B576" s="276"/>
      <c r="C576" s="276"/>
      <c r="D576" s="277"/>
      <c r="E576" s="278"/>
      <c r="F576" s="279"/>
      <c r="G576" s="280"/>
      <c r="H576" s="281"/>
      <c r="I576" s="282"/>
      <c r="J576" s="281"/>
      <c r="K576" s="283"/>
      <c r="L576" s="284"/>
      <c r="M576" s="287"/>
      <c r="O576" s="286"/>
      <c r="P576" s="269"/>
      <c r="Q576" s="269"/>
      <c r="R576" s="269"/>
    </row>
    <row r="577" spans="1:18" s="285" customFormat="1" ht="39.6" customHeight="1" x14ac:dyDescent="0.25">
      <c r="A577" s="276"/>
      <c r="B577" s="276"/>
      <c r="C577" s="276"/>
      <c r="D577" s="277"/>
      <c r="E577" s="278"/>
      <c r="F577" s="279"/>
      <c r="G577" s="280"/>
      <c r="H577" s="281"/>
      <c r="I577" s="282"/>
      <c r="J577" s="281"/>
      <c r="K577" s="283"/>
      <c r="L577" s="284"/>
      <c r="M577" s="287"/>
      <c r="O577" s="286"/>
      <c r="P577" s="269"/>
      <c r="Q577" s="269"/>
      <c r="R577" s="269"/>
    </row>
    <row r="578" spans="1:18" s="285" customFormat="1" ht="39.6" customHeight="1" x14ac:dyDescent="0.25">
      <c r="A578" s="276"/>
      <c r="B578" s="276"/>
      <c r="C578" s="276"/>
      <c r="D578" s="277"/>
      <c r="E578" s="278"/>
      <c r="F578" s="279"/>
      <c r="G578" s="280"/>
      <c r="H578" s="281"/>
      <c r="I578" s="282"/>
      <c r="J578" s="281"/>
      <c r="K578" s="283"/>
      <c r="L578" s="284"/>
      <c r="M578" s="287"/>
      <c r="O578" s="286"/>
      <c r="P578" s="269"/>
      <c r="Q578" s="269"/>
      <c r="R578" s="269"/>
    </row>
    <row r="579" spans="1:18" s="285" customFormat="1" ht="39.6" customHeight="1" x14ac:dyDescent="0.25">
      <c r="A579" s="276"/>
      <c r="B579" s="276"/>
      <c r="C579" s="276"/>
      <c r="D579" s="277"/>
      <c r="E579" s="278"/>
      <c r="F579" s="279"/>
      <c r="G579" s="280"/>
      <c r="H579" s="281"/>
      <c r="I579" s="282"/>
      <c r="J579" s="281"/>
      <c r="K579" s="283"/>
      <c r="L579" s="284"/>
      <c r="M579" s="287"/>
      <c r="O579" s="286"/>
      <c r="P579" s="269"/>
      <c r="Q579" s="269"/>
      <c r="R579" s="269"/>
    </row>
    <row r="580" spans="1:18" s="285" customFormat="1" ht="39.6" customHeight="1" x14ac:dyDescent="0.25">
      <c r="A580" s="276"/>
      <c r="B580" s="276"/>
      <c r="C580" s="276"/>
      <c r="D580" s="277"/>
      <c r="E580" s="278"/>
      <c r="F580" s="279"/>
      <c r="G580" s="280"/>
      <c r="H580" s="281"/>
      <c r="I580" s="282"/>
      <c r="J580" s="281"/>
      <c r="K580" s="283"/>
      <c r="L580" s="284"/>
      <c r="M580" s="287"/>
      <c r="O580" s="286"/>
      <c r="P580" s="269"/>
      <c r="Q580" s="269"/>
      <c r="R580" s="269"/>
    </row>
    <row r="581" spans="1:18" s="285" customFormat="1" ht="39.6" customHeight="1" x14ac:dyDescent="0.25">
      <c r="A581" s="276"/>
      <c r="B581" s="276"/>
      <c r="C581" s="276"/>
      <c r="D581" s="277"/>
      <c r="E581" s="278"/>
      <c r="F581" s="279"/>
      <c r="G581" s="280"/>
      <c r="H581" s="281"/>
      <c r="I581" s="282"/>
      <c r="J581" s="281"/>
      <c r="K581" s="283"/>
      <c r="L581" s="284"/>
      <c r="M581" s="287"/>
      <c r="O581" s="286"/>
      <c r="P581" s="269"/>
      <c r="Q581" s="269"/>
      <c r="R581" s="269"/>
    </row>
    <row r="582" spans="1:18" s="285" customFormat="1" ht="39.6" customHeight="1" x14ac:dyDescent="0.25">
      <c r="A582" s="276"/>
      <c r="B582" s="276"/>
      <c r="C582" s="276"/>
      <c r="D582" s="277"/>
      <c r="E582" s="278"/>
      <c r="F582" s="279"/>
      <c r="G582" s="280"/>
      <c r="H582" s="281"/>
      <c r="I582" s="282"/>
      <c r="J582" s="281"/>
      <c r="K582" s="283"/>
      <c r="L582" s="284"/>
      <c r="M582" s="287"/>
      <c r="O582" s="286"/>
      <c r="P582" s="269"/>
      <c r="Q582" s="269"/>
      <c r="R582" s="269"/>
    </row>
    <row r="583" spans="1:18" s="285" customFormat="1" ht="39.6" customHeight="1" x14ac:dyDescent="0.25">
      <c r="A583" s="276"/>
      <c r="B583" s="276"/>
      <c r="C583" s="276"/>
      <c r="D583" s="277"/>
      <c r="E583" s="278"/>
      <c r="F583" s="279"/>
      <c r="G583" s="280"/>
      <c r="H583" s="281"/>
      <c r="I583" s="282"/>
      <c r="J583" s="281"/>
      <c r="K583" s="283"/>
      <c r="L583" s="284"/>
      <c r="M583" s="287"/>
      <c r="O583" s="286"/>
      <c r="P583" s="269"/>
      <c r="Q583" s="269"/>
      <c r="R583" s="269"/>
    </row>
    <row r="584" spans="1:18" s="285" customFormat="1" ht="39.6" customHeight="1" x14ac:dyDescent="0.25">
      <c r="A584" s="276"/>
      <c r="B584" s="276"/>
      <c r="C584" s="276"/>
      <c r="D584" s="277"/>
      <c r="E584" s="278"/>
      <c r="F584" s="279"/>
      <c r="G584" s="280"/>
      <c r="H584" s="281"/>
      <c r="I584" s="282"/>
      <c r="J584" s="281"/>
      <c r="K584" s="283"/>
      <c r="L584" s="284"/>
      <c r="M584" s="287"/>
      <c r="O584" s="286"/>
      <c r="P584" s="269"/>
      <c r="Q584" s="269"/>
      <c r="R584" s="269"/>
    </row>
    <row r="585" spans="1:18" s="285" customFormat="1" ht="39.6" customHeight="1" x14ac:dyDescent="0.25">
      <c r="A585" s="276"/>
      <c r="B585" s="276"/>
      <c r="C585" s="276"/>
      <c r="D585" s="277"/>
      <c r="E585" s="278"/>
      <c r="F585" s="279"/>
      <c r="G585" s="280"/>
      <c r="H585" s="281"/>
      <c r="I585" s="282"/>
      <c r="J585" s="281"/>
      <c r="K585" s="283"/>
      <c r="L585" s="284"/>
      <c r="M585" s="287"/>
      <c r="O585" s="286"/>
      <c r="P585" s="269"/>
      <c r="Q585" s="269"/>
      <c r="R585" s="269"/>
    </row>
    <row r="586" spans="1:18" s="285" customFormat="1" ht="39.6" customHeight="1" x14ac:dyDescent="0.25">
      <c r="A586" s="276"/>
      <c r="B586" s="276"/>
      <c r="C586" s="276"/>
      <c r="D586" s="277"/>
      <c r="E586" s="278"/>
      <c r="F586" s="279"/>
      <c r="G586" s="280"/>
      <c r="H586" s="281"/>
      <c r="I586" s="282"/>
      <c r="J586" s="281"/>
      <c r="K586" s="283"/>
      <c r="L586" s="284"/>
      <c r="M586" s="287"/>
      <c r="O586" s="286"/>
      <c r="P586" s="269"/>
      <c r="Q586" s="269"/>
      <c r="R586" s="269"/>
    </row>
    <row r="587" spans="1:18" s="285" customFormat="1" ht="39.6" customHeight="1" x14ac:dyDescent="0.25">
      <c r="A587" s="276"/>
      <c r="B587" s="276"/>
      <c r="C587" s="276"/>
      <c r="D587" s="277"/>
      <c r="E587" s="278"/>
      <c r="F587" s="279"/>
      <c r="G587" s="280"/>
      <c r="H587" s="281"/>
      <c r="I587" s="282"/>
      <c r="J587" s="281"/>
      <c r="K587" s="283"/>
      <c r="L587" s="284"/>
      <c r="M587" s="287"/>
      <c r="O587" s="286"/>
      <c r="P587" s="269"/>
      <c r="Q587" s="269"/>
      <c r="R587" s="269"/>
    </row>
    <row r="588" spans="1:18" s="285" customFormat="1" ht="39.6" customHeight="1" x14ac:dyDescent="0.25">
      <c r="A588" s="276"/>
      <c r="B588" s="276"/>
      <c r="C588" s="276"/>
      <c r="D588" s="277"/>
      <c r="E588" s="278"/>
      <c r="F588" s="279"/>
      <c r="G588" s="280"/>
      <c r="H588" s="281"/>
      <c r="I588" s="282"/>
      <c r="J588" s="281"/>
      <c r="K588" s="283"/>
      <c r="L588" s="284"/>
      <c r="M588" s="287"/>
      <c r="O588" s="286"/>
      <c r="P588" s="269"/>
      <c r="Q588" s="269"/>
      <c r="R588" s="269"/>
    </row>
    <row r="589" spans="1:18" s="285" customFormat="1" ht="39.6" customHeight="1" x14ac:dyDescent="0.25">
      <c r="A589" s="276"/>
      <c r="B589" s="276"/>
      <c r="C589" s="276"/>
      <c r="D589" s="277"/>
      <c r="E589" s="278"/>
      <c r="F589" s="279"/>
      <c r="G589" s="280"/>
      <c r="H589" s="281"/>
      <c r="I589" s="282"/>
      <c r="J589" s="281"/>
      <c r="K589" s="283"/>
      <c r="L589" s="284"/>
      <c r="M589" s="287"/>
      <c r="O589" s="286"/>
      <c r="P589" s="269"/>
      <c r="Q589" s="269"/>
      <c r="R589" s="269"/>
    </row>
    <row r="590" spans="1:18" s="285" customFormat="1" ht="39.6" customHeight="1" x14ac:dyDescent="0.25">
      <c r="A590" s="276"/>
      <c r="B590" s="276"/>
      <c r="C590" s="276"/>
      <c r="D590" s="277"/>
      <c r="E590" s="278"/>
      <c r="F590" s="279"/>
      <c r="G590" s="280"/>
      <c r="H590" s="281"/>
      <c r="I590" s="282"/>
      <c r="J590" s="281"/>
      <c r="K590" s="283"/>
      <c r="L590" s="284"/>
      <c r="M590" s="287"/>
      <c r="O590" s="286"/>
      <c r="P590" s="269"/>
      <c r="Q590" s="269"/>
      <c r="R590" s="269"/>
    </row>
    <row r="591" spans="1:18" s="285" customFormat="1" ht="39.6" customHeight="1" x14ac:dyDescent="0.25">
      <c r="A591" s="276"/>
      <c r="B591" s="276"/>
      <c r="C591" s="276"/>
      <c r="D591" s="277"/>
      <c r="E591" s="278"/>
      <c r="F591" s="279"/>
      <c r="G591" s="280"/>
      <c r="H591" s="281"/>
      <c r="I591" s="282"/>
      <c r="J591" s="281"/>
      <c r="K591" s="283"/>
      <c r="L591" s="284"/>
      <c r="M591" s="287"/>
      <c r="O591" s="286"/>
      <c r="P591" s="269"/>
      <c r="Q591" s="269"/>
      <c r="R591" s="269"/>
    </row>
    <row r="592" spans="1:18" s="285" customFormat="1" ht="39.6" customHeight="1" x14ac:dyDescent="0.25">
      <c r="A592" s="276"/>
      <c r="B592" s="276"/>
      <c r="C592" s="276"/>
      <c r="D592" s="277"/>
      <c r="E592" s="278"/>
      <c r="F592" s="279"/>
      <c r="G592" s="280"/>
      <c r="H592" s="281"/>
      <c r="I592" s="282"/>
      <c r="J592" s="281"/>
      <c r="K592" s="283"/>
      <c r="L592" s="284"/>
      <c r="M592" s="287"/>
      <c r="O592" s="286"/>
      <c r="P592" s="269"/>
      <c r="Q592" s="269"/>
      <c r="R592" s="269"/>
    </row>
    <row r="593" spans="1:18" s="285" customFormat="1" ht="39.6" customHeight="1" x14ac:dyDescent="0.25">
      <c r="A593" s="276"/>
      <c r="B593" s="276"/>
      <c r="C593" s="276"/>
      <c r="D593" s="277"/>
      <c r="E593" s="278"/>
      <c r="F593" s="279"/>
      <c r="G593" s="280"/>
      <c r="H593" s="281"/>
      <c r="I593" s="282"/>
      <c r="J593" s="281"/>
      <c r="K593" s="283"/>
      <c r="L593" s="284"/>
      <c r="M593" s="287"/>
      <c r="O593" s="286"/>
      <c r="P593" s="269"/>
      <c r="Q593" s="269"/>
      <c r="R593" s="269"/>
    </row>
    <row r="594" spans="1:18" s="285" customFormat="1" ht="39.6" customHeight="1" x14ac:dyDescent="0.25">
      <c r="A594" s="276"/>
      <c r="B594" s="276"/>
      <c r="C594" s="276"/>
      <c r="D594" s="277"/>
      <c r="E594" s="278"/>
      <c r="F594" s="279"/>
      <c r="G594" s="280"/>
      <c r="H594" s="281"/>
      <c r="I594" s="282"/>
      <c r="J594" s="281"/>
      <c r="K594" s="283"/>
      <c r="L594" s="284"/>
      <c r="M594" s="287"/>
      <c r="O594" s="286"/>
      <c r="P594" s="269"/>
      <c r="Q594" s="269"/>
      <c r="R594" s="269"/>
    </row>
    <row r="595" spans="1:18" s="285" customFormat="1" ht="39.6" customHeight="1" x14ac:dyDescent="0.25">
      <c r="A595" s="276"/>
      <c r="B595" s="276"/>
      <c r="C595" s="276"/>
      <c r="D595" s="277"/>
      <c r="E595" s="278"/>
      <c r="F595" s="279"/>
      <c r="G595" s="280"/>
      <c r="H595" s="281"/>
      <c r="I595" s="282"/>
      <c r="J595" s="281"/>
      <c r="K595" s="283"/>
      <c r="L595" s="284"/>
      <c r="M595" s="287"/>
      <c r="O595" s="286"/>
      <c r="P595" s="269"/>
      <c r="Q595" s="269"/>
      <c r="R595" s="269"/>
    </row>
    <row r="596" spans="1:18" s="285" customFormat="1" ht="39.6" customHeight="1" x14ac:dyDescent="0.25">
      <c r="A596" s="276"/>
      <c r="B596" s="276"/>
      <c r="C596" s="276"/>
      <c r="D596" s="277"/>
      <c r="E596" s="278"/>
      <c r="F596" s="279"/>
      <c r="G596" s="280"/>
      <c r="H596" s="281"/>
      <c r="I596" s="282"/>
      <c r="J596" s="281"/>
      <c r="K596" s="283"/>
      <c r="L596" s="284"/>
      <c r="M596" s="287"/>
      <c r="O596" s="286"/>
      <c r="P596" s="269"/>
      <c r="Q596" s="269"/>
      <c r="R596" s="269"/>
    </row>
    <row r="597" spans="1:18" s="285" customFormat="1" ht="39.6" customHeight="1" x14ac:dyDescent="0.25">
      <c r="A597" s="276"/>
      <c r="B597" s="276"/>
      <c r="C597" s="276"/>
      <c r="D597" s="277"/>
      <c r="E597" s="278"/>
      <c r="F597" s="279"/>
      <c r="G597" s="280"/>
      <c r="H597" s="281"/>
      <c r="I597" s="282"/>
      <c r="J597" s="281"/>
      <c r="K597" s="283"/>
      <c r="L597" s="284"/>
      <c r="M597" s="287"/>
      <c r="O597" s="286"/>
      <c r="P597" s="269"/>
      <c r="Q597" s="269"/>
      <c r="R597" s="269"/>
    </row>
    <row r="598" spans="1:18" s="285" customFormat="1" ht="39.6" customHeight="1" x14ac:dyDescent="0.25">
      <c r="A598" s="276"/>
      <c r="B598" s="276"/>
      <c r="C598" s="276"/>
      <c r="D598" s="277"/>
      <c r="E598" s="278"/>
      <c r="F598" s="279"/>
      <c r="G598" s="280"/>
      <c r="H598" s="281"/>
      <c r="I598" s="282"/>
      <c r="J598" s="281"/>
      <c r="K598" s="283"/>
      <c r="L598" s="284"/>
      <c r="M598" s="287"/>
      <c r="O598" s="286"/>
      <c r="P598" s="269"/>
      <c r="Q598" s="269"/>
      <c r="R598" s="269"/>
    </row>
    <row r="599" spans="1:18" s="285" customFormat="1" ht="39.6" customHeight="1" x14ac:dyDescent="0.25">
      <c r="A599" s="276"/>
      <c r="B599" s="276"/>
      <c r="C599" s="276"/>
      <c r="D599" s="277"/>
      <c r="E599" s="278"/>
      <c r="F599" s="279"/>
      <c r="G599" s="280"/>
      <c r="H599" s="281"/>
      <c r="I599" s="282"/>
      <c r="J599" s="281"/>
      <c r="K599" s="283"/>
      <c r="L599" s="284"/>
      <c r="M599" s="287"/>
      <c r="O599" s="286"/>
      <c r="P599" s="269"/>
      <c r="Q599" s="269"/>
      <c r="R599" s="269"/>
    </row>
    <row r="600" spans="1:18" s="285" customFormat="1" ht="39.6" customHeight="1" x14ac:dyDescent="0.25">
      <c r="A600" s="276"/>
      <c r="B600" s="276"/>
      <c r="C600" s="276"/>
      <c r="D600" s="277"/>
      <c r="E600" s="278"/>
      <c r="F600" s="279"/>
      <c r="G600" s="280"/>
      <c r="H600" s="281"/>
      <c r="I600" s="282"/>
      <c r="J600" s="281"/>
      <c r="K600" s="283"/>
      <c r="L600" s="284"/>
      <c r="M600" s="287"/>
      <c r="O600" s="286"/>
      <c r="P600" s="269"/>
      <c r="Q600" s="269"/>
      <c r="R600" s="269"/>
    </row>
    <row r="601" spans="1:18" s="285" customFormat="1" ht="39.6" customHeight="1" x14ac:dyDescent="0.25">
      <c r="A601" s="276"/>
      <c r="B601" s="276"/>
      <c r="C601" s="276"/>
      <c r="D601" s="277"/>
      <c r="E601" s="278"/>
      <c r="F601" s="279"/>
      <c r="G601" s="280"/>
      <c r="H601" s="281"/>
      <c r="I601" s="282"/>
      <c r="J601" s="281"/>
      <c r="K601" s="283"/>
      <c r="L601" s="284"/>
      <c r="M601" s="287"/>
      <c r="O601" s="286"/>
      <c r="P601" s="269"/>
      <c r="Q601" s="269"/>
      <c r="R601" s="269"/>
    </row>
    <row r="602" spans="1:18" s="285" customFormat="1" ht="39.6" customHeight="1" x14ac:dyDescent="0.25">
      <c r="A602" s="276"/>
      <c r="B602" s="276"/>
      <c r="C602" s="276"/>
      <c r="D602" s="277"/>
      <c r="E602" s="278"/>
      <c r="F602" s="279"/>
      <c r="G602" s="280"/>
      <c r="H602" s="281"/>
      <c r="I602" s="282"/>
      <c r="J602" s="281"/>
      <c r="K602" s="283"/>
      <c r="L602" s="284"/>
      <c r="M602" s="287"/>
      <c r="O602" s="286"/>
      <c r="P602" s="269"/>
      <c r="Q602" s="269"/>
      <c r="R602" s="269"/>
    </row>
    <row r="603" spans="1:18" s="285" customFormat="1" ht="39.6" customHeight="1" x14ac:dyDescent="0.25">
      <c r="A603" s="276"/>
      <c r="B603" s="276"/>
      <c r="C603" s="276"/>
      <c r="D603" s="277"/>
      <c r="E603" s="278"/>
      <c r="F603" s="279"/>
      <c r="G603" s="280"/>
      <c r="H603" s="281"/>
      <c r="I603" s="282"/>
      <c r="J603" s="281"/>
      <c r="K603" s="283"/>
      <c r="L603" s="284"/>
      <c r="M603" s="287"/>
      <c r="O603" s="286"/>
      <c r="P603" s="269"/>
      <c r="Q603" s="269"/>
      <c r="R603" s="269"/>
    </row>
    <row r="604" spans="1:18" s="285" customFormat="1" ht="39.6" customHeight="1" x14ac:dyDescent="0.25">
      <c r="A604" s="276"/>
      <c r="B604" s="276"/>
      <c r="C604" s="276"/>
      <c r="D604" s="277"/>
      <c r="E604" s="278"/>
      <c r="F604" s="279"/>
      <c r="G604" s="280"/>
      <c r="H604" s="281"/>
      <c r="I604" s="282"/>
      <c r="J604" s="281"/>
      <c r="K604" s="283"/>
      <c r="L604" s="284"/>
      <c r="M604" s="287"/>
      <c r="O604" s="286"/>
      <c r="P604" s="269"/>
      <c r="Q604" s="269"/>
      <c r="R604" s="269"/>
    </row>
    <row r="605" spans="1:18" s="285" customFormat="1" ht="39.6" customHeight="1" x14ac:dyDescent="0.25">
      <c r="A605" s="276"/>
      <c r="B605" s="276"/>
      <c r="C605" s="276"/>
      <c r="D605" s="277"/>
      <c r="E605" s="278"/>
      <c r="F605" s="279"/>
      <c r="G605" s="280"/>
      <c r="H605" s="281"/>
      <c r="I605" s="282"/>
      <c r="J605" s="281"/>
      <c r="K605" s="283"/>
      <c r="L605" s="284"/>
      <c r="M605" s="287"/>
      <c r="O605" s="286"/>
      <c r="P605" s="269"/>
      <c r="Q605" s="269"/>
      <c r="R605" s="269"/>
    </row>
    <row r="606" spans="1:18" s="285" customFormat="1" ht="39.6" customHeight="1" x14ac:dyDescent="0.25">
      <c r="A606" s="276"/>
      <c r="B606" s="276"/>
      <c r="C606" s="276"/>
      <c r="D606" s="277"/>
      <c r="E606" s="278"/>
      <c r="F606" s="279"/>
      <c r="G606" s="280"/>
      <c r="H606" s="281"/>
      <c r="I606" s="282"/>
      <c r="J606" s="281"/>
      <c r="K606" s="283"/>
      <c r="L606" s="284"/>
      <c r="M606" s="287"/>
      <c r="O606" s="286"/>
      <c r="P606" s="269"/>
      <c r="Q606" s="269"/>
      <c r="R606" s="269"/>
    </row>
    <row r="607" spans="1:18" s="285" customFormat="1" ht="39.6" customHeight="1" x14ac:dyDescent="0.25">
      <c r="A607" s="276"/>
      <c r="B607" s="276"/>
      <c r="C607" s="276"/>
      <c r="D607" s="277"/>
      <c r="E607" s="278"/>
      <c r="F607" s="279"/>
      <c r="G607" s="280"/>
      <c r="H607" s="281"/>
      <c r="I607" s="282"/>
      <c r="J607" s="281"/>
      <c r="K607" s="283"/>
      <c r="L607" s="284"/>
      <c r="M607" s="287"/>
      <c r="O607" s="286"/>
      <c r="P607" s="269"/>
      <c r="Q607" s="269"/>
      <c r="R607" s="269"/>
    </row>
    <row r="608" spans="1:18" s="285" customFormat="1" ht="39.6" customHeight="1" x14ac:dyDescent="0.25">
      <c r="A608" s="276"/>
      <c r="B608" s="276"/>
      <c r="C608" s="276"/>
      <c r="D608" s="277"/>
      <c r="E608" s="278"/>
      <c r="F608" s="279"/>
      <c r="G608" s="280"/>
      <c r="H608" s="281"/>
      <c r="I608" s="282"/>
      <c r="J608" s="281"/>
      <c r="K608" s="283"/>
      <c r="L608" s="284"/>
      <c r="M608" s="287"/>
      <c r="O608" s="286"/>
      <c r="P608" s="269"/>
      <c r="Q608" s="269"/>
      <c r="R608" s="269"/>
    </row>
    <row r="609" spans="1:18" s="285" customFormat="1" ht="39.6" customHeight="1" x14ac:dyDescent="0.25">
      <c r="A609" s="276"/>
      <c r="B609" s="276"/>
      <c r="C609" s="276"/>
      <c r="D609" s="277"/>
      <c r="E609" s="278"/>
      <c r="F609" s="279"/>
      <c r="G609" s="280"/>
      <c r="H609" s="281"/>
      <c r="I609" s="282"/>
      <c r="J609" s="281"/>
      <c r="K609" s="283"/>
      <c r="L609" s="284"/>
      <c r="M609" s="287"/>
      <c r="O609" s="286"/>
      <c r="P609" s="269"/>
      <c r="Q609" s="269"/>
      <c r="R609" s="269"/>
    </row>
    <row r="610" spans="1:18" s="285" customFormat="1" ht="39.6" customHeight="1" x14ac:dyDescent="0.25">
      <c r="A610" s="276"/>
      <c r="B610" s="276"/>
      <c r="C610" s="276"/>
      <c r="D610" s="277"/>
      <c r="E610" s="278"/>
      <c r="F610" s="279"/>
      <c r="G610" s="280"/>
      <c r="H610" s="281"/>
      <c r="I610" s="282"/>
      <c r="J610" s="281"/>
      <c r="K610" s="283"/>
      <c r="L610" s="284"/>
      <c r="M610" s="287"/>
      <c r="O610" s="286"/>
      <c r="P610" s="269"/>
      <c r="Q610" s="269"/>
      <c r="R610" s="269"/>
    </row>
    <row r="611" spans="1:18" s="285" customFormat="1" ht="39.6" customHeight="1" x14ac:dyDescent="0.25">
      <c r="A611" s="276"/>
      <c r="B611" s="276"/>
      <c r="C611" s="276"/>
      <c r="D611" s="277"/>
      <c r="E611" s="278"/>
      <c r="F611" s="279"/>
      <c r="G611" s="280"/>
      <c r="H611" s="281"/>
      <c r="I611" s="282"/>
      <c r="J611" s="281"/>
      <c r="K611" s="283"/>
      <c r="L611" s="284"/>
      <c r="M611" s="287"/>
      <c r="O611" s="286"/>
      <c r="P611" s="269"/>
      <c r="Q611" s="269"/>
      <c r="R611" s="269"/>
    </row>
    <row r="612" spans="1:18" s="285" customFormat="1" ht="39.6" customHeight="1" x14ac:dyDescent="0.25">
      <c r="A612" s="276"/>
      <c r="B612" s="276"/>
      <c r="C612" s="276"/>
      <c r="D612" s="277"/>
      <c r="E612" s="278"/>
      <c r="F612" s="279"/>
      <c r="G612" s="280"/>
      <c r="H612" s="281"/>
      <c r="I612" s="282"/>
      <c r="J612" s="281"/>
      <c r="K612" s="283"/>
      <c r="L612" s="284"/>
      <c r="M612" s="287"/>
      <c r="O612" s="286"/>
      <c r="P612" s="269"/>
      <c r="Q612" s="269"/>
      <c r="R612" s="269"/>
    </row>
    <row r="613" spans="1:18" s="285" customFormat="1" ht="39.6" customHeight="1" x14ac:dyDescent="0.25">
      <c r="A613" s="276"/>
      <c r="B613" s="276"/>
      <c r="C613" s="276"/>
      <c r="D613" s="277"/>
      <c r="E613" s="278"/>
      <c r="F613" s="279"/>
      <c r="G613" s="280"/>
      <c r="H613" s="281"/>
      <c r="I613" s="282"/>
      <c r="J613" s="281"/>
      <c r="K613" s="283"/>
      <c r="L613" s="284"/>
      <c r="M613" s="287"/>
      <c r="O613" s="286"/>
      <c r="P613" s="269"/>
      <c r="Q613" s="269"/>
      <c r="R613" s="269"/>
    </row>
    <row r="614" spans="1:18" s="285" customFormat="1" ht="39.6" customHeight="1" x14ac:dyDescent="0.25">
      <c r="A614" s="276"/>
      <c r="B614" s="276"/>
      <c r="C614" s="276"/>
      <c r="D614" s="277"/>
      <c r="E614" s="278"/>
      <c r="F614" s="279"/>
      <c r="G614" s="280"/>
      <c r="H614" s="281"/>
      <c r="I614" s="282"/>
      <c r="J614" s="281"/>
      <c r="K614" s="283"/>
      <c r="L614" s="284"/>
      <c r="M614" s="287"/>
      <c r="O614" s="286"/>
      <c r="P614" s="269"/>
      <c r="Q614" s="269"/>
      <c r="R614" s="269"/>
    </row>
    <row r="615" spans="1:18" s="285" customFormat="1" ht="39.6" customHeight="1" x14ac:dyDescent="0.25">
      <c r="A615" s="276"/>
      <c r="B615" s="276"/>
      <c r="C615" s="276"/>
      <c r="D615" s="277"/>
      <c r="E615" s="278"/>
      <c r="F615" s="279"/>
      <c r="G615" s="280"/>
      <c r="H615" s="281"/>
      <c r="I615" s="282"/>
      <c r="J615" s="281"/>
      <c r="K615" s="283"/>
      <c r="L615" s="284"/>
      <c r="M615" s="287"/>
      <c r="O615" s="286"/>
      <c r="P615" s="269"/>
      <c r="Q615" s="269"/>
      <c r="R615" s="269"/>
    </row>
    <row r="616" spans="1:18" s="285" customFormat="1" ht="39.6" customHeight="1" x14ac:dyDescent="0.25">
      <c r="A616" s="276"/>
      <c r="B616" s="276"/>
      <c r="C616" s="276"/>
      <c r="D616" s="277"/>
      <c r="E616" s="278"/>
      <c r="F616" s="279"/>
      <c r="G616" s="280"/>
      <c r="H616" s="281"/>
      <c r="I616" s="282"/>
      <c r="J616" s="281"/>
      <c r="K616" s="283"/>
      <c r="L616" s="284"/>
      <c r="M616" s="287"/>
      <c r="O616" s="286"/>
      <c r="P616" s="269"/>
      <c r="Q616" s="269"/>
      <c r="R616" s="269"/>
    </row>
    <row r="617" spans="1:18" s="285" customFormat="1" ht="39.6" customHeight="1" x14ac:dyDescent="0.25">
      <c r="A617" s="276"/>
      <c r="B617" s="276"/>
      <c r="C617" s="276"/>
      <c r="D617" s="277"/>
      <c r="E617" s="278"/>
      <c r="F617" s="279"/>
      <c r="G617" s="280"/>
      <c r="H617" s="281"/>
      <c r="I617" s="282"/>
      <c r="J617" s="281"/>
      <c r="K617" s="283"/>
      <c r="L617" s="284"/>
      <c r="M617" s="287"/>
      <c r="O617" s="286"/>
      <c r="P617" s="269"/>
      <c r="Q617" s="269"/>
      <c r="R617" s="269"/>
    </row>
    <row r="618" spans="1:18" s="285" customFormat="1" ht="39.6" customHeight="1" x14ac:dyDescent="0.25">
      <c r="A618" s="276"/>
      <c r="B618" s="276"/>
      <c r="C618" s="276"/>
      <c r="D618" s="277"/>
      <c r="E618" s="278"/>
      <c r="F618" s="279"/>
      <c r="G618" s="280"/>
      <c r="H618" s="281"/>
      <c r="I618" s="282"/>
      <c r="J618" s="281"/>
      <c r="K618" s="283"/>
      <c r="L618" s="284"/>
      <c r="M618" s="287"/>
      <c r="O618" s="286"/>
      <c r="P618" s="269"/>
      <c r="Q618" s="269"/>
      <c r="R618" s="269"/>
    </row>
    <row r="619" spans="1:18" s="285" customFormat="1" ht="39.6" customHeight="1" x14ac:dyDescent="0.25">
      <c r="A619" s="276"/>
      <c r="B619" s="276"/>
      <c r="C619" s="276"/>
      <c r="D619" s="277"/>
      <c r="E619" s="278"/>
      <c r="F619" s="279"/>
      <c r="G619" s="280"/>
      <c r="H619" s="281"/>
      <c r="I619" s="282"/>
      <c r="J619" s="281"/>
      <c r="K619" s="283"/>
      <c r="L619" s="284"/>
      <c r="M619" s="287"/>
      <c r="O619" s="286"/>
      <c r="P619" s="269"/>
      <c r="Q619" s="269"/>
      <c r="R619" s="269"/>
    </row>
    <row r="620" spans="1:18" s="285" customFormat="1" ht="39.6" customHeight="1" x14ac:dyDescent="0.25">
      <c r="A620" s="276"/>
      <c r="B620" s="276"/>
      <c r="C620" s="276"/>
      <c r="D620" s="277"/>
      <c r="E620" s="278"/>
      <c r="F620" s="279"/>
      <c r="G620" s="280"/>
      <c r="H620" s="281"/>
      <c r="I620" s="282"/>
      <c r="J620" s="281"/>
      <c r="K620" s="283"/>
      <c r="L620" s="284"/>
      <c r="M620" s="287"/>
      <c r="O620" s="286"/>
      <c r="P620" s="269"/>
      <c r="Q620" s="269"/>
      <c r="R620" s="269"/>
    </row>
    <row r="621" spans="1:18" s="285" customFormat="1" ht="39.6" customHeight="1" x14ac:dyDescent="0.25">
      <c r="A621" s="276"/>
      <c r="B621" s="276"/>
      <c r="C621" s="276"/>
      <c r="D621" s="277"/>
      <c r="E621" s="278"/>
      <c r="F621" s="279"/>
      <c r="G621" s="280"/>
      <c r="H621" s="281"/>
      <c r="I621" s="282"/>
      <c r="J621" s="281"/>
      <c r="K621" s="283"/>
      <c r="L621" s="284"/>
      <c r="M621" s="287"/>
      <c r="O621" s="286"/>
      <c r="P621" s="269"/>
      <c r="Q621" s="269"/>
      <c r="R621" s="269"/>
    </row>
    <row r="622" spans="1:18" s="285" customFormat="1" ht="39.6" customHeight="1" x14ac:dyDescent="0.25">
      <c r="A622" s="276"/>
      <c r="B622" s="276"/>
      <c r="C622" s="276"/>
      <c r="D622" s="277"/>
      <c r="E622" s="278"/>
      <c r="F622" s="279"/>
      <c r="G622" s="280"/>
      <c r="H622" s="281"/>
      <c r="I622" s="282"/>
      <c r="J622" s="281"/>
      <c r="K622" s="283"/>
      <c r="L622" s="284"/>
      <c r="M622" s="287"/>
      <c r="O622" s="286"/>
      <c r="P622" s="269"/>
      <c r="Q622" s="269"/>
      <c r="R622" s="269"/>
    </row>
    <row r="623" spans="1:18" s="285" customFormat="1" ht="39.6" customHeight="1" x14ac:dyDescent="0.25">
      <c r="A623" s="276"/>
      <c r="B623" s="276"/>
      <c r="C623" s="276"/>
      <c r="D623" s="277"/>
      <c r="E623" s="278"/>
      <c r="F623" s="279"/>
      <c r="G623" s="280"/>
      <c r="H623" s="281"/>
      <c r="I623" s="282"/>
      <c r="J623" s="281"/>
      <c r="K623" s="283"/>
      <c r="L623" s="284"/>
      <c r="M623" s="287"/>
      <c r="O623" s="286"/>
      <c r="P623" s="269"/>
      <c r="Q623" s="269"/>
      <c r="R623" s="269"/>
    </row>
    <row r="624" spans="1:18" s="285" customFormat="1" ht="39.6" customHeight="1" x14ac:dyDescent="0.25">
      <c r="A624" s="276"/>
      <c r="B624" s="276"/>
      <c r="C624" s="276"/>
      <c r="D624" s="277"/>
      <c r="E624" s="278"/>
      <c r="F624" s="279"/>
      <c r="G624" s="280"/>
      <c r="H624" s="281"/>
      <c r="I624" s="282"/>
      <c r="J624" s="281"/>
      <c r="K624" s="283"/>
      <c r="L624" s="284"/>
      <c r="M624" s="287"/>
      <c r="O624" s="286"/>
      <c r="P624" s="269"/>
      <c r="Q624" s="269"/>
      <c r="R624" s="269"/>
    </row>
    <row r="625" spans="1:18" s="285" customFormat="1" ht="39.6" customHeight="1" x14ac:dyDescent="0.25">
      <c r="A625" s="276"/>
      <c r="B625" s="276"/>
      <c r="C625" s="276"/>
      <c r="D625" s="277"/>
      <c r="E625" s="278"/>
      <c r="F625" s="279"/>
      <c r="G625" s="280"/>
      <c r="H625" s="281"/>
      <c r="I625" s="282"/>
      <c r="J625" s="281"/>
      <c r="K625" s="283"/>
      <c r="L625" s="284"/>
      <c r="M625" s="287"/>
      <c r="O625" s="286"/>
      <c r="P625" s="269"/>
      <c r="Q625" s="269"/>
      <c r="R625" s="269"/>
    </row>
    <row r="626" spans="1:18" s="285" customFormat="1" ht="39.6" customHeight="1" x14ac:dyDescent="0.25">
      <c r="A626" s="276"/>
      <c r="B626" s="276"/>
      <c r="C626" s="276"/>
      <c r="D626" s="277"/>
      <c r="E626" s="278"/>
      <c r="F626" s="279"/>
      <c r="G626" s="280"/>
      <c r="H626" s="281"/>
      <c r="I626" s="282"/>
      <c r="J626" s="281"/>
      <c r="K626" s="283"/>
      <c r="L626" s="284"/>
      <c r="M626" s="287"/>
      <c r="O626" s="286"/>
      <c r="P626" s="269"/>
      <c r="Q626" s="269"/>
      <c r="R626" s="269"/>
    </row>
    <row r="627" spans="1:18" s="285" customFormat="1" ht="39.6" customHeight="1" x14ac:dyDescent="0.25">
      <c r="A627" s="276"/>
      <c r="B627" s="276"/>
      <c r="C627" s="276"/>
      <c r="D627" s="277"/>
      <c r="E627" s="278"/>
      <c r="F627" s="279"/>
      <c r="G627" s="280"/>
      <c r="H627" s="281"/>
      <c r="I627" s="282"/>
      <c r="J627" s="281"/>
      <c r="K627" s="283"/>
      <c r="L627" s="284"/>
      <c r="M627" s="287"/>
      <c r="O627" s="286"/>
      <c r="P627" s="269"/>
      <c r="Q627" s="269"/>
      <c r="R627" s="269"/>
    </row>
    <row r="628" spans="1:18" s="285" customFormat="1" ht="39.6" customHeight="1" x14ac:dyDescent="0.25">
      <c r="A628" s="276"/>
      <c r="B628" s="276"/>
      <c r="C628" s="276"/>
      <c r="D628" s="277"/>
      <c r="E628" s="278"/>
      <c r="F628" s="279"/>
      <c r="G628" s="280"/>
      <c r="H628" s="281"/>
      <c r="I628" s="282"/>
      <c r="J628" s="281"/>
      <c r="K628" s="283"/>
      <c r="L628" s="284"/>
      <c r="M628" s="287"/>
      <c r="O628" s="286"/>
      <c r="P628" s="269"/>
      <c r="Q628" s="269"/>
      <c r="R628" s="269"/>
    </row>
    <row r="629" spans="1:18" s="285" customFormat="1" ht="39.6" customHeight="1" x14ac:dyDescent="0.25">
      <c r="A629" s="276"/>
      <c r="B629" s="276"/>
      <c r="C629" s="276"/>
      <c r="D629" s="277"/>
      <c r="E629" s="278"/>
      <c r="F629" s="279"/>
      <c r="G629" s="280"/>
      <c r="H629" s="281"/>
      <c r="I629" s="282"/>
      <c r="J629" s="281"/>
      <c r="K629" s="283"/>
      <c r="L629" s="284"/>
      <c r="M629" s="287"/>
      <c r="O629" s="286"/>
      <c r="P629" s="269"/>
      <c r="Q629" s="269"/>
      <c r="R629" s="269"/>
    </row>
    <row r="630" spans="1:18" s="285" customFormat="1" ht="39.6" customHeight="1" x14ac:dyDescent="0.25">
      <c r="A630" s="276"/>
      <c r="B630" s="276"/>
      <c r="C630" s="276"/>
      <c r="D630" s="277"/>
      <c r="E630" s="278"/>
      <c r="F630" s="279"/>
      <c r="G630" s="280"/>
      <c r="H630" s="281"/>
      <c r="I630" s="282"/>
      <c r="J630" s="281"/>
      <c r="K630" s="283"/>
      <c r="L630" s="284"/>
      <c r="M630" s="287"/>
      <c r="O630" s="286"/>
      <c r="P630" s="269"/>
      <c r="Q630" s="269"/>
      <c r="R630" s="269"/>
    </row>
    <row r="631" spans="1:18" s="285" customFormat="1" ht="39.6" customHeight="1" x14ac:dyDescent="0.25">
      <c r="A631" s="276"/>
      <c r="B631" s="276"/>
      <c r="C631" s="276"/>
      <c r="D631" s="277"/>
      <c r="E631" s="278"/>
      <c r="F631" s="279"/>
      <c r="G631" s="280"/>
      <c r="H631" s="281"/>
      <c r="I631" s="282"/>
      <c r="J631" s="281"/>
      <c r="K631" s="283"/>
      <c r="L631" s="284"/>
      <c r="M631" s="287"/>
      <c r="O631" s="286"/>
      <c r="P631" s="269"/>
      <c r="Q631" s="269"/>
      <c r="R631" s="269"/>
    </row>
    <row r="632" spans="1:18" s="285" customFormat="1" ht="39.6" customHeight="1" x14ac:dyDescent="0.25">
      <c r="A632" s="276"/>
      <c r="B632" s="276"/>
      <c r="C632" s="276"/>
      <c r="D632" s="277"/>
      <c r="E632" s="278"/>
      <c r="F632" s="279"/>
      <c r="G632" s="280"/>
      <c r="H632" s="281"/>
      <c r="I632" s="282"/>
      <c r="J632" s="281"/>
      <c r="K632" s="283"/>
      <c r="L632" s="284"/>
      <c r="M632" s="287"/>
      <c r="O632" s="286"/>
      <c r="P632" s="269"/>
      <c r="Q632" s="269"/>
      <c r="R632" s="269"/>
    </row>
    <row r="633" spans="1:18" s="285" customFormat="1" ht="39.6" customHeight="1" x14ac:dyDescent="0.25">
      <c r="A633" s="276"/>
      <c r="B633" s="276"/>
      <c r="C633" s="276"/>
      <c r="D633" s="277"/>
      <c r="E633" s="278"/>
      <c r="F633" s="279"/>
      <c r="G633" s="280"/>
      <c r="H633" s="281"/>
      <c r="I633" s="282"/>
      <c r="J633" s="281"/>
      <c r="K633" s="283"/>
      <c r="L633" s="284"/>
      <c r="M633" s="287"/>
      <c r="O633" s="286"/>
      <c r="P633" s="269"/>
      <c r="Q633" s="269"/>
      <c r="R633" s="269"/>
    </row>
    <row r="634" spans="1:18" s="285" customFormat="1" ht="39.6" customHeight="1" x14ac:dyDescent="0.25">
      <c r="A634" s="276"/>
      <c r="B634" s="276"/>
      <c r="C634" s="276"/>
      <c r="D634" s="277"/>
      <c r="E634" s="278"/>
      <c r="F634" s="279"/>
      <c r="G634" s="280"/>
      <c r="H634" s="281"/>
      <c r="I634" s="282"/>
      <c r="J634" s="281"/>
      <c r="K634" s="283"/>
      <c r="L634" s="284"/>
      <c r="M634" s="287"/>
      <c r="O634" s="286"/>
      <c r="P634" s="269"/>
      <c r="Q634" s="269"/>
      <c r="R634" s="269"/>
    </row>
    <row r="635" spans="1:18" s="285" customFormat="1" ht="39.6" customHeight="1" x14ac:dyDescent="0.25">
      <c r="A635" s="276"/>
      <c r="B635" s="276"/>
      <c r="C635" s="276"/>
      <c r="D635" s="277"/>
      <c r="E635" s="278"/>
      <c r="F635" s="279"/>
      <c r="G635" s="280"/>
      <c r="H635" s="281"/>
      <c r="I635" s="282"/>
      <c r="J635" s="281"/>
      <c r="K635" s="283"/>
      <c r="L635" s="284"/>
      <c r="M635" s="287"/>
      <c r="O635" s="286"/>
      <c r="P635" s="269"/>
      <c r="Q635" s="269"/>
      <c r="R635" s="269"/>
    </row>
    <row r="636" spans="1:18" s="285" customFormat="1" ht="39.6" customHeight="1" x14ac:dyDescent="0.25">
      <c r="A636" s="276"/>
      <c r="B636" s="276"/>
      <c r="C636" s="276"/>
      <c r="D636" s="277"/>
      <c r="E636" s="278"/>
      <c r="F636" s="279"/>
      <c r="G636" s="280"/>
      <c r="H636" s="281"/>
      <c r="I636" s="282"/>
      <c r="J636" s="281"/>
      <c r="K636" s="283"/>
      <c r="L636" s="284"/>
      <c r="M636" s="287"/>
      <c r="O636" s="286"/>
      <c r="P636" s="269"/>
      <c r="Q636" s="269"/>
      <c r="R636" s="269"/>
    </row>
    <row r="637" spans="1:18" s="285" customFormat="1" ht="39.6" customHeight="1" x14ac:dyDescent="0.25">
      <c r="A637" s="276"/>
      <c r="B637" s="276"/>
      <c r="C637" s="276"/>
      <c r="D637" s="277"/>
      <c r="E637" s="278"/>
      <c r="F637" s="279"/>
      <c r="G637" s="280"/>
      <c r="H637" s="281"/>
      <c r="I637" s="282"/>
      <c r="J637" s="281"/>
      <c r="K637" s="283"/>
      <c r="L637" s="284"/>
      <c r="M637" s="287"/>
      <c r="O637" s="286"/>
      <c r="P637" s="269"/>
      <c r="Q637" s="269"/>
      <c r="R637" s="269"/>
    </row>
    <row r="638" spans="1:18" s="285" customFormat="1" ht="39.6" customHeight="1" x14ac:dyDescent="0.25">
      <c r="A638" s="276"/>
      <c r="B638" s="276"/>
      <c r="C638" s="276"/>
      <c r="D638" s="277"/>
      <c r="E638" s="278"/>
      <c r="F638" s="279"/>
      <c r="G638" s="280"/>
      <c r="H638" s="281"/>
      <c r="I638" s="282"/>
      <c r="J638" s="281"/>
      <c r="K638" s="283"/>
      <c r="L638" s="284"/>
      <c r="M638" s="287"/>
      <c r="O638" s="286"/>
      <c r="P638" s="269"/>
      <c r="Q638" s="269"/>
      <c r="R638" s="269"/>
    </row>
    <row r="639" spans="1:18" s="285" customFormat="1" ht="39.6" customHeight="1" x14ac:dyDescent="0.25">
      <c r="A639" s="276"/>
      <c r="B639" s="276"/>
      <c r="C639" s="276"/>
      <c r="D639" s="277"/>
      <c r="E639" s="278"/>
      <c r="F639" s="279"/>
      <c r="G639" s="280"/>
      <c r="H639" s="281"/>
      <c r="I639" s="282"/>
      <c r="J639" s="281"/>
      <c r="K639" s="283"/>
      <c r="L639" s="284"/>
      <c r="M639" s="287"/>
      <c r="O639" s="286"/>
      <c r="P639" s="269"/>
      <c r="Q639" s="269"/>
      <c r="R639" s="269"/>
    </row>
    <row r="640" spans="1:18" s="285" customFormat="1" ht="39.6" customHeight="1" x14ac:dyDescent="0.25">
      <c r="A640" s="276"/>
      <c r="B640" s="276"/>
      <c r="C640" s="276"/>
      <c r="D640" s="277"/>
      <c r="E640" s="278"/>
      <c r="F640" s="279"/>
      <c r="G640" s="280"/>
      <c r="H640" s="281"/>
      <c r="I640" s="282"/>
      <c r="J640" s="281"/>
      <c r="K640" s="283"/>
      <c r="L640" s="284"/>
      <c r="M640" s="287"/>
      <c r="O640" s="286"/>
      <c r="P640" s="269"/>
      <c r="Q640" s="269"/>
      <c r="R640" s="269"/>
    </row>
    <row r="641" spans="1:18" s="285" customFormat="1" ht="39.6" customHeight="1" x14ac:dyDescent="0.25">
      <c r="A641" s="276"/>
      <c r="B641" s="276"/>
      <c r="C641" s="276"/>
      <c r="D641" s="277"/>
      <c r="E641" s="278"/>
      <c r="F641" s="279"/>
      <c r="G641" s="280"/>
      <c r="H641" s="281"/>
      <c r="I641" s="282"/>
      <c r="J641" s="281"/>
      <c r="K641" s="283"/>
      <c r="L641" s="284"/>
      <c r="M641" s="287"/>
      <c r="O641" s="286"/>
      <c r="P641" s="269"/>
      <c r="Q641" s="269"/>
      <c r="R641" s="269"/>
    </row>
    <row r="642" spans="1:18" s="285" customFormat="1" ht="39.6" customHeight="1" x14ac:dyDescent="0.25">
      <c r="A642" s="276"/>
      <c r="B642" s="276"/>
      <c r="C642" s="276"/>
      <c r="D642" s="277"/>
      <c r="E642" s="278"/>
      <c r="F642" s="279"/>
      <c r="G642" s="280"/>
      <c r="H642" s="281"/>
      <c r="I642" s="282"/>
      <c r="J642" s="281"/>
      <c r="K642" s="283"/>
      <c r="L642" s="284"/>
      <c r="M642" s="287"/>
      <c r="O642" s="286"/>
      <c r="P642" s="269"/>
      <c r="Q642" s="269"/>
      <c r="R642" s="269"/>
    </row>
    <row r="643" spans="1:18" s="285" customFormat="1" ht="39.6" customHeight="1" x14ac:dyDescent="0.25">
      <c r="A643" s="276"/>
      <c r="B643" s="276"/>
      <c r="C643" s="276"/>
      <c r="D643" s="277"/>
      <c r="E643" s="278"/>
      <c r="F643" s="279"/>
      <c r="G643" s="280"/>
      <c r="H643" s="281"/>
      <c r="I643" s="282"/>
      <c r="J643" s="281"/>
      <c r="K643" s="283"/>
      <c r="L643" s="284"/>
      <c r="M643" s="287"/>
      <c r="O643" s="286"/>
      <c r="P643" s="269"/>
      <c r="Q643" s="269"/>
      <c r="R643" s="269"/>
    </row>
    <row r="644" spans="1:18" s="285" customFormat="1" ht="39.6" customHeight="1" x14ac:dyDescent="0.25">
      <c r="A644" s="276"/>
      <c r="B644" s="276"/>
      <c r="C644" s="276"/>
      <c r="D644" s="277"/>
      <c r="E644" s="278"/>
      <c r="F644" s="279"/>
      <c r="G644" s="280"/>
      <c r="H644" s="281"/>
      <c r="I644" s="282"/>
      <c r="J644" s="281"/>
      <c r="K644" s="283"/>
      <c r="L644" s="284"/>
      <c r="M644" s="287"/>
      <c r="O644" s="286"/>
      <c r="P644" s="269"/>
      <c r="Q644" s="269"/>
      <c r="R644" s="269"/>
    </row>
    <row r="645" spans="1:18" s="285" customFormat="1" ht="39.6" customHeight="1" x14ac:dyDescent="0.25">
      <c r="A645" s="276"/>
      <c r="B645" s="276"/>
      <c r="C645" s="276"/>
      <c r="D645" s="277"/>
      <c r="E645" s="278"/>
      <c r="F645" s="279"/>
      <c r="G645" s="280"/>
      <c r="H645" s="281"/>
      <c r="I645" s="282"/>
      <c r="J645" s="281"/>
      <c r="K645" s="283"/>
      <c r="L645" s="284"/>
      <c r="M645" s="287"/>
      <c r="O645" s="286"/>
      <c r="P645" s="269"/>
      <c r="Q645" s="269"/>
      <c r="R645" s="269"/>
    </row>
    <row r="646" spans="1:18" s="285" customFormat="1" ht="39.6" customHeight="1" x14ac:dyDescent="0.25">
      <c r="A646" s="276"/>
      <c r="B646" s="276"/>
      <c r="C646" s="276"/>
      <c r="D646" s="277"/>
      <c r="E646" s="278"/>
      <c r="F646" s="279"/>
      <c r="G646" s="280"/>
      <c r="H646" s="281"/>
      <c r="I646" s="282"/>
      <c r="J646" s="281"/>
      <c r="K646" s="283"/>
      <c r="L646" s="284"/>
      <c r="M646" s="287"/>
      <c r="O646" s="286"/>
      <c r="P646" s="269"/>
      <c r="Q646" s="269"/>
      <c r="R646" s="269"/>
    </row>
    <row r="647" spans="1:18" s="285" customFormat="1" ht="39.6" customHeight="1" x14ac:dyDescent="0.25">
      <c r="A647" s="276"/>
      <c r="B647" s="276"/>
      <c r="C647" s="276"/>
      <c r="D647" s="277"/>
      <c r="E647" s="278"/>
      <c r="F647" s="279"/>
      <c r="G647" s="280"/>
      <c r="H647" s="281"/>
      <c r="I647" s="282"/>
      <c r="J647" s="281"/>
      <c r="K647" s="283"/>
      <c r="L647" s="284"/>
      <c r="M647" s="287"/>
      <c r="O647" s="286"/>
      <c r="P647" s="269"/>
      <c r="Q647" s="269"/>
      <c r="R647" s="269"/>
    </row>
    <row r="648" spans="1:18" s="285" customFormat="1" ht="39.6" customHeight="1" x14ac:dyDescent="0.25">
      <c r="A648" s="276"/>
      <c r="B648" s="276"/>
      <c r="C648" s="276"/>
      <c r="D648" s="277"/>
      <c r="E648" s="278"/>
      <c r="F648" s="279"/>
      <c r="G648" s="280"/>
      <c r="H648" s="281"/>
      <c r="I648" s="282"/>
      <c r="J648" s="281"/>
      <c r="K648" s="283"/>
      <c r="L648" s="284"/>
      <c r="M648" s="287"/>
      <c r="O648" s="286"/>
      <c r="P648" s="269"/>
      <c r="Q648" s="269"/>
      <c r="R648" s="269"/>
    </row>
    <row r="649" spans="1:18" s="285" customFormat="1" ht="39.6" customHeight="1" x14ac:dyDescent="0.25">
      <c r="A649" s="276"/>
      <c r="B649" s="276"/>
      <c r="C649" s="276"/>
      <c r="D649" s="277"/>
      <c r="E649" s="278"/>
      <c r="F649" s="279"/>
      <c r="G649" s="280"/>
      <c r="H649" s="281"/>
      <c r="I649" s="282"/>
      <c r="J649" s="281"/>
      <c r="K649" s="283"/>
      <c r="L649" s="284"/>
      <c r="M649" s="287"/>
      <c r="O649" s="286"/>
      <c r="P649" s="269"/>
      <c r="Q649" s="269"/>
      <c r="R649" s="269"/>
    </row>
    <row r="650" spans="1:18" s="285" customFormat="1" ht="39.6" customHeight="1" x14ac:dyDescent="0.25">
      <c r="A650" s="276"/>
      <c r="B650" s="276"/>
      <c r="C650" s="276"/>
      <c r="D650" s="277"/>
      <c r="E650" s="278"/>
      <c r="F650" s="279"/>
      <c r="G650" s="280"/>
      <c r="H650" s="281"/>
      <c r="I650" s="282"/>
      <c r="J650" s="281"/>
      <c r="K650" s="283"/>
      <c r="L650" s="284"/>
      <c r="M650" s="287"/>
      <c r="O650" s="286"/>
      <c r="P650" s="269"/>
      <c r="Q650" s="269"/>
      <c r="R650" s="269"/>
    </row>
    <row r="651" spans="1:18" s="285" customFormat="1" ht="39.6" customHeight="1" x14ac:dyDescent="0.25">
      <c r="A651" s="276"/>
      <c r="B651" s="276"/>
      <c r="C651" s="276"/>
      <c r="D651" s="277"/>
      <c r="E651" s="278"/>
      <c r="F651" s="279"/>
      <c r="G651" s="280"/>
      <c r="H651" s="281"/>
      <c r="I651" s="282"/>
      <c r="J651" s="281"/>
      <c r="K651" s="283"/>
      <c r="L651" s="284"/>
      <c r="M651" s="287"/>
      <c r="O651" s="286"/>
      <c r="P651" s="269"/>
      <c r="Q651" s="269"/>
      <c r="R651" s="269"/>
    </row>
    <row r="652" spans="1:18" s="285" customFormat="1" ht="39.6" customHeight="1" x14ac:dyDescent="0.25">
      <c r="A652" s="276"/>
      <c r="B652" s="276"/>
      <c r="C652" s="276"/>
      <c r="D652" s="277"/>
      <c r="E652" s="278"/>
      <c r="F652" s="279"/>
      <c r="G652" s="280"/>
      <c r="H652" s="281"/>
      <c r="I652" s="282"/>
      <c r="J652" s="281"/>
      <c r="K652" s="283"/>
      <c r="L652" s="284"/>
      <c r="M652" s="287"/>
      <c r="O652" s="286"/>
      <c r="P652" s="269"/>
      <c r="Q652" s="269"/>
      <c r="R652" s="269"/>
    </row>
    <row r="653" spans="1:18" s="285" customFormat="1" ht="39.6" customHeight="1" x14ac:dyDescent="0.25">
      <c r="A653" s="276"/>
      <c r="B653" s="276"/>
      <c r="C653" s="276"/>
      <c r="D653" s="277"/>
      <c r="E653" s="278"/>
      <c r="F653" s="279"/>
      <c r="G653" s="280"/>
      <c r="H653" s="281"/>
      <c r="I653" s="282"/>
      <c r="J653" s="281"/>
      <c r="K653" s="283"/>
      <c r="L653" s="284"/>
      <c r="M653" s="287"/>
      <c r="O653" s="286"/>
      <c r="P653" s="269"/>
      <c r="Q653" s="269"/>
      <c r="R653" s="269"/>
    </row>
    <row r="654" spans="1:18" s="285" customFormat="1" ht="39.6" customHeight="1" x14ac:dyDescent="0.25">
      <c r="A654" s="276"/>
      <c r="B654" s="276"/>
      <c r="C654" s="276"/>
      <c r="D654" s="277"/>
      <c r="E654" s="278"/>
      <c r="F654" s="279"/>
      <c r="G654" s="280"/>
      <c r="H654" s="281"/>
      <c r="I654" s="282"/>
      <c r="J654" s="281"/>
      <c r="K654" s="283"/>
      <c r="L654" s="284"/>
      <c r="M654" s="287"/>
      <c r="O654" s="286"/>
      <c r="P654" s="269"/>
      <c r="Q654" s="269"/>
      <c r="R654" s="269"/>
    </row>
    <row r="655" spans="1:18" s="285" customFormat="1" ht="39.6" customHeight="1" x14ac:dyDescent="0.25">
      <c r="A655" s="276"/>
      <c r="B655" s="276"/>
      <c r="C655" s="276"/>
      <c r="D655" s="277"/>
      <c r="E655" s="278"/>
      <c r="F655" s="279"/>
      <c r="G655" s="280"/>
      <c r="H655" s="281"/>
      <c r="I655" s="282"/>
      <c r="J655" s="281"/>
      <c r="K655" s="283"/>
      <c r="L655" s="284"/>
      <c r="M655" s="287"/>
      <c r="O655" s="286"/>
      <c r="P655" s="269"/>
      <c r="Q655" s="269"/>
      <c r="R655" s="269"/>
    </row>
    <row r="656" spans="1:18" s="285" customFormat="1" ht="39.6" customHeight="1" x14ac:dyDescent="0.25">
      <c r="A656" s="276"/>
      <c r="B656" s="276"/>
      <c r="C656" s="276"/>
      <c r="D656" s="277"/>
      <c r="E656" s="278"/>
      <c r="F656" s="279"/>
      <c r="G656" s="280"/>
      <c r="H656" s="281"/>
      <c r="I656" s="282"/>
      <c r="J656" s="281"/>
      <c r="K656" s="283"/>
      <c r="L656" s="284"/>
      <c r="M656" s="287"/>
      <c r="O656" s="286"/>
      <c r="P656" s="269"/>
      <c r="Q656" s="269"/>
      <c r="R656" s="269"/>
    </row>
    <row r="657" spans="1:18" s="285" customFormat="1" ht="39.6" customHeight="1" x14ac:dyDescent="0.25">
      <c r="A657" s="276"/>
      <c r="B657" s="276"/>
      <c r="C657" s="276"/>
      <c r="D657" s="277"/>
      <c r="E657" s="278"/>
      <c r="F657" s="279"/>
      <c r="G657" s="280"/>
      <c r="H657" s="281"/>
      <c r="I657" s="282"/>
      <c r="J657" s="281"/>
      <c r="K657" s="283"/>
      <c r="L657" s="284"/>
      <c r="M657" s="287"/>
      <c r="O657" s="286"/>
      <c r="P657" s="269"/>
      <c r="Q657" s="269"/>
      <c r="R657" s="269"/>
    </row>
    <row r="658" spans="1:18" s="285" customFormat="1" ht="39.6" customHeight="1" x14ac:dyDescent="0.25">
      <c r="A658" s="276"/>
      <c r="B658" s="276"/>
      <c r="C658" s="276"/>
      <c r="D658" s="277"/>
      <c r="E658" s="278"/>
      <c r="F658" s="279"/>
      <c r="G658" s="280"/>
      <c r="H658" s="281"/>
      <c r="I658" s="282"/>
      <c r="J658" s="281"/>
      <c r="K658" s="283"/>
      <c r="L658" s="284"/>
      <c r="M658" s="287"/>
      <c r="O658" s="286"/>
      <c r="P658" s="269"/>
      <c r="Q658" s="269"/>
      <c r="R658" s="269"/>
    </row>
    <row r="659" spans="1:18" s="285" customFormat="1" ht="39.6" customHeight="1" x14ac:dyDescent="0.25">
      <c r="A659" s="276"/>
      <c r="B659" s="276"/>
      <c r="C659" s="276"/>
      <c r="D659" s="277"/>
      <c r="E659" s="278"/>
      <c r="F659" s="279"/>
      <c r="G659" s="280"/>
      <c r="H659" s="281"/>
      <c r="I659" s="282"/>
      <c r="J659" s="281"/>
      <c r="K659" s="283"/>
      <c r="L659" s="284"/>
      <c r="M659" s="287"/>
      <c r="O659" s="286"/>
      <c r="P659" s="269"/>
      <c r="Q659" s="269"/>
      <c r="R659" s="269"/>
    </row>
    <row r="660" spans="1:18" s="285" customFormat="1" ht="39.6" customHeight="1" x14ac:dyDescent="0.25">
      <c r="A660" s="276"/>
      <c r="B660" s="276"/>
      <c r="C660" s="276"/>
      <c r="D660" s="277"/>
      <c r="E660" s="278"/>
      <c r="F660" s="279"/>
      <c r="G660" s="280"/>
      <c r="H660" s="281"/>
      <c r="I660" s="282"/>
      <c r="J660" s="281"/>
      <c r="K660" s="283"/>
      <c r="L660" s="284"/>
      <c r="M660" s="287"/>
      <c r="O660" s="286"/>
      <c r="P660" s="269"/>
      <c r="Q660" s="269"/>
      <c r="R660" s="269"/>
    </row>
    <row r="661" spans="1:18" s="285" customFormat="1" ht="39.6" customHeight="1" x14ac:dyDescent="0.25">
      <c r="A661" s="276"/>
      <c r="B661" s="276"/>
      <c r="C661" s="276"/>
      <c r="D661" s="277"/>
      <c r="E661" s="278"/>
      <c r="F661" s="279"/>
      <c r="G661" s="280"/>
      <c r="H661" s="281"/>
      <c r="I661" s="282"/>
      <c r="J661" s="281"/>
      <c r="K661" s="283"/>
      <c r="L661" s="284"/>
      <c r="M661" s="287"/>
      <c r="O661" s="286"/>
      <c r="P661" s="269"/>
      <c r="Q661" s="269"/>
      <c r="R661" s="269"/>
    </row>
    <row r="662" spans="1:18" s="285" customFormat="1" ht="39.6" customHeight="1" x14ac:dyDescent="0.25">
      <c r="A662" s="276"/>
      <c r="B662" s="276"/>
      <c r="C662" s="276"/>
      <c r="D662" s="277"/>
      <c r="E662" s="278"/>
      <c r="F662" s="279"/>
      <c r="G662" s="280"/>
      <c r="H662" s="281"/>
      <c r="I662" s="282"/>
      <c r="J662" s="281"/>
      <c r="K662" s="283"/>
      <c r="L662" s="284"/>
      <c r="M662" s="287"/>
      <c r="O662" s="286"/>
      <c r="P662" s="269"/>
      <c r="Q662" s="269"/>
      <c r="R662" s="269"/>
    </row>
    <row r="663" spans="1:18" s="285" customFormat="1" ht="39.6" customHeight="1" x14ac:dyDescent="0.25">
      <c r="A663" s="276"/>
      <c r="B663" s="276"/>
      <c r="C663" s="276"/>
      <c r="D663" s="277"/>
      <c r="E663" s="278"/>
      <c r="F663" s="279"/>
      <c r="G663" s="280"/>
      <c r="H663" s="281"/>
      <c r="I663" s="282"/>
      <c r="J663" s="281"/>
      <c r="K663" s="283"/>
      <c r="L663" s="284"/>
      <c r="M663" s="287"/>
      <c r="O663" s="286"/>
      <c r="P663" s="269"/>
      <c r="Q663" s="269"/>
      <c r="R663" s="269"/>
    </row>
    <row r="664" spans="1:18" s="285" customFormat="1" ht="39.6" customHeight="1" x14ac:dyDescent="0.25">
      <c r="A664" s="276"/>
      <c r="B664" s="276"/>
      <c r="C664" s="276"/>
      <c r="D664" s="277"/>
      <c r="E664" s="278"/>
      <c r="F664" s="279"/>
      <c r="G664" s="280"/>
      <c r="H664" s="281"/>
      <c r="I664" s="282"/>
      <c r="J664" s="281"/>
      <c r="K664" s="283"/>
      <c r="L664" s="284"/>
      <c r="M664" s="287"/>
      <c r="O664" s="286"/>
      <c r="P664" s="269"/>
      <c r="Q664" s="269"/>
      <c r="R664" s="269"/>
    </row>
    <row r="665" spans="1:18" s="285" customFormat="1" ht="39.6" customHeight="1" x14ac:dyDescent="0.25">
      <c r="A665" s="276"/>
      <c r="B665" s="276"/>
      <c r="C665" s="276"/>
      <c r="D665" s="277"/>
      <c r="E665" s="278"/>
      <c r="F665" s="279"/>
      <c r="G665" s="280"/>
      <c r="H665" s="281"/>
      <c r="I665" s="282"/>
      <c r="J665" s="281"/>
      <c r="K665" s="283"/>
      <c r="L665" s="284"/>
      <c r="M665" s="287"/>
      <c r="O665" s="286"/>
      <c r="P665" s="269"/>
      <c r="Q665" s="269"/>
      <c r="R665" s="269"/>
    </row>
    <row r="666" spans="1:18" s="285" customFormat="1" ht="39.6" customHeight="1" x14ac:dyDescent="0.25">
      <c r="A666" s="276"/>
      <c r="B666" s="276"/>
      <c r="C666" s="276"/>
      <c r="D666" s="277"/>
      <c r="E666" s="278"/>
      <c r="F666" s="279"/>
      <c r="G666" s="280"/>
      <c r="H666" s="281"/>
      <c r="I666" s="282"/>
      <c r="J666" s="281"/>
      <c r="K666" s="283"/>
      <c r="L666" s="284"/>
      <c r="M666" s="287"/>
      <c r="O666" s="286"/>
      <c r="P666" s="269"/>
      <c r="Q666" s="269"/>
      <c r="R666" s="269"/>
    </row>
    <row r="667" spans="1:18" s="285" customFormat="1" ht="39.6" customHeight="1" x14ac:dyDescent="0.25">
      <c r="A667" s="276"/>
      <c r="B667" s="276"/>
      <c r="C667" s="276"/>
      <c r="D667" s="277"/>
      <c r="E667" s="278"/>
      <c r="F667" s="279"/>
      <c r="G667" s="280"/>
      <c r="H667" s="281"/>
      <c r="I667" s="282"/>
      <c r="J667" s="281"/>
      <c r="K667" s="283"/>
      <c r="L667" s="284"/>
      <c r="M667" s="287"/>
      <c r="O667" s="286"/>
      <c r="P667" s="269"/>
      <c r="Q667" s="269"/>
      <c r="R667" s="269"/>
    </row>
    <row r="668" spans="1:18" s="285" customFormat="1" ht="39.6" customHeight="1" x14ac:dyDescent="0.25">
      <c r="A668" s="276"/>
      <c r="B668" s="276"/>
      <c r="C668" s="276"/>
      <c r="D668" s="277"/>
      <c r="E668" s="278"/>
      <c r="F668" s="279"/>
      <c r="G668" s="280"/>
      <c r="H668" s="281"/>
      <c r="I668" s="282"/>
      <c r="J668" s="281"/>
      <c r="K668" s="283"/>
      <c r="L668" s="284"/>
      <c r="M668" s="287"/>
      <c r="O668" s="286"/>
      <c r="P668" s="269"/>
      <c r="Q668" s="269"/>
      <c r="R668" s="269"/>
    </row>
    <row r="669" spans="1:18" s="285" customFormat="1" ht="39.6" customHeight="1" x14ac:dyDescent="0.25">
      <c r="A669" s="276"/>
      <c r="B669" s="276"/>
      <c r="C669" s="276"/>
      <c r="D669" s="277"/>
      <c r="E669" s="278"/>
      <c r="F669" s="279"/>
      <c r="G669" s="280"/>
      <c r="H669" s="281"/>
      <c r="I669" s="282"/>
      <c r="J669" s="281"/>
      <c r="K669" s="283"/>
      <c r="L669" s="284"/>
      <c r="M669" s="287"/>
      <c r="O669" s="286"/>
      <c r="P669" s="269"/>
      <c r="Q669" s="269"/>
      <c r="R669" s="269"/>
    </row>
    <row r="670" spans="1:18" s="285" customFormat="1" ht="39.6" customHeight="1" x14ac:dyDescent="0.25">
      <c r="A670" s="276"/>
      <c r="B670" s="276"/>
      <c r="C670" s="276"/>
      <c r="D670" s="277"/>
      <c r="E670" s="278"/>
      <c r="F670" s="279"/>
      <c r="G670" s="280"/>
      <c r="H670" s="281"/>
      <c r="I670" s="282"/>
      <c r="J670" s="281"/>
      <c r="K670" s="283"/>
      <c r="L670" s="284"/>
      <c r="M670" s="287"/>
      <c r="O670" s="286"/>
      <c r="P670" s="269"/>
      <c r="Q670" s="269"/>
      <c r="R670" s="269"/>
    </row>
    <row r="671" spans="1:18" s="285" customFormat="1" ht="39.6" customHeight="1" x14ac:dyDescent="0.25">
      <c r="A671" s="276"/>
      <c r="B671" s="276"/>
      <c r="C671" s="276"/>
      <c r="D671" s="277"/>
      <c r="E671" s="278"/>
      <c r="F671" s="279"/>
      <c r="G671" s="280"/>
      <c r="H671" s="281"/>
      <c r="I671" s="282"/>
      <c r="J671" s="281"/>
      <c r="K671" s="283"/>
      <c r="L671" s="284"/>
      <c r="M671" s="287"/>
      <c r="O671" s="286"/>
      <c r="P671" s="269"/>
      <c r="Q671" s="269"/>
      <c r="R671" s="269"/>
    </row>
    <row r="672" spans="1:18" s="285" customFormat="1" ht="39.6" customHeight="1" x14ac:dyDescent="0.25">
      <c r="A672" s="276"/>
      <c r="B672" s="276"/>
      <c r="C672" s="276"/>
      <c r="D672" s="277"/>
      <c r="E672" s="278"/>
      <c r="F672" s="279"/>
      <c r="G672" s="280"/>
      <c r="H672" s="281"/>
      <c r="I672" s="282"/>
      <c r="J672" s="281"/>
      <c r="K672" s="283"/>
      <c r="L672" s="284"/>
      <c r="M672" s="287"/>
      <c r="O672" s="286"/>
      <c r="P672" s="269"/>
      <c r="Q672" s="269"/>
      <c r="R672" s="269"/>
    </row>
    <row r="673" spans="1:18" s="285" customFormat="1" ht="39.6" customHeight="1" x14ac:dyDescent="0.25">
      <c r="A673" s="276"/>
      <c r="B673" s="276"/>
      <c r="C673" s="276"/>
      <c r="D673" s="277"/>
      <c r="E673" s="278"/>
      <c r="F673" s="279"/>
      <c r="G673" s="280"/>
      <c r="H673" s="281"/>
      <c r="I673" s="282"/>
      <c r="J673" s="281"/>
      <c r="K673" s="283"/>
      <c r="L673" s="284"/>
      <c r="M673" s="287"/>
      <c r="O673" s="286"/>
      <c r="P673" s="269"/>
      <c r="Q673" s="269"/>
      <c r="R673" s="269"/>
    </row>
    <row r="674" spans="1:18" s="285" customFormat="1" ht="39.6" customHeight="1" x14ac:dyDescent="0.25">
      <c r="A674" s="276"/>
      <c r="B674" s="276"/>
      <c r="C674" s="276"/>
      <c r="D674" s="277"/>
      <c r="E674" s="278"/>
      <c r="F674" s="279"/>
      <c r="G674" s="280"/>
      <c r="H674" s="281"/>
      <c r="I674" s="282"/>
      <c r="J674" s="281"/>
      <c r="K674" s="283"/>
      <c r="L674" s="284"/>
      <c r="M674" s="287"/>
      <c r="O674" s="286"/>
      <c r="P674" s="269"/>
      <c r="Q674" s="269"/>
      <c r="R674" s="269"/>
    </row>
    <row r="675" spans="1:18" s="285" customFormat="1" ht="39.6" customHeight="1" x14ac:dyDescent="0.25">
      <c r="A675" s="276"/>
      <c r="B675" s="276"/>
      <c r="C675" s="276"/>
      <c r="D675" s="277"/>
      <c r="E675" s="278"/>
      <c r="F675" s="279"/>
      <c r="G675" s="280"/>
      <c r="H675" s="281"/>
      <c r="I675" s="282"/>
      <c r="J675" s="281"/>
      <c r="K675" s="283"/>
      <c r="L675" s="284"/>
      <c r="M675" s="287"/>
      <c r="O675" s="286"/>
      <c r="P675" s="269"/>
      <c r="Q675" s="269"/>
      <c r="R675" s="269"/>
    </row>
    <row r="676" spans="1:18" s="285" customFormat="1" ht="39.6" customHeight="1" x14ac:dyDescent="0.25">
      <c r="A676" s="276"/>
      <c r="B676" s="276"/>
      <c r="C676" s="276"/>
      <c r="D676" s="277"/>
      <c r="E676" s="278"/>
      <c r="F676" s="279"/>
      <c r="G676" s="280"/>
      <c r="H676" s="281"/>
      <c r="I676" s="282"/>
      <c r="J676" s="281"/>
      <c r="K676" s="283"/>
      <c r="L676" s="284"/>
      <c r="M676" s="287"/>
      <c r="O676" s="286"/>
      <c r="P676" s="269"/>
      <c r="Q676" s="269"/>
      <c r="R676" s="269"/>
    </row>
    <row r="677" spans="1:18" s="285" customFormat="1" ht="39.6" customHeight="1" x14ac:dyDescent="0.25">
      <c r="A677" s="276"/>
      <c r="B677" s="276"/>
      <c r="C677" s="276"/>
      <c r="D677" s="277"/>
      <c r="E677" s="278"/>
      <c r="F677" s="279"/>
      <c r="G677" s="280"/>
      <c r="H677" s="281"/>
      <c r="I677" s="282"/>
      <c r="J677" s="281"/>
      <c r="K677" s="283"/>
      <c r="L677" s="284"/>
      <c r="M677" s="287"/>
      <c r="O677" s="286"/>
      <c r="P677" s="269"/>
      <c r="Q677" s="269"/>
      <c r="R677" s="269"/>
    </row>
    <row r="678" spans="1:18" s="285" customFormat="1" ht="39.6" customHeight="1" x14ac:dyDescent="0.25">
      <c r="A678" s="276"/>
      <c r="B678" s="276"/>
      <c r="C678" s="276"/>
      <c r="D678" s="277"/>
      <c r="E678" s="278"/>
      <c r="F678" s="279"/>
      <c r="G678" s="280"/>
      <c r="H678" s="281"/>
      <c r="I678" s="282"/>
      <c r="J678" s="281"/>
      <c r="K678" s="283"/>
      <c r="L678" s="284"/>
      <c r="M678" s="287"/>
      <c r="O678" s="286"/>
      <c r="P678" s="269"/>
      <c r="Q678" s="269"/>
      <c r="R678" s="269"/>
    </row>
    <row r="679" spans="1:18" s="285" customFormat="1" ht="39.6" customHeight="1" x14ac:dyDescent="0.25">
      <c r="A679" s="276"/>
      <c r="B679" s="276"/>
      <c r="C679" s="276"/>
      <c r="D679" s="277"/>
      <c r="E679" s="278"/>
      <c r="F679" s="279"/>
      <c r="G679" s="280"/>
      <c r="H679" s="281"/>
      <c r="I679" s="282"/>
      <c r="J679" s="281"/>
      <c r="K679" s="283"/>
      <c r="L679" s="284"/>
      <c r="M679" s="287"/>
      <c r="O679" s="286"/>
      <c r="P679" s="269"/>
      <c r="Q679" s="269"/>
      <c r="R679" s="269"/>
    </row>
    <row r="680" spans="1:18" s="285" customFormat="1" ht="39.6" customHeight="1" x14ac:dyDescent="0.25">
      <c r="A680" s="276"/>
      <c r="B680" s="276"/>
      <c r="C680" s="276"/>
      <c r="D680" s="277"/>
      <c r="E680" s="278"/>
      <c r="F680" s="279"/>
      <c r="G680" s="280"/>
      <c r="H680" s="281"/>
      <c r="I680" s="282"/>
      <c r="J680" s="281"/>
      <c r="K680" s="283"/>
      <c r="L680" s="284"/>
      <c r="M680" s="287"/>
      <c r="O680" s="286"/>
      <c r="P680" s="269"/>
      <c r="Q680" s="269"/>
      <c r="R680" s="269"/>
    </row>
    <row r="681" spans="1:18" s="285" customFormat="1" ht="39.6" customHeight="1" x14ac:dyDescent="0.25">
      <c r="A681" s="276"/>
      <c r="B681" s="276"/>
      <c r="C681" s="276"/>
      <c r="D681" s="277"/>
      <c r="E681" s="278"/>
      <c r="F681" s="279"/>
      <c r="G681" s="280"/>
      <c r="H681" s="281"/>
      <c r="I681" s="282"/>
      <c r="J681" s="281"/>
      <c r="K681" s="283"/>
      <c r="L681" s="284"/>
      <c r="M681" s="287"/>
      <c r="O681" s="286"/>
      <c r="P681" s="269"/>
      <c r="Q681" s="269"/>
      <c r="R681" s="269"/>
    </row>
    <row r="682" spans="1:18" s="285" customFormat="1" ht="39.6" customHeight="1" x14ac:dyDescent="0.25">
      <c r="A682" s="276"/>
      <c r="B682" s="276"/>
      <c r="C682" s="276"/>
      <c r="D682" s="277"/>
      <c r="E682" s="278"/>
      <c r="F682" s="279"/>
      <c r="G682" s="280"/>
      <c r="H682" s="281"/>
      <c r="I682" s="282"/>
      <c r="J682" s="281"/>
      <c r="K682" s="283"/>
      <c r="L682" s="284"/>
      <c r="M682" s="287"/>
      <c r="O682" s="286"/>
      <c r="P682" s="269"/>
      <c r="Q682" s="269"/>
      <c r="R682" s="269"/>
    </row>
    <row r="683" spans="1:18" s="285" customFormat="1" ht="39.6" customHeight="1" x14ac:dyDescent="0.25">
      <c r="A683" s="276"/>
      <c r="B683" s="276"/>
      <c r="C683" s="276"/>
      <c r="D683" s="277"/>
      <c r="E683" s="278"/>
      <c r="F683" s="279"/>
      <c r="G683" s="280"/>
      <c r="H683" s="281"/>
      <c r="I683" s="282"/>
      <c r="J683" s="281"/>
      <c r="K683" s="283"/>
      <c r="L683" s="284"/>
      <c r="M683" s="287"/>
      <c r="O683" s="286"/>
      <c r="P683" s="269"/>
      <c r="Q683" s="269"/>
      <c r="R683" s="269"/>
    </row>
    <row r="684" spans="1:18" s="285" customFormat="1" ht="39.6" customHeight="1" x14ac:dyDescent="0.25">
      <c r="A684" s="276"/>
      <c r="B684" s="276"/>
      <c r="C684" s="276"/>
      <c r="D684" s="277"/>
      <c r="E684" s="278"/>
      <c r="F684" s="279"/>
      <c r="G684" s="280"/>
      <c r="H684" s="281"/>
      <c r="I684" s="282"/>
      <c r="J684" s="281"/>
      <c r="K684" s="283"/>
      <c r="L684" s="284"/>
      <c r="M684" s="287"/>
      <c r="O684" s="286"/>
      <c r="P684" s="269"/>
      <c r="Q684" s="269"/>
      <c r="R684" s="269"/>
    </row>
    <row r="685" spans="1:18" s="285" customFormat="1" ht="39.6" customHeight="1" x14ac:dyDescent="0.25">
      <c r="A685" s="276"/>
      <c r="B685" s="276"/>
      <c r="C685" s="276"/>
      <c r="D685" s="277"/>
      <c r="E685" s="278"/>
      <c r="F685" s="279"/>
      <c r="G685" s="280"/>
      <c r="H685" s="281"/>
      <c r="I685" s="282"/>
      <c r="J685" s="281"/>
      <c r="K685" s="283"/>
      <c r="L685" s="284"/>
      <c r="M685" s="287"/>
      <c r="O685" s="286"/>
      <c r="P685" s="269"/>
      <c r="Q685" s="269"/>
      <c r="R685" s="269"/>
    </row>
    <row r="686" spans="1:18" s="285" customFormat="1" ht="39.6" customHeight="1" x14ac:dyDescent="0.25">
      <c r="A686" s="276"/>
      <c r="B686" s="276"/>
      <c r="C686" s="276"/>
      <c r="D686" s="277"/>
      <c r="E686" s="278"/>
      <c r="F686" s="279"/>
      <c r="G686" s="280"/>
      <c r="H686" s="281"/>
      <c r="I686" s="282"/>
      <c r="J686" s="281"/>
      <c r="K686" s="283"/>
      <c r="L686" s="284"/>
      <c r="M686" s="287"/>
      <c r="O686" s="286"/>
      <c r="P686" s="269"/>
      <c r="Q686" s="269"/>
      <c r="R686" s="269"/>
    </row>
    <row r="687" spans="1:18" s="285" customFormat="1" ht="39.6" customHeight="1" x14ac:dyDescent="0.25">
      <c r="A687" s="276"/>
      <c r="B687" s="276"/>
      <c r="C687" s="276"/>
      <c r="D687" s="277"/>
      <c r="E687" s="278"/>
      <c r="F687" s="279"/>
      <c r="G687" s="280"/>
      <c r="H687" s="281"/>
      <c r="I687" s="282"/>
      <c r="J687" s="281"/>
      <c r="K687" s="283"/>
      <c r="L687" s="284"/>
      <c r="M687" s="287"/>
      <c r="O687" s="286"/>
      <c r="P687" s="269"/>
      <c r="Q687" s="269"/>
      <c r="R687" s="269"/>
    </row>
    <row r="688" spans="1:18" s="285" customFormat="1" ht="39.6" customHeight="1" x14ac:dyDescent="0.25">
      <c r="A688" s="276"/>
      <c r="B688" s="276"/>
      <c r="C688" s="276"/>
      <c r="D688" s="277"/>
      <c r="E688" s="278"/>
      <c r="F688" s="279"/>
      <c r="G688" s="280"/>
      <c r="H688" s="281"/>
      <c r="I688" s="282"/>
      <c r="J688" s="281"/>
      <c r="K688" s="283"/>
      <c r="L688" s="284"/>
      <c r="M688" s="287"/>
      <c r="O688" s="286"/>
      <c r="P688" s="269"/>
      <c r="Q688" s="269"/>
      <c r="R688" s="269"/>
    </row>
    <row r="689" spans="1:18" s="285" customFormat="1" ht="39.6" customHeight="1" x14ac:dyDescent="0.25">
      <c r="A689" s="276"/>
      <c r="B689" s="276"/>
      <c r="C689" s="276"/>
      <c r="D689" s="277"/>
      <c r="E689" s="278"/>
      <c r="F689" s="279"/>
      <c r="G689" s="280"/>
      <c r="H689" s="281"/>
      <c r="I689" s="282"/>
      <c r="J689" s="281"/>
      <c r="K689" s="283"/>
      <c r="L689" s="284"/>
      <c r="M689" s="287"/>
      <c r="O689" s="286"/>
      <c r="P689" s="269"/>
      <c r="Q689" s="269"/>
      <c r="R689" s="269"/>
    </row>
    <row r="690" spans="1:18" s="285" customFormat="1" ht="39.6" customHeight="1" x14ac:dyDescent="0.25">
      <c r="A690" s="276"/>
      <c r="B690" s="276"/>
      <c r="C690" s="276"/>
      <c r="D690" s="277"/>
      <c r="E690" s="278"/>
      <c r="F690" s="279"/>
      <c r="G690" s="280"/>
      <c r="H690" s="281"/>
      <c r="I690" s="282"/>
      <c r="J690" s="281"/>
      <c r="K690" s="283"/>
      <c r="L690" s="284"/>
      <c r="M690" s="287"/>
      <c r="O690" s="286"/>
      <c r="P690" s="269"/>
      <c r="Q690" s="269"/>
      <c r="R690" s="269"/>
    </row>
    <row r="691" spans="1:18" s="285" customFormat="1" ht="39.6" customHeight="1" x14ac:dyDescent="0.25">
      <c r="A691" s="276"/>
      <c r="B691" s="276"/>
      <c r="C691" s="276"/>
      <c r="D691" s="277"/>
      <c r="E691" s="278"/>
      <c r="F691" s="279"/>
      <c r="G691" s="280"/>
      <c r="H691" s="281"/>
      <c r="I691" s="282"/>
      <c r="J691" s="281"/>
      <c r="K691" s="283"/>
      <c r="L691" s="284"/>
      <c r="M691" s="287"/>
      <c r="O691" s="286"/>
      <c r="P691" s="269"/>
      <c r="Q691" s="269"/>
      <c r="R691" s="269"/>
    </row>
    <row r="692" spans="1:18" s="285" customFormat="1" ht="39.6" customHeight="1" x14ac:dyDescent="0.25">
      <c r="A692" s="276"/>
      <c r="B692" s="276"/>
      <c r="C692" s="276"/>
      <c r="D692" s="277"/>
      <c r="E692" s="278"/>
      <c r="F692" s="279"/>
      <c r="G692" s="280"/>
      <c r="H692" s="281"/>
      <c r="I692" s="282"/>
      <c r="J692" s="281"/>
      <c r="K692" s="283"/>
      <c r="L692" s="284"/>
      <c r="M692" s="287"/>
      <c r="O692" s="286"/>
      <c r="P692" s="269"/>
      <c r="Q692" s="269"/>
      <c r="R692" s="269"/>
    </row>
    <row r="693" spans="1:18" s="285" customFormat="1" ht="39.6" customHeight="1" x14ac:dyDescent="0.25">
      <c r="A693" s="276"/>
      <c r="B693" s="276"/>
      <c r="C693" s="276"/>
      <c r="D693" s="277"/>
      <c r="E693" s="278"/>
      <c r="F693" s="279"/>
      <c r="G693" s="280"/>
      <c r="H693" s="281"/>
      <c r="I693" s="282"/>
      <c r="J693" s="281"/>
      <c r="K693" s="283"/>
      <c r="L693" s="284"/>
      <c r="M693" s="287"/>
      <c r="O693" s="286"/>
      <c r="P693" s="269"/>
      <c r="Q693" s="269"/>
      <c r="R693" s="269"/>
    </row>
    <row r="694" spans="1:18" s="285" customFormat="1" ht="39.6" customHeight="1" x14ac:dyDescent="0.25">
      <c r="A694" s="276"/>
      <c r="B694" s="276"/>
      <c r="C694" s="276"/>
      <c r="D694" s="277"/>
      <c r="E694" s="278"/>
      <c r="F694" s="279"/>
      <c r="G694" s="280"/>
      <c r="H694" s="281"/>
      <c r="I694" s="282"/>
      <c r="J694" s="281"/>
      <c r="K694" s="283"/>
      <c r="L694" s="284"/>
      <c r="M694" s="287"/>
      <c r="O694" s="286"/>
      <c r="P694" s="269"/>
      <c r="Q694" s="269"/>
      <c r="R694" s="269"/>
    </row>
    <row r="695" spans="1:18" s="285" customFormat="1" ht="39.6" customHeight="1" x14ac:dyDescent="0.25">
      <c r="A695" s="276"/>
      <c r="B695" s="276"/>
      <c r="C695" s="276"/>
      <c r="D695" s="277"/>
      <c r="E695" s="278"/>
      <c r="F695" s="279"/>
      <c r="G695" s="280"/>
      <c r="H695" s="281"/>
      <c r="I695" s="282"/>
      <c r="J695" s="281"/>
      <c r="K695" s="283"/>
      <c r="L695" s="284"/>
      <c r="M695" s="287"/>
      <c r="O695" s="286"/>
      <c r="P695" s="269"/>
      <c r="Q695" s="269"/>
      <c r="R695" s="269"/>
    </row>
    <row r="696" spans="1:18" s="285" customFormat="1" ht="39.6" customHeight="1" x14ac:dyDescent="0.25">
      <c r="A696" s="276"/>
      <c r="B696" s="276"/>
      <c r="C696" s="276"/>
      <c r="D696" s="277"/>
      <c r="E696" s="278"/>
      <c r="F696" s="279"/>
      <c r="G696" s="280"/>
      <c r="H696" s="281"/>
      <c r="I696" s="282"/>
      <c r="J696" s="281"/>
      <c r="K696" s="283"/>
      <c r="L696" s="284"/>
      <c r="M696" s="287"/>
      <c r="O696" s="286"/>
      <c r="P696" s="269"/>
      <c r="Q696" s="269"/>
      <c r="R696" s="269"/>
    </row>
    <row r="697" spans="1:18" s="285" customFormat="1" ht="39.6" customHeight="1" x14ac:dyDescent="0.25">
      <c r="A697" s="276"/>
      <c r="B697" s="276"/>
      <c r="C697" s="276"/>
      <c r="D697" s="277"/>
      <c r="E697" s="278"/>
      <c r="F697" s="279"/>
      <c r="G697" s="280"/>
      <c r="H697" s="281"/>
      <c r="I697" s="282"/>
      <c r="J697" s="281"/>
      <c r="K697" s="283"/>
      <c r="L697" s="284"/>
      <c r="M697" s="287"/>
      <c r="O697" s="286"/>
      <c r="P697" s="269"/>
      <c r="Q697" s="269"/>
      <c r="R697" s="269"/>
    </row>
    <row r="698" spans="1:18" s="285" customFormat="1" ht="39.6" customHeight="1" x14ac:dyDescent="0.25">
      <c r="A698" s="276"/>
      <c r="B698" s="276"/>
      <c r="C698" s="276"/>
      <c r="D698" s="277"/>
      <c r="E698" s="278"/>
      <c r="F698" s="279"/>
      <c r="G698" s="280"/>
      <c r="H698" s="281"/>
      <c r="I698" s="282"/>
      <c r="J698" s="281"/>
      <c r="K698" s="283"/>
      <c r="L698" s="284"/>
      <c r="M698" s="287"/>
      <c r="O698" s="286"/>
      <c r="P698" s="269"/>
      <c r="Q698" s="269"/>
      <c r="R698" s="269"/>
    </row>
    <row r="699" spans="1:18" s="285" customFormat="1" ht="39.6" customHeight="1" x14ac:dyDescent="0.25">
      <c r="A699" s="276"/>
      <c r="B699" s="276"/>
      <c r="C699" s="276"/>
      <c r="D699" s="277"/>
      <c r="E699" s="278"/>
      <c r="F699" s="279"/>
      <c r="G699" s="280"/>
      <c r="H699" s="281"/>
      <c r="I699" s="282"/>
      <c r="J699" s="281"/>
      <c r="K699" s="283"/>
      <c r="L699" s="284"/>
      <c r="M699" s="287"/>
      <c r="O699" s="286"/>
      <c r="P699" s="269"/>
      <c r="Q699" s="269"/>
      <c r="R699" s="269"/>
    </row>
    <row r="700" spans="1:18" s="285" customFormat="1" ht="39.6" customHeight="1" x14ac:dyDescent="0.25">
      <c r="A700" s="276"/>
      <c r="B700" s="276"/>
      <c r="C700" s="276"/>
      <c r="D700" s="277"/>
      <c r="E700" s="278"/>
      <c r="F700" s="279"/>
      <c r="G700" s="280"/>
      <c r="H700" s="281"/>
      <c r="I700" s="282"/>
      <c r="J700" s="281"/>
      <c r="K700" s="283"/>
      <c r="L700" s="284"/>
      <c r="M700" s="287"/>
      <c r="O700" s="286"/>
      <c r="P700" s="269"/>
      <c r="Q700" s="269"/>
      <c r="R700" s="269"/>
    </row>
    <row r="701" spans="1:18" s="285" customFormat="1" ht="39.6" customHeight="1" x14ac:dyDescent="0.25">
      <c r="A701" s="276"/>
      <c r="B701" s="276"/>
      <c r="C701" s="276"/>
      <c r="D701" s="277"/>
      <c r="E701" s="278"/>
      <c r="F701" s="279"/>
      <c r="G701" s="280"/>
      <c r="H701" s="281"/>
      <c r="I701" s="282"/>
      <c r="J701" s="281"/>
      <c r="K701" s="283"/>
      <c r="L701" s="284"/>
      <c r="M701" s="287"/>
      <c r="O701" s="286"/>
      <c r="P701" s="269"/>
      <c r="Q701" s="269"/>
      <c r="R701" s="269"/>
    </row>
    <row r="702" spans="1:18" s="285" customFormat="1" ht="39.6" customHeight="1" x14ac:dyDescent="0.25">
      <c r="A702" s="276"/>
      <c r="B702" s="276"/>
      <c r="C702" s="276"/>
      <c r="D702" s="277"/>
      <c r="E702" s="278"/>
      <c r="F702" s="279"/>
      <c r="G702" s="280"/>
      <c r="H702" s="281"/>
      <c r="I702" s="282"/>
      <c r="J702" s="281"/>
      <c r="K702" s="283"/>
      <c r="L702" s="284"/>
      <c r="M702" s="287"/>
      <c r="O702" s="286"/>
      <c r="P702" s="269"/>
      <c r="Q702" s="269"/>
      <c r="R702" s="269"/>
    </row>
    <row r="703" spans="1:18" s="285" customFormat="1" ht="39.6" customHeight="1" x14ac:dyDescent="0.25">
      <c r="A703" s="276"/>
      <c r="B703" s="276"/>
      <c r="C703" s="276"/>
      <c r="D703" s="277"/>
      <c r="E703" s="278"/>
      <c r="F703" s="279"/>
      <c r="G703" s="280"/>
      <c r="H703" s="281"/>
      <c r="I703" s="282"/>
      <c r="J703" s="281"/>
      <c r="K703" s="283"/>
      <c r="L703" s="284"/>
      <c r="M703" s="287"/>
      <c r="O703" s="286"/>
      <c r="P703" s="269"/>
      <c r="Q703" s="269"/>
      <c r="R703" s="269"/>
    </row>
    <row r="704" spans="1:18" s="285" customFormat="1" ht="39.6" customHeight="1" x14ac:dyDescent="0.25">
      <c r="A704" s="276"/>
      <c r="B704" s="276"/>
      <c r="C704" s="276"/>
      <c r="D704" s="277"/>
      <c r="E704" s="278"/>
      <c r="F704" s="279"/>
      <c r="G704" s="280"/>
      <c r="H704" s="281"/>
      <c r="I704" s="282"/>
      <c r="J704" s="281"/>
      <c r="K704" s="283"/>
      <c r="L704" s="284"/>
      <c r="M704" s="287"/>
      <c r="O704" s="286"/>
      <c r="P704" s="269"/>
      <c r="Q704" s="269"/>
      <c r="R704" s="269"/>
    </row>
    <row r="705" spans="1:18" s="285" customFormat="1" ht="39.6" customHeight="1" x14ac:dyDescent="0.25">
      <c r="A705" s="276"/>
      <c r="B705" s="276"/>
      <c r="C705" s="276"/>
      <c r="D705" s="277"/>
      <c r="E705" s="278"/>
      <c r="F705" s="279"/>
      <c r="G705" s="280"/>
      <c r="H705" s="281"/>
      <c r="I705" s="282"/>
      <c r="J705" s="281"/>
      <c r="K705" s="283"/>
      <c r="L705" s="284"/>
      <c r="M705" s="287"/>
      <c r="O705" s="286"/>
      <c r="P705" s="269"/>
      <c r="Q705" s="269"/>
      <c r="R705" s="269"/>
    </row>
    <row r="706" spans="1:18" s="285" customFormat="1" ht="39.6" customHeight="1" x14ac:dyDescent="0.25">
      <c r="A706" s="276"/>
      <c r="B706" s="276"/>
      <c r="C706" s="276"/>
      <c r="D706" s="277"/>
      <c r="E706" s="278"/>
      <c r="F706" s="279"/>
      <c r="G706" s="280"/>
      <c r="H706" s="281"/>
      <c r="I706" s="282"/>
      <c r="J706" s="281"/>
      <c r="K706" s="283"/>
      <c r="L706" s="284"/>
      <c r="M706" s="287"/>
      <c r="O706" s="286"/>
      <c r="P706" s="269"/>
      <c r="Q706" s="269"/>
      <c r="R706" s="269"/>
    </row>
    <row r="707" spans="1:18" s="285" customFormat="1" ht="39.6" customHeight="1" x14ac:dyDescent="0.25">
      <c r="A707" s="276"/>
      <c r="B707" s="276"/>
      <c r="C707" s="276"/>
      <c r="D707" s="277"/>
      <c r="E707" s="278"/>
      <c r="F707" s="279"/>
      <c r="G707" s="280"/>
      <c r="H707" s="281"/>
      <c r="I707" s="282"/>
      <c r="J707" s="281"/>
      <c r="K707" s="283"/>
      <c r="L707" s="284"/>
      <c r="M707" s="287"/>
      <c r="O707" s="286"/>
      <c r="P707" s="269"/>
      <c r="Q707" s="269"/>
      <c r="R707" s="269"/>
    </row>
    <row r="708" spans="1:18" s="285" customFormat="1" ht="39.6" customHeight="1" x14ac:dyDescent="0.25">
      <c r="A708" s="276"/>
      <c r="B708" s="276"/>
      <c r="C708" s="276"/>
      <c r="D708" s="277"/>
      <c r="E708" s="278"/>
      <c r="F708" s="279"/>
      <c r="G708" s="280"/>
      <c r="H708" s="281"/>
      <c r="I708" s="282"/>
      <c r="J708" s="281"/>
      <c r="K708" s="283"/>
      <c r="L708" s="284"/>
      <c r="M708" s="287"/>
      <c r="O708" s="286"/>
      <c r="P708" s="269"/>
      <c r="Q708" s="269"/>
      <c r="R708" s="269"/>
    </row>
    <row r="709" spans="1:18" s="285" customFormat="1" ht="39.6" customHeight="1" x14ac:dyDescent="0.25">
      <c r="A709" s="276"/>
      <c r="B709" s="276"/>
      <c r="C709" s="276"/>
      <c r="D709" s="277"/>
      <c r="E709" s="278"/>
      <c r="F709" s="279"/>
      <c r="G709" s="280"/>
      <c r="H709" s="281"/>
      <c r="I709" s="282"/>
      <c r="J709" s="281"/>
      <c r="K709" s="283"/>
      <c r="L709" s="284"/>
      <c r="M709" s="287"/>
      <c r="O709" s="286"/>
      <c r="P709" s="269"/>
      <c r="Q709" s="269"/>
      <c r="R709" s="269"/>
    </row>
    <row r="710" spans="1:18" s="285" customFormat="1" ht="39.6" customHeight="1" x14ac:dyDescent="0.25">
      <c r="A710" s="276"/>
      <c r="B710" s="276"/>
      <c r="C710" s="276"/>
      <c r="D710" s="277"/>
      <c r="E710" s="278"/>
      <c r="F710" s="279"/>
      <c r="G710" s="280"/>
      <c r="H710" s="281"/>
      <c r="I710" s="282"/>
      <c r="J710" s="281"/>
      <c r="K710" s="283"/>
      <c r="L710" s="284"/>
      <c r="M710" s="287"/>
      <c r="O710" s="286"/>
      <c r="P710" s="269"/>
      <c r="Q710" s="269"/>
      <c r="R710" s="269"/>
    </row>
    <row r="711" spans="1:18" s="285" customFormat="1" ht="39.6" customHeight="1" x14ac:dyDescent="0.25">
      <c r="A711" s="276"/>
      <c r="B711" s="276"/>
      <c r="C711" s="276"/>
      <c r="D711" s="277"/>
      <c r="E711" s="278"/>
      <c r="F711" s="279"/>
      <c r="G711" s="280"/>
      <c r="H711" s="281"/>
      <c r="I711" s="282"/>
      <c r="J711" s="281"/>
      <c r="K711" s="283"/>
      <c r="L711" s="284"/>
      <c r="M711" s="287"/>
      <c r="O711" s="286"/>
      <c r="P711" s="269"/>
      <c r="Q711" s="269"/>
      <c r="R711" s="269"/>
    </row>
    <row r="712" spans="1:18" s="285" customFormat="1" ht="39.6" customHeight="1" x14ac:dyDescent="0.25">
      <c r="A712" s="276"/>
      <c r="B712" s="276"/>
      <c r="C712" s="276"/>
      <c r="D712" s="277"/>
      <c r="E712" s="278"/>
      <c r="F712" s="279"/>
      <c r="G712" s="280"/>
      <c r="H712" s="281"/>
      <c r="I712" s="282"/>
      <c r="J712" s="281"/>
      <c r="K712" s="283"/>
      <c r="L712" s="284"/>
      <c r="M712" s="287"/>
      <c r="O712" s="286"/>
      <c r="P712" s="269"/>
      <c r="Q712" s="269"/>
      <c r="R712" s="269"/>
    </row>
    <row r="713" spans="1:18" s="285" customFormat="1" ht="39.6" customHeight="1" x14ac:dyDescent="0.25">
      <c r="A713" s="276"/>
      <c r="B713" s="276"/>
      <c r="C713" s="276"/>
      <c r="D713" s="277"/>
      <c r="E713" s="278"/>
      <c r="F713" s="279"/>
      <c r="G713" s="280"/>
      <c r="H713" s="281"/>
      <c r="I713" s="282"/>
      <c r="J713" s="281"/>
      <c r="K713" s="283"/>
      <c r="L713" s="284"/>
      <c r="M713" s="287"/>
      <c r="O713" s="286"/>
      <c r="P713" s="269"/>
      <c r="Q713" s="269"/>
      <c r="R713" s="269"/>
    </row>
    <row r="714" spans="1:18" s="285" customFormat="1" ht="39.6" customHeight="1" x14ac:dyDescent="0.25">
      <c r="A714" s="276"/>
      <c r="B714" s="276"/>
      <c r="C714" s="276"/>
      <c r="D714" s="277"/>
      <c r="E714" s="278"/>
      <c r="F714" s="279"/>
      <c r="G714" s="280"/>
      <c r="H714" s="281"/>
      <c r="I714" s="282"/>
      <c r="J714" s="281"/>
      <c r="K714" s="283"/>
      <c r="L714" s="284"/>
      <c r="M714" s="287"/>
      <c r="O714" s="286"/>
      <c r="P714" s="269"/>
      <c r="Q714" s="269"/>
      <c r="R714" s="269"/>
    </row>
    <row r="715" spans="1:18" s="285" customFormat="1" ht="39.6" customHeight="1" x14ac:dyDescent="0.25">
      <c r="A715" s="276"/>
      <c r="B715" s="276"/>
      <c r="C715" s="276"/>
      <c r="D715" s="277"/>
      <c r="E715" s="278"/>
      <c r="F715" s="279"/>
      <c r="G715" s="280"/>
      <c r="H715" s="281"/>
      <c r="I715" s="282"/>
      <c r="J715" s="281"/>
      <c r="K715" s="283"/>
      <c r="L715" s="284"/>
      <c r="M715" s="287"/>
      <c r="O715" s="286"/>
      <c r="P715" s="269"/>
      <c r="Q715" s="269"/>
      <c r="R715" s="269"/>
    </row>
    <row r="716" spans="1:18" s="285" customFormat="1" ht="39.6" customHeight="1" x14ac:dyDescent="0.25">
      <c r="A716" s="276"/>
      <c r="B716" s="276"/>
      <c r="C716" s="276"/>
      <c r="D716" s="277"/>
      <c r="E716" s="278"/>
      <c r="F716" s="279"/>
      <c r="G716" s="280"/>
      <c r="H716" s="281"/>
      <c r="I716" s="282"/>
      <c r="J716" s="281"/>
      <c r="K716" s="283"/>
      <c r="L716" s="284"/>
      <c r="M716" s="287"/>
      <c r="O716" s="286"/>
      <c r="P716" s="269"/>
      <c r="Q716" s="269"/>
      <c r="R716" s="269"/>
    </row>
    <row r="717" spans="1:18" s="285" customFormat="1" ht="39.6" customHeight="1" x14ac:dyDescent="0.25">
      <c r="A717" s="276"/>
      <c r="B717" s="276"/>
      <c r="C717" s="276"/>
      <c r="D717" s="277"/>
      <c r="E717" s="278"/>
      <c r="F717" s="279"/>
      <c r="G717" s="280"/>
      <c r="H717" s="281"/>
      <c r="I717" s="282"/>
      <c r="J717" s="281"/>
      <c r="K717" s="283"/>
      <c r="L717" s="284"/>
      <c r="M717" s="287"/>
      <c r="O717" s="286"/>
      <c r="P717" s="269"/>
      <c r="Q717" s="269"/>
      <c r="R717" s="269"/>
    </row>
    <row r="718" spans="1:18" s="285" customFormat="1" ht="39.6" customHeight="1" x14ac:dyDescent="0.25">
      <c r="A718" s="276"/>
      <c r="B718" s="276"/>
      <c r="C718" s="276"/>
      <c r="D718" s="277"/>
      <c r="E718" s="278"/>
      <c r="F718" s="279"/>
      <c r="G718" s="280"/>
      <c r="H718" s="281"/>
      <c r="I718" s="282"/>
      <c r="J718" s="281"/>
      <c r="K718" s="283"/>
      <c r="L718" s="284"/>
      <c r="M718" s="287"/>
      <c r="O718" s="286"/>
      <c r="P718" s="269"/>
      <c r="Q718" s="269"/>
      <c r="R718" s="269"/>
    </row>
    <row r="719" spans="1:18" s="285" customFormat="1" ht="39.6" customHeight="1" x14ac:dyDescent="0.25">
      <c r="A719" s="276"/>
      <c r="B719" s="276"/>
      <c r="C719" s="276"/>
      <c r="D719" s="277"/>
      <c r="E719" s="278"/>
      <c r="F719" s="279"/>
      <c r="G719" s="280"/>
      <c r="H719" s="281"/>
      <c r="I719" s="282"/>
      <c r="J719" s="281"/>
      <c r="K719" s="283"/>
      <c r="L719" s="284"/>
      <c r="M719" s="287"/>
      <c r="O719" s="286"/>
      <c r="P719" s="269"/>
      <c r="Q719" s="269"/>
      <c r="R719" s="269"/>
    </row>
    <row r="720" spans="1:18" s="285" customFormat="1" ht="39.6" customHeight="1" x14ac:dyDescent="0.25">
      <c r="A720" s="276"/>
      <c r="B720" s="276"/>
      <c r="C720" s="276"/>
      <c r="D720" s="277"/>
      <c r="E720" s="278"/>
      <c r="F720" s="279"/>
      <c r="G720" s="280"/>
      <c r="H720" s="281"/>
      <c r="I720" s="282"/>
      <c r="J720" s="281"/>
      <c r="K720" s="283"/>
      <c r="L720" s="284"/>
      <c r="M720" s="287"/>
      <c r="O720" s="286"/>
      <c r="P720" s="269"/>
      <c r="Q720" s="269"/>
      <c r="R720" s="269"/>
    </row>
    <row r="721" spans="1:18" s="285" customFormat="1" ht="39.6" customHeight="1" x14ac:dyDescent="0.25">
      <c r="A721" s="276"/>
      <c r="B721" s="276"/>
      <c r="C721" s="276"/>
      <c r="D721" s="277"/>
      <c r="E721" s="278"/>
      <c r="F721" s="279"/>
      <c r="G721" s="280"/>
      <c r="H721" s="281"/>
      <c r="I721" s="282"/>
      <c r="J721" s="281"/>
      <c r="K721" s="283"/>
      <c r="L721" s="284"/>
      <c r="M721" s="287"/>
      <c r="O721" s="286"/>
      <c r="P721" s="269"/>
      <c r="Q721" s="269"/>
      <c r="R721" s="269"/>
    </row>
    <row r="722" spans="1:18" s="285" customFormat="1" ht="39.6" customHeight="1" x14ac:dyDescent="0.25">
      <c r="A722" s="276"/>
      <c r="B722" s="276"/>
      <c r="C722" s="276"/>
      <c r="D722" s="277"/>
      <c r="E722" s="278"/>
      <c r="F722" s="279"/>
      <c r="G722" s="280"/>
      <c r="H722" s="281"/>
      <c r="I722" s="282"/>
      <c r="J722" s="281"/>
      <c r="K722" s="283"/>
      <c r="L722" s="284"/>
      <c r="M722" s="287"/>
      <c r="O722" s="286"/>
      <c r="P722" s="269"/>
      <c r="Q722" s="269"/>
      <c r="R722" s="269"/>
    </row>
    <row r="723" spans="1:18" s="285" customFormat="1" ht="39.6" customHeight="1" x14ac:dyDescent="0.25">
      <c r="A723" s="276"/>
      <c r="B723" s="276"/>
      <c r="C723" s="276"/>
      <c r="D723" s="277"/>
      <c r="E723" s="278"/>
      <c r="F723" s="279"/>
      <c r="G723" s="280"/>
      <c r="H723" s="281"/>
      <c r="I723" s="282"/>
      <c r="J723" s="281"/>
      <c r="K723" s="283"/>
      <c r="L723" s="284"/>
      <c r="M723" s="287"/>
      <c r="O723" s="286"/>
      <c r="P723" s="269"/>
      <c r="Q723" s="269"/>
      <c r="R723" s="269"/>
    </row>
    <row r="724" spans="1:18" s="285" customFormat="1" ht="39.6" customHeight="1" x14ac:dyDescent="0.25">
      <c r="A724" s="276"/>
      <c r="B724" s="276"/>
      <c r="C724" s="276"/>
      <c r="D724" s="277"/>
      <c r="E724" s="278"/>
      <c r="F724" s="279"/>
      <c r="G724" s="280"/>
      <c r="H724" s="281"/>
      <c r="I724" s="282"/>
      <c r="J724" s="281"/>
      <c r="K724" s="283"/>
      <c r="L724" s="284"/>
      <c r="M724" s="287"/>
      <c r="O724" s="286"/>
      <c r="P724" s="269"/>
      <c r="Q724" s="269"/>
      <c r="R724" s="269"/>
    </row>
    <row r="725" spans="1:18" s="285" customFormat="1" ht="39.6" customHeight="1" x14ac:dyDescent="0.25">
      <c r="A725" s="276"/>
      <c r="B725" s="276"/>
      <c r="C725" s="276"/>
      <c r="D725" s="277"/>
      <c r="E725" s="278"/>
      <c r="F725" s="279"/>
      <c r="G725" s="280"/>
      <c r="H725" s="281"/>
      <c r="I725" s="282"/>
      <c r="J725" s="281"/>
      <c r="K725" s="283"/>
      <c r="L725" s="284"/>
      <c r="M725" s="287"/>
      <c r="O725" s="286"/>
      <c r="P725" s="269"/>
      <c r="Q725" s="269"/>
      <c r="R725" s="269"/>
    </row>
    <row r="726" spans="1:18" s="285" customFormat="1" ht="39.6" customHeight="1" x14ac:dyDescent="0.25">
      <c r="A726" s="276"/>
      <c r="B726" s="276"/>
      <c r="C726" s="276"/>
      <c r="D726" s="277"/>
      <c r="E726" s="278"/>
      <c r="F726" s="279"/>
      <c r="G726" s="280"/>
      <c r="H726" s="281"/>
      <c r="I726" s="282"/>
      <c r="J726" s="281"/>
      <c r="K726" s="283"/>
      <c r="L726" s="284"/>
      <c r="M726" s="287"/>
      <c r="O726" s="286"/>
      <c r="P726" s="269"/>
      <c r="Q726" s="269"/>
      <c r="R726" s="269"/>
    </row>
    <row r="727" spans="1:18" s="285" customFormat="1" ht="39.6" customHeight="1" x14ac:dyDescent="0.25">
      <c r="A727" s="276"/>
      <c r="B727" s="276"/>
      <c r="C727" s="276"/>
      <c r="D727" s="277"/>
      <c r="E727" s="278"/>
      <c r="F727" s="279"/>
      <c r="G727" s="280"/>
      <c r="H727" s="281"/>
      <c r="I727" s="282"/>
      <c r="J727" s="281"/>
      <c r="K727" s="283"/>
      <c r="L727" s="284"/>
      <c r="M727" s="287"/>
      <c r="O727" s="286"/>
      <c r="P727" s="269"/>
      <c r="Q727" s="269"/>
      <c r="R727" s="269"/>
    </row>
    <row r="728" spans="1:18" s="285" customFormat="1" ht="39.6" customHeight="1" x14ac:dyDescent="0.25">
      <c r="A728" s="276"/>
      <c r="B728" s="276"/>
      <c r="C728" s="276"/>
      <c r="D728" s="277"/>
      <c r="E728" s="278"/>
      <c r="F728" s="279"/>
      <c r="G728" s="280"/>
      <c r="H728" s="281"/>
      <c r="I728" s="282"/>
      <c r="J728" s="281"/>
      <c r="K728" s="283"/>
      <c r="L728" s="284"/>
      <c r="M728" s="287"/>
      <c r="O728" s="286"/>
      <c r="P728" s="269"/>
      <c r="Q728" s="269"/>
      <c r="R728" s="269"/>
    </row>
    <row r="729" spans="1:18" s="285" customFormat="1" ht="39.6" customHeight="1" x14ac:dyDescent="0.25">
      <c r="A729" s="276"/>
      <c r="B729" s="276"/>
      <c r="C729" s="276"/>
      <c r="D729" s="277"/>
      <c r="E729" s="278"/>
      <c r="F729" s="279"/>
      <c r="G729" s="280"/>
      <c r="H729" s="281"/>
      <c r="I729" s="282"/>
      <c r="J729" s="281"/>
      <c r="K729" s="283"/>
      <c r="L729" s="284"/>
      <c r="M729" s="287"/>
      <c r="O729" s="286"/>
      <c r="P729" s="269"/>
      <c r="Q729" s="269"/>
      <c r="R729" s="269"/>
    </row>
    <row r="730" spans="1:18" s="285" customFormat="1" ht="39.6" customHeight="1" x14ac:dyDescent="0.25">
      <c r="A730" s="276"/>
      <c r="B730" s="276"/>
      <c r="C730" s="276"/>
      <c r="D730" s="277"/>
      <c r="E730" s="278"/>
      <c r="F730" s="279"/>
      <c r="G730" s="280"/>
      <c r="H730" s="281"/>
      <c r="I730" s="282"/>
      <c r="J730" s="281"/>
      <c r="K730" s="283"/>
      <c r="L730" s="284"/>
      <c r="M730" s="287"/>
      <c r="O730" s="286"/>
      <c r="P730" s="269"/>
      <c r="Q730" s="269"/>
      <c r="R730" s="269"/>
    </row>
    <row r="731" spans="1:18" s="285" customFormat="1" ht="39.6" customHeight="1" x14ac:dyDescent="0.25">
      <c r="A731" s="276"/>
      <c r="B731" s="276"/>
      <c r="C731" s="276"/>
      <c r="D731" s="277"/>
      <c r="E731" s="278"/>
      <c r="F731" s="279"/>
      <c r="G731" s="280"/>
      <c r="H731" s="281"/>
      <c r="I731" s="282"/>
      <c r="J731" s="281"/>
      <c r="K731" s="283"/>
      <c r="L731" s="284"/>
      <c r="M731" s="287"/>
      <c r="O731" s="286"/>
      <c r="P731" s="269"/>
      <c r="Q731" s="269"/>
      <c r="R731" s="269"/>
    </row>
    <row r="732" spans="1:18" s="285" customFormat="1" ht="39.6" customHeight="1" x14ac:dyDescent="0.25">
      <c r="A732" s="276"/>
      <c r="B732" s="276"/>
      <c r="C732" s="276"/>
      <c r="D732" s="277"/>
      <c r="E732" s="278"/>
      <c r="F732" s="279"/>
      <c r="G732" s="280"/>
      <c r="H732" s="281"/>
      <c r="I732" s="282"/>
      <c r="J732" s="281"/>
      <c r="K732" s="283"/>
      <c r="L732" s="284"/>
      <c r="M732" s="287"/>
      <c r="O732" s="286"/>
      <c r="P732" s="269"/>
      <c r="Q732" s="269"/>
      <c r="R732" s="269"/>
    </row>
    <row r="733" spans="1:18" s="285" customFormat="1" ht="39.6" customHeight="1" x14ac:dyDescent="0.25">
      <c r="A733" s="276"/>
      <c r="B733" s="276"/>
      <c r="C733" s="276"/>
      <c r="D733" s="277"/>
      <c r="E733" s="278"/>
      <c r="F733" s="279"/>
      <c r="G733" s="280"/>
      <c r="H733" s="281"/>
      <c r="I733" s="282"/>
      <c r="J733" s="281"/>
      <c r="K733" s="283"/>
      <c r="L733" s="284"/>
      <c r="M733" s="287"/>
      <c r="O733" s="286"/>
      <c r="P733" s="269"/>
      <c r="Q733" s="269"/>
      <c r="R733" s="269"/>
    </row>
    <row r="734" spans="1:18" s="285" customFormat="1" ht="39.6" customHeight="1" x14ac:dyDescent="0.25">
      <c r="A734" s="276"/>
      <c r="B734" s="276"/>
      <c r="C734" s="276"/>
      <c r="D734" s="277"/>
      <c r="E734" s="278"/>
      <c r="F734" s="279"/>
      <c r="G734" s="280"/>
      <c r="H734" s="281"/>
      <c r="I734" s="282"/>
      <c r="J734" s="281"/>
      <c r="K734" s="283"/>
      <c r="L734" s="284"/>
      <c r="M734" s="287"/>
      <c r="O734" s="286"/>
      <c r="P734" s="269"/>
      <c r="Q734" s="269"/>
      <c r="R734" s="269"/>
    </row>
    <row r="735" spans="1:18" s="285" customFormat="1" ht="39.6" customHeight="1" x14ac:dyDescent="0.25">
      <c r="A735" s="276"/>
      <c r="B735" s="276"/>
      <c r="C735" s="276"/>
      <c r="D735" s="277"/>
      <c r="E735" s="278"/>
      <c r="F735" s="279"/>
      <c r="G735" s="280"/>
      <c r="H735" s="281"/>
      <c r="I735" s="282"/>
      <c r="J735" s="281"/>
      <c r="K735" s="283"/>
      <c r="L735" s="284"/>
      <c r="M735" s="287"/>
      <c r="O735" s="286"/>
      <c r="P735" s="269"/>
      <c r="Q735" s="269"/>
      <c r="R735" s="269"/>
    </row>
    <row r="736" spans="1:18" s="285" customFormat="1" ht="39.6" customHeight="1" x14ac:dyDescent="0.25">
      <c r="A736" s="276"/>
      <c r="B736" s="276"/>
      <c r="C736" s="276"/>
      <c r="D736" s="277"/>
      <c r="E736" s="278"/>
      <c r="F736" s="279"/>
      <c r="G736" s="280"/>
      <c r="H736" s="281"/>
      <c r="I736" s="282"/>
      <c r="J736" s="281"/>
      <c r="K736" s="283"/>
      <c r="L736" s="284"/>
      <c r="M736" s="287"/>
      <c r="O736" s="286"/>
      <c r="P736" s="269"/>
      <c r="Q736" s="269"/>
      <c r="R736" s="269"/>
    </row>
    <row r="737" spans="1:18" s="285" customFormat="1" ht="39.6" customHeight="1" x14ac:dyDescent="0.25">
      <c r="A737" s="276"/>
      <c r="B737" s="276"/>
      <c r="C737" s="276"/>
      <c r="D737" s="277"/>
      <c r="E737" s="278"/>
      <c r="F737" s="279"/>
      <c r="G737" s="280"/>
      <c r="H737" s="281"/>
      <c r="I737" s="282"/>
      <c r="J737" s="281"/>
      <c r="K737" s="283"/>
      <c r="L737" s="284"/>
      <c r="M737" s="287"/>
      <c r="O737" s="286"/>
      <c r="P737" s="269"/>
      <c r="Q737" s="269"/>
      <c r="R737" s="269"/>
    </row>
    <row r="738" spans="1:18" s="285" customFormat="1" ht="39.6" customHeight="1" x14ac:dyDescent="0.25">
      <c r="A738" s="276"/>
      <c r="B738" s="276"/>
      <c r="C738" s="276"/>
      <c r="D738" s="277"/>
      <c r="E738" s="278"/>
      <c r="F738" s="279"/>
      <c r="G738" s="280"/>
      <c r="H738" s="281"/>
      <c r="I738" s="282"/>
      <c r="J738" s="281"/>
      <c r="K738" s="283"/>
      <c r="L738" s="284"/>
      <c r="M738" s="287"/>
      <c r="O738" s="286"/>
      <c r="P738" s="269"/>
      <c r="Q738" s="269"/>
      <c r="R738" s="269"/>
    </row>
    <row r="739" spans="1:18" s="285" customFormat="1" ht="39.6" customHeight="1" x14ac:dyDescent="0.25">
      <c r="A739" s="276"/>
      <c r="B739" s="276"/>
      <c r="C739" s="276"/>
      <c r="D739" s="277"/>
      <c r="E739" s="278"/>
      <c r="F739" s="279"/>
      <c r="G739" s="280"/>
      <c r="H739" s="281"/>
      <c r="I739" s="282"/>
      <c r="J739" s="281"/>
      <c r="K739" s="283"/>
      <c r="L739" s="284"/>
      <c r="M739" s="287"/>
      <c r="O739" s="286"/>
      <c r="P739" s="269"/>
      <c r="Q739" s="269"/>
      <c r="R739" s="269"/>
    </row>
    <row r="740" spans="1:18" s="285" customFormat="1" ht="39.6" customHeight="1" x14ac:dyDescent="0.25">
      <c r="A740" s="276"/>
      <c r="B740" s="276"/>
      <c r="C740" s="276"/>
      <c r="D740" s="277"/>
      <c r="E740" s="278"/>
      <c r="F740" s="279"/>
      <c r="G740" s="280"/>
      <c r="H740" s="281"/>
      <c r="I740" s="282"/>
      <c r="J740" s="281"/>
      <c r="K740" s="283"/>
      <c r="L740" s="284"/>
      <c r="M740" s="287"/>
      <c r="O740" s="286"/>
      <c r="P740" s="269"/>
      <c r="Q740" s="269"/>
      <c r="R740" s="269"/>
    </row>
    <row r="741" spans="1:18" s="285" customFormat="1" ht="39.6" customHeight="1" x14ac:dyDescent="0.25">
      <c r="A741" s="276"/>
      <c r="B741" s="276"/>
      <c r="C741" s="276"/>
      <c r="D741" s="277"/>
      <c r="E741" s="278"/>
      <c r="F741" s="279"/>
      <c r="G741" s="280"/>
      <c r="H741" s="281"/>
      <c r="I741" s="282"/>
      <c r="J741" s="281"/>
      <c r="K741" s="283"/>
      <c r="L741" s="284"/>
      <c r="M741" s="287"/>
      <c r="O741" s="286"/>
      <c r="P741" s="269"/>
      <c r="Q741" s="269"/>
      <c r="R741" s="269"/>
    </row>
    <row r="742" spans="1:18" s="285" customFormat="1" ht="39.6" customHeight="1" x14ac:dyDescent="0.25">
      <c r="A742" s="276"/>
      <c r="B742" s="276"/>
      <c r="C742" s="276"/>
      <c r="D742" s="277"/>
      <c r="E742" s="278"/>
      <c r="F742" s="279"/>
      <c r="G742" s="280"/>
      <c r="H742" s="281"/>
      <c r="I742" s="282"/>
      <c r="J742" s="281"/>
      <c r="K742" s="283"/>
      <c r="L742" s="284"/>
      <c r="M742" s="287"/>
      <c r="O742" s="286"/>
      <c r="P742" s="269"/>
      <c r="Q742" s="269"/>
      <c r="R742" s="269"/>
    </row>
    <row r="743" spans="1:18" s="285" customFormat="1" ht="39.6" customHeight="1" x14ac:dyDescent="0.25">
      <c r="A743" s="276"/>
      <c r="B743" s="276"/>
      <c r="C743" s="276"/>
      <c r="D743" s="277"/>
      <c r="E743" s="278"/>
      <c r="F743" s="279"/>
      <c r="G743" s="280"/>
      <c r="H743" s="281"/>
      <c r="I743" s="282"/>
      <c r="J743" s="281"/>
      <c r="K743" s="283"/>
      <c r="L743" s="284"/>
      <c r="M743" s="287"/>
      <c r="O743" s="286"/>
      <c r="P743" s="269"/>
      <c r="Q743" s="269"/>
      <c r="R743" s="269"/>
    </row>
    <row r="744" spans="1:18" s="285" customFormat="1" ht="39.6" customHeight="1" x14ac:dyDescent="0.25">
      <c r="A744" s="276"/>
      <c r="B744" s="276"/>
      <c r="C744" s="276"/>
      <c r="D744" s="277"/>
      <c r="E744" s="278"/>
      <c r="F744" s="279"/>
      <c r="G744" s="280"/>
      <c r="H744" s="281"/>
      <c r="I744" s="282"/>
      <c r="J744" s="281"/>
      <c r="K744" s="283"/>
      <c r="L744" s="284"/>
      <c r="M744" s="287"/>
      <c r="O744" s="286"/>
      <c r="P744" s="269"/>
      <c r="Q744" s="269"/>
      <c r="R744" s="269"/>
    </row>
    <row r="745" spans="1:18" s="285" customFormat="1" ht="39.6" customHeight="1" x14ac:dyDescent="0.25">
      <c r="A745" s="276"/>
      <c r="B745" s="276"/>
      <c r="C745" s="276"/>
      <c r="D745" s="277"/>
      <c r="E745" s="278"/>
      <c r="F745" s="279"/>
      <c r="G745" s="280"/>
      <c r="H745" s="281"/>
      <c r="I745" s="282"/>
      <c r="J745" s="281"/>
      <c r="K745" s="283"/>
      <c r="L745" s="284"/>
      <c r="M745" s="287"/>
      <c r="O745" s="286"/>
      <c r="P745" s="269"/>
      <c r="Q745" s="269"/>
      <c r="R745" s="269"/>
    </row>
    <row r="746" spans="1:18" s="285" customFormat="1" ht="39.6" customHeight="1" x14ac:dyDescent="0.25">
      <c r="A746" s="276"/>
      <c r="B746" s="276"/>
      <c r="C746" s="276"/>
      <c r="D746" s="277"/>
      <c r="E746" s="278"/>
      <c r="F746" s="279"/>
      <c r="G746" s="280"/>
      <c r="H746" s="281"/>
      <c r="I746" s="282"/>
      <c r="J746" s="281"/>
      <c r="K746" s="283"/>
      <c r="L746" s="284"/>
      <c r="M746" s="287"/>
      <c r="O746" s="286"/>
      <c r="P746" s="269"/>
      <c r="Q746" s="269"/>
      <c r="R746" s="269"/>
    </row>
    <row r="747" spans="1:18" s="285" customFormat="1" ht="39.6" customHeight="1" x14ac:dyDescent="0.25">
      <c r="A747" s="276"/>
      <c r="B747" s="276"/>
      <c r="C747" s="276"/>
      <c r="D747" s="277"/>
      <c r="E747" s="278"/>
      <c r="F747" s="279"/>
      <c r="G747" s="280"/>
      <c r="H747" s="281"/>
      <c r="I747" s="282"/>
      <c r="J747" s="281"/>
      <c r="K747" s="283"/>
      <c r="L747" s="284"/>
      <c r="M747" s="287"/>
      <c r="O747" s="286"/>
      <c r="P747" s="269"/>
      <c r="Q747" s="269"/>
      <c r="R747" s="269"/>
    </row>
    <row r="748" spans="1:18" s="285" customFormat="1" ht="39.6" customHeight="1" x14ac:dyDescent="0.25">
      <c r="A748" s="276"/>
      <c r="B748" s="276"/>
      <c r="C748" s="276"/>
      <c r="D748" s="277"/>
      <c r="E748" s="278"/>
      <c r="F748" s="279"/>
      <c r="G748" s="280"/>
      <c r="H748" s="281"/>
      <c r="I748" s="282"/>
      <c r="J748" s="281"/>
      <c r="K748" s="283"/>
      <c r="L748" s="284"/>
      <c r="M748" s="287"/>
      <c r="O748" s="286"/>
      <c r="P748" s="269"/>
      <c r="Q748" s="269"/>
      <c r="R748" s="269"/>
    </row>
    <row r="749" spans="1:18" s="285" customFormat="1" ht="39.6" customHeight="1" x14ac:dyDescent="0.25">
      <c r="A749" s="276"/>
      <c r="B749" s="276"/>
      <c r="C749" s="276"/>
      <c r="D749" s="277"/>
      <c r="E749" s="278"/>
      <c r="F749" s="279"/>
      <c r="G749" s="280"/>
      <c r="H749" s="281"/>
      <c r="I749" s="282"/>
      <c r="J749" s="281"/>
      <c r="K749" s="283"/>
      <c r="L749" s="284"/>
      <c r="M749" s="287"/>
      <c r="O749" s="286"/>
      <c r="P749" s="269"/>
      <c r="Q749" s="269"/>
      <c r="R749" s="269"/>
    </row>
    <row r="750" spans="1:18" s="285" customFormat="1" ht="39.6" customHeight="1" x14ac:dyDescent="0.25">
      <c r="A750" s="276"/>
      <c r="B750" s="276"/>
      <c r="C750" s="276"/>
      <c r="D750" s="277"/>
      <c r="E750" s="278"/>
      <c r="F750" s="279"/>
      <c r="G750" s="280"/>
      <c r="H750" s="281"/>
      <c r="I750" s="282"/>
      <c r="J750" s="281"/>
      <c r="K750" s="283"/>
      <c r="L750" s="284"/>
      <c r="M750" s="287"/>
      <c r="O750" s="286"/>
      <c r="P750" s="269"/>
      <c r="Q750" s="269"/>
      <c r="R750" s="269"/>
    </row>
    <row r="751" spans="1:18" s="285" customFormat="1" ht="39.6" customHeight="1" x14ac:dyDescent="0.25">
      <c r="A751" s="276"/>
      <c r="B751" s="276"/>
      <c r="C751" s="276"/>
      <c r="D751" s="277"/>
      <c r="E751" s="278"/>
      <c r="F751" s="279"/>
      <c r="G751" s="280"/>
      <c r="H751" s="281"/>
      <c r="I751" s="282"/>
      <c r="J751" s="281"/>
      <c r="K751" s="283"/>
      <c r="L751" s="284"/>
      <c r="M751" s="287"/>
      <c r="O751" s="286"/>
      <c r="P751" s="269"/>
      <c r="Q751" s="269"/>
      <c r="R751" s="269"/>
    </row>
    <row r="752" spans="1:18" s="285" customFormat="1" ht="39.6" customHeight="1" x14ac:dyDescent="0.25">
      <c r="A752" s="276"/>
      <c r="B752" s="276"/>
      <c r="C752" s="276"/>
      <c r="D752" s="277"/>
      <c r="E752" s="278"/>
      <c r="F752" s="279"/>
      <c r="G752" s="280"/>
      <c r="H752" s="281"/>
      <c r="I752" s="282"/>
      <c r="J752" s="281"/>
      <c r="K752" s="283"/>
      <c r="L752" s="284"/>
      <c r="M752" s="287"/>
      <c r="O752" s="286"/>
      <c r="P752" s="269"/>
      <c r="Q752" s="269"/>
      <c r="R752" s="269"/>
    </row>
    <row r="753" spans="1:18" s="285" customFormat="1" ht="39.6" customHeight="1" x14ac:dyDescent="0.25">
      <c r="A753" s="276"/>
      <c r="B753" s="276"/>
      <c r="C753" s="276"/>
      <c r="D753" s="277"/>
      <c r="E753" s="278"/>
      <c r="F753" s="279"/>
      <c r="G753" s="280"/>
      <c r="H753" s="281"/>
      <c r="I753" s="282"/>
      <c r="J753" s="281"/>
      <c r="K753" s="283"/>
      <c r="L753" s="284"/>
      <c r="M753" s="287"/>
      <c r="O753" s="286"/>
      <c r="P753" s="269"/>
      <c r="Q753" s="269"/>
      <c r="R753" s="269"/>
    </row>
    <row r="754" spans="1:18" s="285" customFormat="1" ht="39.6" customHeight="1" x14ac:dyDescent="0.25">
      <c r="A754" s="276"/>
      <c r="B754" s="276"/>
      <c r="C754" s="276"/>
      <c r="D754" s="277"/>
      <c r="E754" s="278"/>
      <c r="F754" s="279"/>
      <c r="G754" s="280"/>
      <c r="H754" s="281"/>
      <c r="I754" s="282"/>
      <c r="J754" s="281"/>
      <c r="K754" s="283"/>
      <c r="L754" s="284"/>
      <c r="M754" s="287"/>
      <c r="O754" s="286"/>
      <c r="P754" s="269"/>
      <c r="Q754" s="269"/>
      <c r="R754" s="269"/>
    </row>
    <row r="755" spans="1:18" s="285" customFormat="1" ht="39.6" customHeight="1" x14ac:dyDescent="0.25">
      <c r="A755" s="276"/>
      <c r="B755" s="276"/>
      <c r="C755" s="276"/>
      <c r="D755" s="277"/>
      <c r="E755" s="278"/>
      <c r="F755" s="279"/>
      <c r="G755" s="280"/>
      <c r="H755" s="281"/>
      <c r="I755" s="282"/>
      <c r="J755" s="281"/>
      <c r="K755" s="283"/>
      <c r="L755" s="284"/>
      <c r="M755" s="287"/>
      <c r="O755" s="286"/>
      <c r="P755" s="269"/>
      <c r="Q755" s="269"/>
      <c r="R755" s="269"/>
    </row>
    <row r="756" spans="1:18" s="285" customFormat="1" ht="39.6" customHeight="1" x14ac:dyDescent="0.25">
      <c r="A756" s="276"/>
      <c r="B756" s="276"/>
      <c r="C756" s="276"/>
      <c r="D756" s="277"/>
      <c r="E756" s="278"/>
      <c r="F756" s="279"/>
      <c r="G756" s="280"/>
      <c r="H756" s="281"/>
      <c r="I756" s="282"/>
      <c r="J756" s="281"/>
      <c r="K756" s="283"/>
      <c r="L756" s="284"/>
      <c r="M756" s="287"/>
      <c r="O756" s="286"/>
      <c r="P756" s="269"/>
      <c r="Q756" s="269"/>
      <c r="R756" s="269"/>
    </row>
    <row r="757" spans="1:18" s="285" customFormat="1" ht="39.6" customHeight="1" x14ac:dyDescent="0.25">
      <c r="A757" s="276"/>
      <c r="B757" s="276"/>
      <c r="C757" s="276"/>
      <c r="D757" s="277"/>
      <c r="E757" s="278"/>
      <c r="F757" s="279"/>
      <c r="G757" s="280"/>
      <c r="H757" s="281"/>
      <c r="I757" s="282"/>
      <c r="J757" s="281"/>
      <c r="K757" s="283"/>
      <c r="L757" s="284"/>
      <c r="M757" s="287"/>
      <c r="O757" s="286"/>
      <c r="P757" s="269"/>
      <c r="Q757" s="269"/>
      <c r="R757" s="269"/>
    </row>
    <row r="758" spans="1:18" s="285" customFormat="1" ht="39.6" customHeight="1" x14ac:dyDescent="0.25">
      <c r="A758" s="276"/>
      <c r="B758" s="276"/>
      <c r="C758" s="276"/>
      <c r="D758" s="277"/>
      <c r="E758" s="278"/>
      <c r="F758" s="279"/>
      <c r="G758" s="280"/>
      <c r="H758" s="281"/>
      <c r="I758" s="282"/>
      <c r="J758" s="281"/>
      <c r="K758" s="283"/>
      <c r="L758" s="284"/>
      <c r="M758" s="287"/>
      <c r="O758" s="286"/>
      <c r="P758" s="269"/>
      <c r="Q758" s="269"/>
      <c r="R758" s="269"/>
    </row>
    <row r="759" spans="1:18" s="285" customFormat="1" ht="39.6" customHeight="1" x14ac:dyDescent="0.25">
      <c r="A759" s="276"/>
      <c r="B759" s="276"/>
      <c r="C759" s="276"/>
      <c r="D759" s="277"/>
      <c r="E759" s="278"/>
      <c r="F759" s="279"/>
      <c r="G759" s="280"/>
      <c r="H759" s="281"/>
      <c r="I759" s="282"/>
      <c r="J759" s="281"/>
      <c r="K759" s="283"/>
      <c r="L759" s="284"/>
      <c r="M759" s="287"/>
      <c r="O759" s="286"/>
      <c r="P759" s="269"/>
      <c r="Q759" s="269"/>
      <c r="R759" s="269"/>
    </row>
    <row r="760" spans="1:18" s="285" customFormat="1" ht="39.6" customHeight="1" x14ac:dyDescent="0.25">
      <c r="A760" s="276"/>
      <c r="B760" s="276"/>
      <c r="C760" s="276"/>
      <c r="D760" s="277"/>
      <c r="E760" s="278"/>
      <c r="F760" s="279"/>
      <c r="G760" s="280"/>
      <c r="H760" s="281"/>
      <c r="I760" s="282"/>
      <c r="J760" s="281"/>
      <c r="K760" s="283"/>
      <c r="L760" s="284"/>
      <c r="M760" s="287"/>
      <c r="O760" s="286"/>
      <c r="P760" s="269"/>
      <c r="Q760" s="269"/>
      <c r="R760" s="269"/>
    </row>
    <row r="761" spans="1:18" s="285" customFormat="1" ht="39.6" customHeight="1" x14ac:dyDescent="0.25">
      <c r="A761" s="276"/>
      <c r="B761" s="276"/>
      <c r="C761" s="276"/>
      <c r="D761" s="277"/>
      <c r="E761" s="278"/>
      <c r="F761" s="279"/>
      <c r="G761" s="280"/>
      <c r="H761" s="281"/>
      <c r="I761" s="282"/>
      <c r="J761" s="281"/>
      <c r="K761" s="283"/>
      <c r="L761" s="284"/>
      <c r="M761" s="287"/>
      <c r="O761" s="286"/>
      <c r="P761" s="269"/>
      <c r="Q761" s="269"/>
      <c r="R761" s="269"/>
    </row>
    <row r="762" spans="1:18" s="285" customFormat="1" ht="39.6" customHeight="1" x14ac:dyDescent="0.25">
      <c r="A762" s="276"/>
      <c r="B762" s="276"/>
      <c r="C762" s="276"/>
      <c r="D762" s="277"/>
      <c r="E762" s="278"/>
      <c r="F762" s="279"/>
      <c r="G762" s="280"/>
      <c r="H762" s="281"/>
      <c r="I762" s="282"/>
      <c r="J762" s="281"/>
      <c r="K762" s="283"/>
      <c r="L762" s="284"/>
      <c r="M762" s="287"/>
      <c r="O762" s="286"/>
      <c r="P762" s="269"/>
      <c r="Q762" s="269"/>
      <c r="R762" s="269"/>
    </row>
    <row r="763" spans="1:18" s="285" customFormat="1" ht="39.6" customHeight="1" x14ac:dyDescent="0.25">
      <c r="A763" s="276"/>
      <c r="B763" s="276"/>
      <c r="C763" s="276"/>
      <c r="D763" s="277"/>
      <c r="E763" s="278"/>
      <c r="F763" s="279"/>
      <c r="G763" s="280"/>
      <c r="H763" s="281"/>
      <c r="I763" s="282"/>
      <c r="J763" s="281"/>
      <c r="K763" s="283"/>
      <c r="L763" s="284"/>
      <c r="M763" s="287"/>
      <c r="O763" s="286"/>
      <c r="P763" s="269"/>
      <c r="Q763" s="269"/>
      <c r="R763" s="269"/>
    </row>
    <row r="764" spans="1:18" s="285" customFormat="1" ht="39.6" customHeight="1" x14ac:dyDescent="0.25">
      <c r="A764" s="276"/>
      <c r="B764" s="276"/>
      <c r="C764" s="276"/>
      <c r="D764" s="277"/>
      <c r="E764" s="278"/>
      <c r="F764" s="279"/>
      <c r="G764" s="280"/>
      <c r="H764" s="281"/>
      <c r="I764" s="282"/>
      <c r="J764" s="281"/>
      <c r="K764" s="283"/>
      <c r="L764" s="284"/>
      <c r="M764" s="287"/>
      <c r="O764" s="286"/>
      <c r="P764" s="269"/>
      <c r="Q764" s="269"/>
      <c r="R764" s="269"/>
    </row>
    <row r="765" spans="1:18" s="285" customFormat="1" ht="39.6" customHeight="1" x14ac:dyDescent="0.25">
      <c r="A765" s="276"/>
      <c r="B765" s="276"/>
      <c r="C765" s="276"/>
      <c r="D765" s="277"/>
      <c r="E765" s="278"/>
      <c r="F765" s="279"/>
      <c r="G765" s="280"/>
      <c r="H765" s="281"/>
      <c r="I765" s="282"/>
      <c r="J765" s="281"/>
      <c r="K765" s="283"/>
      <c r="L765" s="284"/>
      <c r="M765" s="287"/>
      <c r="O765" s="286"/>
      <c r="P765" s="269"/>
      <c r="Q765" s="269"/>
      <c r="R765" s="269"/>
    </row>
    <row r="766" spans="1:18" s="285" customFormat="1" ht="39.6" customHeight="1" x14ac:dyDescent="0.25">
      <c r="A766" s="276"/>
      <c r="B766" s="276"/>
      <c r="C766" s="276"/>
      <c r="D766" s="277"/>
      <c r="E766" s="278"/>
      <c r="F766" s="279"/>
      <c r="G766" s="280"/>
      <c r="H766" s="281"/>
      <c r="I766" s="282"/>
      <c r="J766" s="281"/>
      <c r="K766" s="283"/>
      <c r="L766" s="284"/>
      <c r="M766" s="287"/>
      <c r="O766" s="286"/>
      <c r="P766" s="269"/>
      <c r="Q766" s="269"/>
      <c r="R766" s="269"/>
    </row>
    <row r="767" spans="1:18" s="285" customFormat="1" ht="39.6" customHeight="1" x14ac:dyDescent="0.25">
      <c r="A767" s="276"/>
      <c r="B767" s="276"/>
      <c r="C767" s="276"/>
      <c r="D767" s="277"/>
      <c r="E767" s="278"/>
      <c r="F767" s="279"/>
      <c r="G767" s="280"/>
      <c r="H767" s="281"/>
      <c r="I767" s="282"/>
      <c r="J767" s="281"/>
      <c r="K767" s="283"/>
      <c r="L767" s="284"/>
      <c r="M767" s="287"/>
      <c r="O767" s="286"/>
      <c r="P767" s="269"/>
      <c r="Q767" s="269"/>
      <c r="R767" s="269"/>
    </row>
    <row r="768" spans="1:18" s="285" customFormat="1" ht="39.6" customHeight="1" x14ac:dyDescent="0.25">
      <c r="A768" s="276"/>
      <c r="B768" s="276"/>
      <c r="C768" s="276"/>
      <c r="D768" s="277"/>
      <c r="E768" s="278"/>
      <c r="F768" s="279"/>
      <c r="G768" s="280"/>
      <c r="H768" s="281"/>
      <c r="I768" s="282"/>
      <c r="J768" s="281"/>
      <c r="K768" s="283"/>
      <c r="L768" s="284"/>
      <c r="M768" s="287"/>
      <c r="O768" s="286"/>
      <c r="P768" s="269"/>
      <c r="Q768" s="269"/>
      <c r="R768" s="269"/>
    </row>
    <row r="769" spans="1:18" s="285" customFormat="1" ht="39.6" customHeight="1" x14ac:dyDescent="0.25">
      <c r="A769" s="276"/>
      <c r="B769" s="276"/>
      <c r="C769" s="276"/>
      <c r="D769" s="277"/>
      <c r="E769" s="278"/>
      <c r="F769" s="279"/>
      <c r="G769" s="280"/>
      <c r="H769" s="281"/>
      <c r="I769" s="282"/>
      <c r="J769" s="281"/>
      <c r="K769" s="283"/>
      <c r="L769" s="284"/>
      <c r="M769" s="287"/>
      <c r="O769" s="286"/>
      <c r="P769" s="269"/>
      <c r="Q769" s="269"/>
      <c r="R769" s="269"/>
    </row>
    <row r="770" spans="1:18" s="285" customFormat="1" ht="39.6" customHeight="1" x14ac:dyDescent="0.25">
      <c r="A770" s="276"/>
      <c r="B770" s="276"/>
      <c r="C770" s="276"/>
      <c r="D770" s="277"/>
      <c r="E770" s="278"/>
      <c r="F770" s="279"/>
      <c r="G770" s="280"/>
      <c r="H770" s="281"/>
      <c r="I770" s="282"/>
      <c r="J770" s="281"/>
      <c r="K770" s="283"/>
      <c r="L770" s="284"/>
      <c r="M770" s="287"/>
      <c r="O770" s="286"/>
      <c r="P770" s="269"/>
      <c r="Q770" s="269"/>
      <c r="R770" s="269"/>
    </row>
    <row r="771" spans="1:18" s="285" customFormat="1" ht="39.6" customHeight="1" x14ac:dyDescent="0.25">
      <c r="A771" s="276"/>
      <c r="B771" s="276"/>
      <c r="C771" s="276"/>
      <c r="D771" s="277"/>
      <c r="E771" s="278"/>
      <c r="F771" s="279"/>
      <c r="G771" s="280"/>
      <c r="H771" s="281"/>
      <c r="I771" s="282"/>
      <c r="J771" s="281"/>
      <c r="K771" s="283"/>
      <c r="L771" s="284"/>
      <c r="M771" s="287"/>
      <c r="O771" s="286"/>
      <c r="P771" s="269"/>
      <c r="Q771" s="269"/>
      <c r="R771" s="269"/>
    </row>
    <row r="772" spans="1:18" s="285" customFormat="1" ht="39.6" customHeight="1" x14ac:dyDescent="0.25">
      <c r="A772" s="276"/>
      <c r="B772" s="276"/>
      <c r="C772" s="276"/>
      <c r="D772" s="277"/>
      <c r="E772" s="278"/>
      <c r="F772" s="279"/>
      <c r="G772" s="280"/>
      <c r="H772" s="281"/>
      <c r="I772" s="282"/>
      <c r="J772" s="281"/>
      <c r="K772" s="283"/>
      <c r="L772" s="284"/>
      <c r="M772" s="287"/>
      <c r="O772" s="286"/>
      <c r="P772" s="269"/>
      <c r="Q772" s="269"/>
      <c r="R772" s="269"/>
    </row>
    <row r="773" spans="1:18" s="285" customFormat="1" ht="39.6" customHeight="1" x14ac:dyDescent="0.25">
      <c r="A773" s="276"/>
      <c r="B773" s="276"/>
      <c r="C773" s="276"/>
      <c r="D773" s="277"/>
      <c r="E773" s="278"/>
      <c r="F773" s="279"/>
      <c r="G773" s="280"/>
      <c r="H773" s="281"/>
      <c r="I773" s="282"/>
      <c r="J773" s="281"/>
      <c r="K773" s="283"/>
      <c r="L773" s="284"/>
      <c r="M773" s="287"/>
      <c r="O773" s="286"/>
      <c r="P773" s="269"/>
      <c r="Q773" s="269"/>
      <c r="R773" s="269"/>
    </row>
    <row r="774" spans="1:18" s="285" customFormat="1" ht="39.6" customHeight="1" x14ac:dyDescent="0.25">
      <c r="A774" s="276"/>
      <c r="B774" s="276"/>
      <c r="C774" s="276"/>
      <c r="D774" s="277"/>
      <c r="E774" s="278"/>
      <c r="F774" s="279"/>
      <c r="G774" s="280"/>
      <c r="H774" s="281"/>
      <c r="I774" s="282"/>
      <c r="J774" s="281"/>
      <c r="K774" s="283"/>
      <c r="L774" s="284"/>
      <c r="M774" s="287"/>
      <c r="O774" s="286"/>
      <c r="P774" s="269"/>
      <c r="Q774" s="269"/>
      <c r="R774" s="269"/>
    </row>
    <row r="775" spans="1:18" s="285" customFormat="1" ht="39.6" customHeight="1" x14ac:dyDescent="0.25">
      <c r="A775" s="276"/>
      <c r="B775" s="276"/>
      <c r="C775" s="276"/>
      <c r="D775" s="277"/>
      <c r="E775" s="278"/>
      <c r="F775" s="279"/>
      <c r="G775" s="280"/>
      <c r="H775" s="281"/>
      <c r="I775" s="282"/>
      <c r="J775" s="281"/>
      <c r="K775" s="283"/>
      <c r="L775" s="284"/>
      <c r="M775" s="287"/>
      <c r="O775" s="286"/>
      <c r="P775" s="269"/>
      <c r="Q775" s="269"/>
      <c r="R775" s="269"/>
    </row>
    <row r="776" spans="1:18" s="285" customFormat="1" ht="39.6" customHeight="1" x14ac:dyDescent="0.25">
      <c r="A776" s="276"/>
      <c r="B776" s="276"/>
      <c r="C776" s="276"/>
      <c r="D776" s="277"/>
      <c r="E776" s="278"/>
      <c r="F776" s="279"/>
      <c r="G776" s="280"/>
      <c r="H776" s="281"/>
      <c r="I776" s="282"/>
      <c r="J776" s="281"/>
      <c r="K776" s="283"/>
      <c r="L776" s="284"/>
      <c r="M776" s="287"/>
      <c r="O776" s="286"/>
      <c r="P776" s="269"/>
      <c r="Q776" s="269"/>
      <c r="R776" s="269"/>
    </row>
    <row r="777" spans="1:18" s="285" customFormat="1" ht="39.6" customHeight="1" x14ac:dyDescent="0.25">
      <c r="A777" s="276"/>
      <c r="B777" s="276"/>
      <c r="C777" s="276"/>
      <c r="D777" s="277"/>
      <c r="E777" s="278"/>
      <c r="F777" s="279"/>
      <c r="G777" s="280"/>
      <c r="H777" s="281"/>
      <c r="I777" s="282"/>
      <c r="J777" s="281"/>
      <c r="K777" s="283"/>
      <c r="L777" s="284"/>
      <c r="M777" s="287"/>
      <c r="O777" s="286"/>
      <c r="P777" s="269"/>
      <c r="Q777" s="269"/>
      <c r="R777" s="269"/>
    </row>
    <row r="778" spans="1:18" s="285" customFormat="1" ht="39.6" customHeight="1" x14ac:dyDescent="0.25">
      <c r="A778" s="276"/>
      <c r="B778" s="276"/>
      <c r="C778" s="276"/>
      <c r="D778" s="277"/>
      <c r="E778" s="278"/>
      <c r="F778" s="279"/>
      <c r="G778" s="280"/>
      <c r="H778" s="281"/>
      <c r="I778" s="282"/>
      <c r="J778" s="281"/>
      <c r="K778" s="283"/>
      <c r="L778" s="284"/>
      <c r="M778" s="287"/>
      <c r="O778" s="286"/>
      <c r="P778" s="269"/>
      <c r="Q778" s="269"/>
      <c r="R778" s="269"/>
    </row>
    <row r="779" spans="1:18" s="285" customFormat="1" ht="39.6" customHeight="1" x14ac:dyDescent="0.25">
      <c r="A779" s="276"/>
      <c r="B779" s="276"/>
      <c r="C779" s="276"/>
      <c r="D779" s="277"/>
      <c r="E779" s="278"/>
      <c r="F779" s="279"/>
      <c r="G779" s="280"/>
      <c r="H779" s="281"/>
      <c r="I779" s="282"/>
      <c r="J779" s="281"/>
      <c r="K779" s="283"/>
      <c r="L779" s="284"/>
      <c r="M779" s="287"/>
      <c r="O779" s="286"/>
      <c r="P779" s="269"/>
      <c r="Q779" s="269"/>
      <c r="R779" s="269"/>
    </row>
    <row r="780" spans="1:18" s="285" customFormat="1" ht="39.6" customHeight="1" x14ac:dyDescent="0.25">
      <c r="A780" s="276"/>
      <c r="B780" s="276"/>
      <c r="C780" s="276"/>
      <c r="D780" s="277"/>
      <c r="E780" s="278"/>
      <c r="F780" s="279"/>
      <c r="G780" s="280"/>
      <c r="H780" s="281"/>
      <c r="I780" s="282"/>
      <c r="J780" s="281"/>
      <c r="K780" s="283"/>
      <c r="L780" s="284"/>
      <c r="M780" s="287"/>
      <c r="O780" s="286"/>
      <c r="P780" s="269"/>
      <c r="Q780" s="269"/>
      <c r="R780" s="269"/>
    </row>
    <row r="781" spans="1:18" s="285" customFormat="1" ht="39.6" customHeight="1" x14ac:dyDescent="0.25">
      <c r="A781" s="276"/>
      <c r="B781" s="276"/>
      <c r="C781" s="276"/>
      <c r="D781" s="277"/>
      <c r="E781" s="278"/>
      <c r="F781" s="279"/>
      <c r="G781" s="280"/>
      <c r="H781" s="281"/>
      <c r="I781" s="282"/>
      <c r="J781" s="281"/>
      <c r="K781" s="283"/>
      <c r="L781" s="284"/>
      <c r="M781" s="287"/>
      <c r="O781" s="286"/>
      <c r="P781" s="269"/>
      <c r="Q781" s="269"/>
      <c r="R781" s="269"/>
    </row>
    <row r="782" spans="1:18" s="285" customFormat="1" ht="39.6" customHeight="1" x14ac:dyDescent="0.25">
      <c r="A782" s="276"/>
      <c r="B782" s="276"/>
      <c r="C782" s="276"/>
      <c r="D782" s="277"/>
      <c r="E782" s="278"/>
      <c r="F782" s="279"/>
      <c r="G782" s="280"/>
      <c r="H782" s="281"/>
      <c r="I782" s="282"/>
      <c r="J782" s="281"/>
      <c r="K782" s="283"/>
      <c r="L782" s="284"/>
      <c r="M782" s="287"/>
      <c r="O782" s="286"/>
      <c r="P782" s="269"/>
      <c r="Q782" s="269"/>
      <c r="R782" s="269"/>
    </row>
    <row r="783" spans="1:18" s="285" customFormat="1" ht="39.6" customHeight="1" x14ac:dyDescent="0.25">
      <c r="A783" s="276"/>
      <c r="B783" s="276"/>
      <c r="C783" s="276"/>
      <c r="D783" s="277"/>
      <c r="E783" s="278"/>
      <c r="F783" s="279"/>
      <c r="G783" s="280"/>
      <c r="H783" s="281"/>
      <c r="I783" s="282"/>
      <c r="J783" s="281"/>
      <c r="K783" s="283"/>
      <c r="L783" s="284"/>
      <c r="M783" s="287"/>
      <c r="O783" s="286"/>
      <c r="P783" s="269"/>
      <c r="Q783" s="269"/>
      <c r="R783" s="269"/>
    </row>
    <row r="784" spans="1:18" s="285" customFormat="1" ht="39.6" customHeight="1" x14ac:dyDescent="0.25">
      <c r="A784" s="276"/>
      <c r="B784" s="276"/>
      <c r="C784" s="276"/>
      <c r="D784" s="277"/>
      <c r="E784" s="278"/>
      <c r="F784" s="279"/>
      <c r="G784" s="280"/>
      <c r="H784" s="281"/>
      <c r="I784" s="282"/>
      <c r="J784" s="281"/>
      <c r="K784" s="283"/>
      <c r="L784" s="284"/>
      <c r="M784" s="287"/>
      <c r="O784" s="286"/>
      <c r="P784" s="269"/>
      <c r="Q784" s="269"/>
      <c r="R784" s="269"/>
    </row>
    <row r="785" spans="1:18" s="285" customFormat="1" ht="39.6" customHeight="1" x14ac:dyDescent="0.25">
      <c r="A785" s="276"/>
      <c r="B785" s="276"/>
      <c r="C785" s="276"/>
      <c r="D785" s="277"/>
      <c r="E785" s="278"/>
      <c r="F785" s="279"/>
      <c r="G785" s="280"/>
      <c r="H785" s="281"/>
      <c r="I785" s="282"/>
      <c r="J785" s="281"/>
      <c r="K785" s="283"/>
      <c r="L785" s="284"/>
      <c r="M785" s="287"/>
      <c r="O785" s="286"/>
      <c r="P785" s="269"/>
      <c r="Q785" s="269"/>
      <c r="R785" s="269"/>
    </row>
    <row r="786" spans="1:18" s="285" customFormat="1" ht="39.6" customHeight="1" x14ac:dyDescent="0.25">
      <c r="A786" s="276"/>
      <c r="B786" s="276"/>
      <c r="C786" s="276"/>
      <c r="D786" s="277"/>
      <c r="E786" s="278"/>
      <c r="F786" s="279"/>
      <c r="G786" s="280"/>
      <c r="H786" s="281"/>
      <c r="I786" s="282"/>
      <c r="J786" s="281"/>
      <c r="K786" s="283"/>
      <c r="L786" s="284"/>
      <c r="M786" s="287"/>
      <c r="O786" s="286"/>
      <c r="P786" s="269"/>
      <c r="Q786" s="269"/>
      <c r="R786" s="269"/>
    </row>
    <row r="787" spans="1:18" s="285" customFormat="1" ht="39.6" customHeight="1" x14ac:dyDescent="0.25">
      <c r="A787" s="276"/>
      <c r="B787" s="276"/>
      <c r="C787" s="276"/>
      <c r="D787" s="277"/>
      <c r="E787" s="278"/>
      <c r="F787" s="279"/>
      <c r="G787" s="280"/>
      <c r="H787" s="281"/>
      <c r="I787" s="282"/>
      <c r="J787" s="281"/>
      <c r="K787" s="283"/>
      <c r="L787" s="284"/>
      <c r="M787" s="287"/>
      <c r="O787" s="286"/>
      <c r="P787" s="269"/>
      <c r="Q787" s="269"/>
      <c r="R787" s="269"/>
    </row>
    <row r="788" spans="1:18" s="285" customFormat="1" ht="39.6" customHeight="1" x14ac:dyDescent="0.25">
      <c r="A788" s="276"/>
      <c r="B788" s="276"/>
      <c r="C788" s="276"/>
      <c r="D788" s="277"/>
      <c r="E788" s="278"/>
      <c r="F788" s="279"/>
      <c r="G788" s="280"/>
      <c r="H788" s="281"/>
      <c r="I788" s="282"/>
      <c r="J788" s="281"/>
      <c r="K788" s="283"/>
      <c r="L788" s="284"/>
      <c r="M788" s="287"/>
      <c r="O788" s="286"/>
      <c r="P788" s="269"/>
      <c r="Q788" s="269"/>
      <c r="R788" s="269"/>
    </row>
    <row r="789" spans="1:18" s="285" customFormat="1" ht="39.6" customHeight="1" x14ac:dyDescent="0.25">
      <c r="A789" s="276"/>
      <c r="B789" s="276"/>
      <c r="C789" s="276"/>
      <c r="D789" s="277"/>
      <c r="E789" s="278"/>
      <c r="F789" s="279"/>
      <c r="G789" s="280"/>
      <c r="H789" s="281"/>
      <c r="I789" s="282"/>
      <c r="J789" s="281"/>
      <c r="K789" s="283"/>
      <c r="L789" s="284"/>
      <c r="M789" s="287"/>
      <c r="O789" s="286"/>
      <c r="P789" s="269"/>
      <c r="Q789" s="269"/>
      <c r="R789" s="269"/>
    </row>
    <row r="790" spans="1:18" s="285" customFormat="1" ht="39.6" customHeight="1" x14ac:dyDescent="0.25">
      <c r="A790" s="276"/>
      <c r="B790" s="276"/>
      <c r="C790" s="276"/>
      <c r="D790" s="277"/>
      <c r="E790" s="278"/>
      <c r="F790" s="279"/>
      <c r="G790" s="280"/>
      <c r="H790" s="281"/>
      <c r="I790" s="282"/>
      <c r="J790" s="281"/>
      <c r="K790" s="283"/>
      <c r="L790" s="284"/>
      <c r="M790" s="287"/>
      <c r="O790" s="286"/>
      <c r="P790" s="269"/>
      <c r="Q790" s="269"/>
      <c r="R790" s="269"/>
    </row>
    <row r="791" spans="1:18" s="285" customFormat="1" ht="39.6" customHeight="1" x14ac:dyDescent="0.25">
      <c r="A791" s="276"/>
      <c r="B791" s="276"/>
      <c r="C791" s="276"/>
      <c r="D791" s="277"/>
      <c r="E791" s="278"/>
      <c r="F791" s="279"/>
      <c r="G791" s="280"/>
      <c r="H791" s="281"/>
      <c r="I791" s="282"/>
      <c r="J791" s="281"/>
      <c r="K791" s="283"/>
      <c r="L791" s="284"/>
      <c r="M791" s="287"/>
      <c r="O791" s="286"/>
      <c r="P791" s="269"/>
      <c r="Q791" s="269"/>
      <c r="R791" s="269"/>
    </row>
    <row r="792" spans="1:18" s="285" customFormat="1" ht="39.6" customHeight="1" x14ac:dyDescent="0.25">
      <c r="A792" s="276"/>
      <c r="B792" s="276"/>
      <c r="C792" s="276"/>
      <c r="D792" s="277"/>
      <c r="E792" s="278"/>
      <c r="F792" s="279"/>
      <c r="G792" s="280"/>
      <c r="H792" s="281"/>
      <c r="I792" s="282"/>
      <c r="J792" s="281"/>
      <c r="K792" s="283"/>
      <c r="L792" s="284"/>
      <c r="M792" s="287"/>
      <c r="O792" s="286"/>
      <c r="P792" s="269"/>
      <c r="Q792" s="269"/>
      <c r="R792" s="269"/>
    </row>
    <row r="793" spans="1:18" s="285" customFormat="1" ht="39.6" customHeight="1" x14ac:dyDescent="0.25">
      <c r="A793" s="276"/>
      <c r="B793" s="276"/>
      <c r="C793" s="276"/>
      <c r="D793" s="277"/>
      <c r="E793" s="278"/>
      <c r="F793" s="279"/>
      <c r="G793" s="280"/>
      <c r="H793" s="281"/>
      <c r="I793" s="282"/>
      <c r="J793" s="281"/>
      <c r="K793" s="283"/>
      <c r="L793" s="284"/>
      <c r="M793" s="287"/>
      <c r="O793" s="286"/>
      <c r="P793" s="269"/>
      <c r="Q793" s="269"/>
      <c r="R793" s="269"/>
    </row>
    <row r="794" spans="1:18" s="285" customFormat="1" ht="39.6" customHeight="1" x14ac:dyDescent="0.25">
      <c r="A794" s="276"/>
      <c r="B794" s="276"/>
      <c r="C794" s="276"/>
      <c r="D794" s="277"/>
      <c r="E794" s="278"/>
      <c r="F794" s="279"/>
      <c r="G794" s="280"/>
      <c r="H794" s="281"/>
      <c r="I794" s="282"/>
      <c r="J794" s="281"/>
      <c r="K794" s="283"/>
      <c r="L794" s="284"/>
      <c r="M794" s="287"/>
      <c r="O794" s="286"/>
      <c r="P794" s="269"/>
      <c r="Q794" s="269"/>
      <c r="R794" s="269"/>
    </row>
    <row r="795" spans="1:18" s="285" customFormat="1" ht="39.6" customHeight="1" x14ac:dyDescent="0.25">
      <c r="A795" s="276"/>
      <c r="B795" s="276"/>
      <c r="C795" s="276"/>
      <c r="D795" s="277"/>
      <c r="E795" s="278"/>
      <c r="F795" s="279"/>
      <c r="G795" s="280"/>
      <c r="H795" s="281"/>
      <c r="I795" s="282"/>
      <c r="J795" s="281"/>
      <c r="K795" s="283"/>
      <c r="L795" s="284"/>
      <c r="M795" s="287"/>
      <c r="O795" s="286"/>
      <c r="P795" s="269"/>
      <c r="Q795" s="269"/>
      <c r="R795" s="269"/>
    </row>
    <row r="796" spans="1:18" s="285" customFormat="1" ht="39.6" customHeight="1" x14ac:dyDescent="0.25">
      <c r="A796" s="276"/>
      <c r="B796" s="276"/>
      <c r="C796" s="276"/>
      <c r="D796" s="277"/>
      <c r="E796" s="278"/>
      <c r="F796" s="279"/>
      <c r="G796" s="280"/>
      <c r="H796" s="281"/>
      <c r="I796" s="282"/>
      <c r="J796" s="281"/>
      <c r="K796" s="283"/>
      <c r="L796" s="284"/>
      <c r="M796" s="287"/>
      <c r="O796" s="286"/>
      <c r="P796" s="269"/>
      <c r="Q796" s="269"/>
      <c r="R796" s="269"/>
    </row>
    <row r="797" spans="1:18" s="285" customFormat="1" ht="39.6" customHeight="1" x14ac:dyDescent="0.25">
      <c r="A797" s="276"/>
      <c r="B797" s="276"/>
      <c r="C797" s="276"/>
      <c r="D797" s="277"/>
      <c r="E797" s="278"/>
      <c r="F797" s="279"/>
      <c r="G797" s="280"/>
      <c r="H797" s="281"/>
      <c r="I797" s="282"/>
      <c r="J797" s="281"/>
      <c r="K797" s="283"/>
      <c r="L797" s="284"/>
      <c r="M797" s="287"/>
      <c r="O797" s="286"/>
      <c r="P797" s="269"/>
      <c r="Q797" s="269"/>
      <c r="R797" s="269"/>
    </row>
    <row r="798" spans="1:18" s="285" customFormat="1" ht="39.6" customHeight="1" x14ac:dyDescent="0.25">
      <c r="A798" s="276"/>
      <c r="B798" s="276"/>
      <c r="C798" s="276"/>
      <c r="D798" s="277"/>
      <c r="E798" s="278"/>
      <c r="F798" s="279"/>
      <c r="G798" s="280"/>
      <c r="H798" s="281"/>
      <c r="I798" s="282"/>
      <c r="J798" s="281"/>
      <c r="K798" s="283"/>
      <c r="L798" s="284"/>
      <c r="M798" s="287"/>
      <c r="O798" s="286"/>
      <c r="P798" s="269"/>
      <c r="Q798" s="269"/>
      <c r="R798" s="269"/>
    </row>
    <row r="799" spans="1:18" s="285" customFormat="1" ht="39.6" customHeight="1" x14ac:dyDescent="0.25">
      <c r="A799" s="276"/>
      <c r="B799" s="276"/>
      <c r="C799" s="276"/>
      <c r="D799" s="277"/>
      <c r="E799" s="278"/>
      <c r="F799" s="279"/>
      <c r="G799" s="280"/>
      <c r="H799" s="281"/>
      <c r="I799" s="282"/>
      <c r="J799" s="281"/>
      <c r="K799" s="283"/>
      <c r="L799" s="284"/>
      <c r="M799" s="287"/>
      <c r="O799" s="286"/>
      <c r="P799" s="269"/>
      <c r="Q799" s="269"/>
      <c r="R799" s="269"/>
    </row>
    <row r="800" spans="1:18" s="285" customFormat="1" ht="39.6" customHeight="1" x14ac:dyDescent="0.25">
      <c r="A800" s="276"/>
      <c r="B800" s="276"/>
      <c r="C800" s="276"/>
      <c r="D800" s="277"/>
      <c r="E800" s="278"/>
      <c r="F800" s="279"/>
      <c r="G800" s="280"/>
      <c r="H800" s="281"/>
      <c r="I800" s="282"/>
      <c r="J800" s="281"/>
      <c r="K800" s="283"/>
      <c r="L800" s="284"/>
      <c r="M800" s="287"/>
      <c r="O800" s="286"/>
      <c r="P800" s="269"/>
      <c r="Q800" s="269"/>
      <c r="R800" s="269"/>
    </row>
    <row r="801" spans="1:18" s="285" customFormat="1" ht="39.6" customHeight="1" x14ac:dyDescent="0.25">
      <c r="A801" s="276"/>
      <c r="B801" s="276"/>
      <c r="C801" s="276"/>
      <c r="D801" s="277"/>
      <c r="E801" s="278"/>
      <c r="F801" s="279"/>
      <c r="G801" s="280"/>
      <c r="H801" s="281"/>
      <c r="I801" s="282"/>
      <c r="J801" s="281"/>
      <c r="K801" s="283"/>
      <c r="L801" s="284"/>
      <c r="M801" s="287"/>
      <c r="O801" s="286"/>
      <c r="P801" s="269"/>
      <c r="Q801" s="269"/>
      <c r="R801" s="269"/>
    </row>
    <row r="802" spans="1:18" s="285" customFormat="1" ht="39.6" customHeight="1" x14ac:dyDescent="0.25">
      <c r="A802" s="276"/>
      <c r="B802" s="276"/>
      <c r="C802" s="276"/>
      <c r="D802" s="277"/>
      <c r="E802" s="278"/>
      <c r="F802" s="279"/>
      <c r="G802" s="280"/>
      <c r="H802" s="281"/>
      <c r="I802" s="282"/>
      <c r="J802" s="281"/>
      <c r="K802" s="283"/>
      <c r="L802" s="284"/>
      <c r="M802" s="287"/>
      <c r="O802" s="286"/>
      <c r="P802" s="269"/>
      <c r="Q802" s="269"/>
      <c r="R802" s="269"/>
    </row>
    <row r="803" spans="1:18" s="285" customFormat="1" ht="39.6" customHeight="1" x14ac:dyDescent="0.25">
      <c r="A803" s="276"/>
      <c r="B803" s="276"/>
      <c r="C803" s="276"/>
      <c r="D803" s="277"/>
      <c r="E803" s="278"/>
      <c r="F803" s="279"/>
      <c r="G803" s="280"/>
      <c r="H803" s="281"/>
      <c r="I803" s="282"/>
      <c r="J803" s="281"/>
      <c r="K803" s="283"/>
      <c r="L803" s="284"/>
      <c r="M803" s="287"/>
      <c r="O803" s="286"/>
      <c r="P803" s="269"/>
      <c r="Q803" s="269"/>
      <c r="R803" s="269"/>
    </row>
    <row r="804" spans="1:18" s="285" customFormat="1" ht="39.6" customHeight="1" x14ac:dyDescent="0.25">
      <c r="A804" s="276"/>
      <c r="B804" s="276"/>
      <c r="C804" s="276"/>
      <c r="D804" s="277"/>
      <c r="E804" s="278"/>
      <c r="F804" s="279"/>
      <c r="G804" s="280"/>
      <c r="H804" s="281"/>
      <c r="I804" s="282"/>
      <c r="J804" s="281"/>
      <c r="K804" s="283"/>
      <c r="L804" s="284"/>
      <c r="M804" s="287"/>
      <c r="O804" s="286"/>
      <c r="P804" s="269"/>
      <c r="Q804" s="269"/>
      <c r="R804" s="269"/>
    </row>
    <row r="805" spans="1:18" s="285" customFormat="1" ht="39.6" customHeight="1" x14ac:dyDescent="0.25">
      <c r="A805" s="276"/>
      <c r="B805" s="276"/>
      <c r="C805" s="276"/>
      <c r="D805" s="277"/>
      <c r="E805" s="278"/>
      <c r="F805" s="279"/>
      <c r="G805" s="280"/>
      <c r="H805" s="281"/>
      <c r="I805" s="282"/>
      <c r="J805" s="281"/>
      <c r="K805" s="283"/>
      <c r="L805" s="284"/>
      <c r="M805" s="287"/>
      <c r="O805" s="286"/>
      <c r="P805" s="269"/>
      <c r="Q805" s="269"/>
      <c r="R805" s="269"/>
    </row>
    <row r="806" spans="1:18" s="285" customFormat="1" ht="39.6" customHeight="1" x14ac:dyDescent="0.25">
      <c r="A806" s="276"/>
      <c r="B806" s="276"/>
      <c r="C806" s="276"/>
      <c r="D806" s="277"/>
      <c r="E806" s="278"/>
      <c r="F806" s="279"/>
      <c r="G806" s="280"/>
      <c r="H806" s="281"/>
      <c r="I806" s="282"/>
      <c r="J806" s="281"/>
      <c r="K806" s="283"/>
      <c r="L806" s="284"/>
      <c r="M806" s="287"/>
      <c r="O806" s="286"/>
      <c r="P806" s="269"/>
      <c r="Q806" s="269"/>
      <c r="R806" s="269"/>
    </row>
    <row r="807" spans="1:18" s="285" customFormat="1" ht="39.6" customHeight="1" x14ac:dyDescent="0.25">
      <c r="A807" s="276"/>
      <c r="B807" s="276"/>
      <c r="C807" s="276"/>
      <c r="D807" s="277"/>
      <c r="E807" s="278"/>
      <c r="F807" s="279"/>
      <c r="G807" s="280"/>
      <c r="H807" s="281"/>
      <c r="I807" s="282"/>
      <c r="J807" s="281"/>
      <c r="K807" s="283"/>
      <c r="L807" s="284"/>
      <c r="M807" s="287"/>
      <c r="O807" s="286"/>
      <c r="P807" s="269"/>
      <c r="Q807" s="269"/>
      <c r="R807" s="269"/>
    </row>
    <row r="808" spans="1:18" s="285" customFormat="1" ht="39.6" customHeight="1" x14ac:dyDescent="0.25">
      <c r="A808" s="276"/>
      <c r="B808" s="276"/>
      <c r="C808" s="276"/>
      <c r="D808" s="277"/>
      <c r="E808" s="278"/>
      <c r="F808" s="279"/>
      <c r="G808" s="280"/>
      <c r="H808" s="281"/>
      <c r="I808" s="282"/>
      <c r="J808" s="281"/>
      <c r="K808" s="283"/>
      <c r="L808" s="284"/>
      <c r="M808" s="287"/>
      <c r="O808" s="286"/>
      <c r="P808" s="269"/>
      <c r="Q808" s="269"/>
      <c r="R808" s="269"/>
    </row>
    <row r="809" spans="1:18" s="285" customFormat="1" ht="39.6" customHeight="1" x14ac:dyDescent="0.25">
      <c r="A809" s="276"/>
      <c r="B809" s="276"/>
      <c r="C809" s="276"/>
      <c r="D809" s="277"/>
      <c r="E809" s="278"/>
      <c r="F809" s="279"/>
      <c r="G809" s="280"/>
      <c r="H809" s="281"/>
      <c r="I809" s="282"/>
      <c r="J809" s="281"/>
      <c r="K809" s="283"/>
      <c r="L809" s="284"/>
      <c r="M809" s="287"/>
      <c r="O809" s="286"/>
      <c r="P809" s="269"/>
      <c r="Q809" s="269"/>
      <c r="R809" s="269"/>
    </row>
    <row r="810" spans="1:18" s="285" customFormat="1" ht="39.6" customHeight="1" x14ac:dyDescent="0.25">
      <c r="A810" s="276"/>
      <c r="B810" s="276"/>
      <c r="C810" s="276"/>
      <c r="D810" s="277"/>
      <c r="E810" s="278"/>
      <c r="F810" s="279"/>
      <c r="G810" s="280"/>
      <c r="H810" s="281"/>
      <c r="I810" s="282"/>
      <c r="J810" s="281"/>
      <c r="K810" s="283"/>
      <c r="L810" s="284"/>
      <c r="M810" s="287"/>
      <c r="O810" s="286"/>
      <c r="P810" s="269"/>
      <c r="Q810" s="269"/>
      <c r="R810" s="269"/>
    </row>
    <row r="811" spans="1:18" s="285" customFormat="1" ht="39.6" customHeight="1" x14ac:dyDescent="0.25">
      <c r="A811" s="276"/>
      <c r="B811" s="276"/>
      <c r="C811" s="276"/>
      <c r="D811" s="277"/>
      <c r="E811" s="278"/>
      <c r="F811" s="279"/>
      <c r="G811" s="280"/>
      <c r="H811" s="281"/>
      <c r="I811" s="282"/>
      <c r="J811" s="281"/>
      <c r="K811" s="283"/>
      <c r="L811" s="284"/>
      <c r="M811" s="287"/>
      <c r="O811" s="286"/>
      <c r="P811" s="269"/>
      <c r="Q811" s="269"/>
      <c r="R811" s="269"/>
    </row>
    <row r="812" spans="1:18" s="285" customFormat="1" ht="39.6" customHeight="1" x14ac:dyDescent="0.25">
      <c r="A812" s="276"/>
      <c r="B812" s="276"/>
      <c r="C812" s="276"/>
      <c r="D812" s="277"/>
      <c r="E812" s="278"/>
      <c r="F812" s="279"/>
      <c r="G812" s="280"/>
      <c r="H812" s="281"/>
      <c r="I812" s="282"/>
      <c r="J812" s="281"/>
      <c r="K812" s="283"/>
      <c r="L812" s="284"/>
      <c r="M812" s="287"/>
      <c r="O812" s="286"/>
      <c r="P812" s="269"/>
      <c r="Q812" s="269"/>
      <c r="R812" s="269"/>
    </row>
    <row r="813" spans="1:18" s="285" customFormat="1" ht="39.6" customHeight="1" x14ac:dyDescent="0.25">
      <c r="A813" s="276"/>
      <c r="B813" s="276"/>
      <c r="C813" s="276"/>
      <c r="D813" s="277"/>
      <c r="E813" s="278"/>
      <c r="F813" s="279"/>
      <c r="G813" s="280"/>
      <c r="H813" s="281"/>
      <c r="I813" s="282"/>
      <c r="J813" s="281"/>
      <c r="K813" s="283"/>
      <c r="L813" s="284"/>
      <c r="M813" s="287"/>
      <c r="O813" s="286"/>
      <c r="P813" s="269"/>
      <c r="Q813" s="269"/>
      <c r="R813" s="269"/>
    </row>
    <row r="814" spans="1:18" s="285" customFormat="1" ht="39.6" customHeight="1" x14ac:dyDescent="0.25">
      <c r="A814" s="276"/>
      <c r="B814" s="276"/>
      <c r="C814" s="276"/>
      <c r="D814" s="277"/>
      <c r="E814" s="278"/>
      <c r="F814" s="279"/>
      <c r="G814" s="280"/>
      <c r="H814" s="281"/>
      <c r="I814" s="282"/>
      <c r="J814" s="281"/>
      <c r="K814" s="283"/>
      <c r="L814" s="284"/>
      <c r="M814" s="287"/>
      <c r="O814" s="286"/>
      <c r="P814" s="269"/>
      <c r="Q814" s="269"/>
      <c r="R814" s="269"/>
    </row>
    <row r="815" spans="1:18" s="285" customFormat="1" ht="39.6" customHeight="1" x14ac:dyDescent="0.25">
      <c r="A815" s="276"/>
      <c r="B815" s="276"/>
      <c r="C815" s="276"/>
      <c r="D815" s="277"/>
      <c r="E815" s="278"/>
      <c r="F815" s="279"/>
      <c r="G815" s="280"/>
      <c r="H815" s="281"/>
      <c r="I815" s="282"/>
      <c r="J815" s="281"/>
      <c r="K815" s="283"/>
      <c r="L815" s="284"/>
      <c r="M815" s="287"/>
      <c r="O815" s="286"/>
      <c r="P815" s="269"/>
      <c r="Q815" s="269"/>
      <c r="R815" s="269"/>
    </row>
    <row r="816" spans="1:18" s="285" customFormat="1" ht="39.6" customHeight="1" x14ac:dyDescent="0.25">
      <c r="A816" s="276"/>
      <c r="B816" s="276"/>
      <c r="C816" s="276"/>
      <c r="D816" s="277"/>
      <c r="E816" s="278"/>
      <c r="F816" s="279"/>
      <c r="G816" s="280"/>
      <c r="H816" s="281"/>
      <c r="I816" s="282"/>
      <c r="J816" s="281"/>
      <c r="K816" s="283"/>
      <c r="L816" s="284"/>
      <c r="M816" s="287"/>
      <c r="O816" s="286"/>
      <c r="P816" s="269"/>
      <c r="Q816" s="269"/>
      <c r="R816" s="269"/>
    </row>
    <row r="817" spans="1:18" s="285" customFormat="1" ht="39.6" customHeight="1" x14ac:dyDescent="0.25">
      <c r="A817" s="276"/>
      <c r="B817" s="276"/>
      <c r="C817" s="276"/>
      <c r="D817" s="277"/>
      <c r="E817" s="278"/>
      <c r="F817" s="279"/>
      <c r="G817" s="280"/>
      <c r="H817" s="281"/>
      <c r="I817" s="282"/>
      <c r="J817" s="281"/>
      <c r="K817" s="283"/>
      <c r="L817" s="284"/>
      <c r="M817" s="287"/>
      <c r="O817" s="286"/>
      <c r="P817" s="269"/>
      <c r="Q817" s="269"/>
      <c r="R817" s="269"/>
    </row>
    <row r="818" spans="1:18" s="285" customFormat="1" ht="39.6" customHeight="1" x14ac:dyDescent="0.25">
      <c r="A818" s="276"/>
      <c r="B818" s="276"/>
      <c r="C818" s="276"/>
      <c r="D818" s="277"/>
      <c r="E818" s="278"/>
      <c r="F818" s="279"/>
      <c r="G818" s="280"/>
      <c r="H818" s="281"/>
      <c r="I818" s="282"/>
      <c r="J818" s="281"/>
      <c r="K818" s="283"/>
      <c r="L818" s="284"/>
      <c r="M818" s="287"/>
      <c r="O818" s="286"/>
      <c r="P818" s="269"/>
      <c r="Q818" s="269"/>
      <c r="R818" s="269"/>
    </row>
    <row r="819" spans="1:18" s="285" customFormat="1" ht="39.6" customHeight="1" x14ac:dyDescent="0.25">
      <c r="A819" s="276"/>
      <c r="B819" s="276"/>
      <c r="C819" s="276"/>
      <c r="D819" s="277"/>
      <c r="E819" s="278"/>
      <c r="F819" s="279"/>
      <c r="G819" s="280"/>
      <c r="H819" s="281"/>
      <c r="I819" s="282"/>
      <c r="J819" s="281"/>
      <c r="K819" s="283"/>
      <c r="L819" s="284"/>
      <c r="M819" s="287"/>
      <c r="O819" s="286"/>
      <c r="P819" s="269"/>
      <c r="Q819" s="269"/>
      <c r="R819" s="269"/>
    </row>
    <row r="820" spans="1:18" s="285" customFormat="1" ht="39.6" customHeight="1" x14ac:dyDescent="0.25">
      <c r="A820" s="276"/>
      <c r="B820" s="276"/>
      <c r="C820" s="276"/>
      <c r="D820" s="277"/>
      <c r="E820" s="278"/>
      <c r="F820" s="279"/>
      <c r="G820" s="280"/>
      <c r="H820" s="281"/>
      <c r="I820" s="282"/>
      <c r="J820" s="281"/>
      <c r="K820" s="283"/>
      <c r="L820" s="284"/>
      <c r="M820" s="287"/>
      <c r="O820" s="286"/>
      <c r="P820" s="269"/>
      <c r="Q820" s="269"/>
      <c r="R820" s="269"/>
    </row>
    <row r="821" spans="1:18" s="285" customFormat="1" ht="39.6" customHeight="1" x14ac:dyDescent="0.25">
      <c r="A821" s="276"/>
      <c r="B821" s="276"/>
      <c r="C821" s="276"/>
      <c r="D821" s="277"/>
      <c r="E821" s="278"/>
      <c r="F821" s="279"/>
      <c r="G821" s="280"/>
      <c r="H821" s="281"/>
      <c r="I821" s="282"/>
      <c r="J821" s="281"/>
      <c r="K821" s="283"/>
      <c r="L821" s="284"/>
      <c r="M821" s="287"/>
      <c r="O821" s="286"/>
      <c r="P821" s="269"/>
      <c r="Q821" s="269"/>
      <c r="R821" s="269"/>
    </row>
    <row r="822" spans="1:18" s="285" customFormat="1" ht="39.6" customHeight="1" x14ac:dyDescent="0.25">
      <c r="A822" s="276"/>
      <c r="B822" s="276"/>
      <c r="C822" s="276"/>
      <c r="D822" s="277"/>
      <c r="E822" s="278"/>
      <c r="F822" s="279"/>
      <c r="G822" s="280"/>
      <c r="H822" s="281"/>
      <c r="I822" s="282"/>
      <c r="J822" s="281"/>
      <c r="K822" s="283"/>
      <c r="L822" s="284"/>
      <c r="M822" s="287"/>
      <c r="O822" s="286"/>
      <c r="P822" s="269"/>
      <c r="Q822" s="269"/>
      <c r="R822" s="269"/>
    </row>
    <row r="823" spans="1:18" s="285" customFormat="1" ht="39.6" customHeight="1" x14ac:dyDescent="0.25">
      <c r="A823" s="276"/>
      <c r="B823" s="276"/>
      <c r="C823" s="276"/>
      <c r="D823" s="277"/>
      <c r="E823" s="278"/>
      <c r="F823" s="279"/>
      <c r="G823" s="280"/>
      <c r="H823" s="281"/>
      <c r="I823" s="282"/>
      <c r="J823" s="281"/>
      <c r="K823" s="283"/>
      <c r="L823" s="284"/>
      <c r="M823" s="287"/>
      <c r="O823" s="286"/>
      <c r="P823" s="269"/>
      <c r="Q823" s="269"/>
      <c r="R823" s="269"/>
    </row>
    <row r="824" spans="1:18" s="285" customFormat="1" ht="39.6" customHeight="1" x14ac:dyDescent="0.25">
      <c r="A824" s="276"/>
      <c r="B824" s="276"/>
      <c r="C824" s="276"/>
      <c r="D824" s="277"/>
      <c r="E824" s="278"/>
      <c r="F824" s="279"/>
      <c r="G824" s="280"/>
      <c r="H824" s="281"/>
      <c r="I824" s="282"/>
      <c r="J824" s="281"/>
      <c r="K824" s="283"/>
      <c r="L824" s="284"/>
      <c r="M824" s="287"/>
      <c r="O824" s="286"/>
      <c r="P824" s="269"/>
      <c r="Q824" s="269"/>
      <c r="R824" s="269"/>
    </row>
    <row r="825" spans="1:18" s="285" customFormat="1" ht="39.6" customHeight="1" x14ac:dyDescent="0.25">
      <c r="A825" s="276"/>
      <c r="B825" s="276"/>
      <c r="C825" s="276"/>
      <c r="D825" s="277"/>
      <c r="E825" s="278"/>
      <c r="F825" s="279"/>
      <c r="G825" s="280"/>
      <c r="H825" s="281"/>
      <c r="I825" s="282"/>
      <c r="J825" s="281"/>
      <c r="K825" s="283"/>
      <c r="L825" s="284"/>
      <c r="M825" s="287"/>
      <c r="O825" s="286"/>
      <c r="P825" s="269"/>
      <c r="Q825" s="269"/>
      <c r="R825" s="269"/>
    </row>
    <row r="826" spans="1:18" s="285" customFormat="1" ht="39.6" customHeight="1" x14ac:dyDescent="0.25">
      <c r="A826" s="276"/>
      <c r="B826" s="276"/>
      <c r="C826" s="276"/>
      <c r="D826" s="277"/>
      <c r="E826" s="278"/>
      <c r="F826" s="279"/>
      <c r="G826" s="280"/>
      <c r="H826" s="281"/>
      <c r="I826" s="282"/>
      <c r="J826" s="281"/>
      <c r="K826" s="283"/>
      <c r="L826" s="284"/>
      <c r="M826" s="287"/>
      <c r="O826" s="286"/>
      <c r="P826" s="269"/>
      <c r="Q826" s="269"/>
      <c r="R826" s="269"/>
    </row>
    <row r="827" spans="1:18" s="285" customFormat="1" ht="39.6" customHeight="1" x14ac:dyDescent="0.25">
      <c r="A827" s="276"/>
      <c r="B827" s="276"/>
      <c r="C827" s="276"/>
      <c r="D827" s="277"/>
      <c r="E827" s="278"/>
      <c r="F827" s="279"/>
      <c r="G827" s="280"/>
      <c r="H827" s="281"/>
      <c r="I827" s="282"/>
      <c r="J827" s="281"/>
      <c r="K827" s="283"/>
      <c r="L827" s="284"/>
      <c r="M827" s="287"/>
      <c r="O827" s="286"/>
      <c r="P827" s="269"/>
      <c r="Q827" s="269"/>
      <c r="R827" s="269"/>
    </row>
    <row r="828" spans="1:18" s="285" customFormat="1" ht="39.6" customHeight="1" x14ac:dyDescent="0.25">
      <c r="A828" s="276"/>
      <c r="B828" s="276"/>
      <c r="C828" s="276"/>
      <c r="D828" s="277"/>
      <c r="E828" s="278"/>
      <c r="F828" s="279"/>
      <c r="G828" s="280"/>
      <c r="H828" s="281"/>
      <c r="I828" s="282"/>
      <c r="J828" s="281"/>
      <c r="K828" s="283"/>
      <c r="L828" s="284"/>
      <c r="M828" s="287"/>
      <c r="O828" s="286"/>
      <c r="P828" s="269"/>
      <c r="Q828" s="269"/>
      <c r="R828" s="269"/>
    </row>
    <row r="829" spans="1:18" s="285" customFormat="1" ht="39.6" customHeight="1" x14ac:dyDescent="0.25">
      <c r="A829" s="276"/>
      <c r="B829" s="276"/>
      <c r="C829" s="276"/>
      <c r="D829" s="277"/>
      <c r="E829" s="278"/>
      <c r="F829" s="279"/>
      <c r="G829" s="280"/>
      <c r="H829" s="281"/>
      <c r="I829" s="282"/>
      <c r="J829" s="281"/>
      <c r="K829" s="283"/>
      <c r="L829" s="284"/>
      <c r="M829" s="287"/>
      <c r="O829" s="286"/>
      <c r="P829" s="269"/>
      <c r="Q829" s="269"/>
      <c r="R829" s="269"/>
    </row>
    <row r="830" spans="1:18" s="285" customFormat="1" ht="39.6" customHeight="1" x14ac:dyDescent="0.25">
      <c r="A830" s="276"/>
      <c r="B830" s="276"/>
      <c r="C830" s="276"/>
      <c r="D830" s="277"/>
      <c r="E830" s="278"/>
      <c r="F830" s="279"/>
      <c r="G830" s="280"/>
      <c r="H830" s="281"/>
      <c r="I830" s="282"/>
      <c r="J830" s="281"/>
      <c r="K830" s="283"/>
      <c r="L830" s="284"/>
      <c r="M830" s="287"/>
      <c r="O830" s="286"/>
      <c r="P830" s="269"/>
      <c r="Q830" s="269"/>
      <c r="R830" s="269"/>
    </row>
    <row r="831" spans="1:18" s="285" customFormat="1" ht="39.6" customHeight="1" x14ac:dyDescent="0.25">
      <c r="A831" s="276"/>
      <c r="B831" s="276"/>
      <c r="C831" s="276"/>
      <c r="D831" s="277"/>
      <c r="E831" s="278"/>
      <c r="F831" s="279"/>
      <c r="G831" s="280"/>
      <c r="H831" s="281"/>
      <c r="I831" s="282"/>
      <c r="J831" s="281"/>
      <c r="K831" s="283"/>
      <c r="L831" s="284"/>
      <c r="M831" s="287"/>
      <c r="O831" s="286"/>
      <c r="P831" s="269"/>
      <c r="Q831" s="269"/>
      <c r="R831" s="269"/>
    </row>
    <row r="832" spans="1:18" s="285" customFormat="1" ht="39.6" customHeight="1" x14ac:dyDescent="0.25">
      <c r="A832" s="276"/>
      <c r="B832" s="276"/>
      <c r="C832" s="276"/>
      <c r="D832" s="277"/>
      <c r="E832" s="278"/>
      <c r="F832" s="279"/>
      <c r="G832" s="280"/>
      <c r="H832" s="281"/>
      <c r="I832" s="282"/>
      <c r="J832" s="281"/>
      <c r="K832" s="283"/>
      <c r="L832" s="284"/>
      <c r="M832" s="287"/>
      <c r="O832" s="286"/>
      <c r="P832" s="269"/>
      <c r="Q832" s="269"/>
      <c r="R832" s="269"/>
    </row>
    <row r="833" spans="1:18" s="285" customFormat="1" ht="39.6" customHeight="1" x14ac:dyDescent="0.25">
      <c r="A833" s="276"/>
      <c r="B833" s="276"/>
      <c r="C833" s="276"/>
      <c r="D833" s="277"/>
      <c r="E833" s="278"/>
      <c r="F833" s="279"/>
      <c r="G833" s="280"/>
      <c r="H833" s="281"/>
      <c r="I833" s="282"/>
      <c r="J833" s="281"/>
      <c r="K833" s="283"/>
      <c r="L833" s="284"/>
      <c r="M833" s="287"/>
      <c r="O833" s="286"/>
      <c r="P833" s="269"/>
      <c r="Q833" s="269"/>
      <c r="R833" s="269"/>
    </row>
    <row r="834" spans="1:18" s="285" customFormat="1" ht="39.6" customHeight="1" x14ac:dyDescent="0.25">
      <c r="A834" s="276"/>
      <c r="B834" s="276"/>
      <c r="C834" s="276"/>
      <c r="D834" s="277"/>
      <c r="E834" s="278"/>
      <c r="F834" s="279"/>
      <c r="G834" s="280"/>
      <c r="H834" s="281"/>
      <c r="I834" s="282"/>
      <c r="J834" s="281"/>
      <c r="K834" s="283"/>
      <c r="L834" s="284"/>
      <c r="M834" s="287"/>
      <c r="O834" s="286"/>
      <c r="P834" s="269"/>
      <c r="Q834" s="269"/>
      <c r="R834" s="269"/>
    </row>
    <row r="835" spans="1:18" s="285" customFormat="1" ht="39.6" customHeight="1" x14ac:dyDescent="0.25">
      <c r="A835" s="276"/>
      <c r="B835" s="276"/>
      <c r="C835" s="276"/>
      <c r="D835" s="277"/>
      <c r="E835" s="278"/>
      <c r="F835" s="279"/>
      <c r="G835" s="280"/>
      <c r="H835" s="281"/>
      <c r="I835" s="282"/>
      <c r="J835" s="281"/>
      <c r="K835" s="283"/>
      <c r="L835" s="284"/>
      <c r="M835" s="287"/>
      <c r="O835" s="286"/>
      <c r="P835" s="269"/>
      <c r="Q835" s="269"/>
      <c r="R835" s="269"/>
    </row>
    <row r="836" spans="1:18" s="285" customFormat="1" ht="39.6" customHeight="1" x14ac:dyDescent="0.25">
      <c r="A836" s="276"/>
      <c r="B836" s="276"/>
      <c r="C836" s="276"/>
      <c r="D836" s="277"/>
      <c r="E836" s="278"/>
      <c r="F836" s="279"/>
      <c r="G836" s="280"/>
      <c r="H836" s="281"/>
      <c r="I836" s="282"/>
      <c r="J836" s="281"/>
      <c r="K836" s="283"/>
      <c r="L836" s="284"/>
      <c r="M836" s="287"/>
      <c r="O836" s="286"/>
      <c r="P836" s="269"/>
      <c r="Q836" s="269"/>
      <c r="R836" s="269"/>
    </row>
    <row r="837" spans="1:18" s="285" customFormat="1" ht="39.6" customHeight="1" x14ac:dyDescent="0.25">
      <c r="A837" s="276"/>
      <c r="B837" s="276"/>
      <c r="C837" s="276"/>
      <c r="D837" s="277"/>
      <c r="E837" s="278"/>
      <c r="F837" s="279"/>
      <c r="G837" s="280"/>
      <c r="H837" s="281"/>
      <c r="I837" s="282"/>
      <c r="J837" s="281"/>
      <c r="K837" s="283"/>
      <c r="L837" s="284"/>
      <c r="M837" s="287"/>
      <c r="O837" s="286"/>
      <c r="P837" s="269"/>
      <c r="Q837" s="269"/>
      <c r="R837" s="269"/>
    </row>
    <row r="838" spans="1:18" s="285" customFormat="1" ht="39.6" customHeight="1" x14ac:dyDescent="0.25">
      <c r="A838" s="276"/>
      <c r="B838" s="276"/>
      <c r="C838" s="276"/>
      <c r="D838" s="277"/>
      <c r="E838" s="278"/>
      <c r="F838" s="279"/>
      <c r="G838" s="280"/>
      <c r="H838" s="281"/>
      <c r="I838" s="282"/>
      <c r="J838" s="281"/>
      <c r="K838" s="283"/>
      <c r="L838" s="284"/>
      <c r="M838" s="287"/>
      <c r="O838" s="286"/>
      <c r="P838" s="269"/>
      <c r="Q838" s="269"/>
      <c r="R838" s="269"/>
    </row>
    <row r="839" spans="1:18" s="285" customFormat="1" ht="39.6" customHeight="1" x14ac:dyDescent="0.25">
      <c r="A839" s="276"/>
      <c r="B839" s="276"/>
      <c r="C839" s="276"/>
      <c r="D839" s="277"/>
      <c r="E839" s="278"/>
      <c r="F839" s="279"/>
      <c r="G839" s="280"/>
      <c r="H839" s="281"/>
      <c r="I839" s="282"/>
      <c r="J839" s="281"/>
      <c r="K839" s="283"/>
      <c r="L839" s="284"/>
      <c r="M839" s="287"/>
      <c r="O839" s="286"/>
      <c r="P839" s="269"/>
      <c r="Q839" s="269"/>
      <c r="R839" s="269"/>
    </row>
    <row r="840" spans="1:18" s="285" customFormat="1" ht="39.6" customHeight="1" x14ac:dyDescent="0.25">
      <c r="A840" s="276"/>
      <c r="B840" s="276"/>
      <c r="C840" s="276"/>
      <c r="D840" s="277"/>
      <c r="E840" s="278"/>
      <c r="F840" s="279"/>
      <c r="G840" s="280"/>
      <c r="H840" s="281"/>
      <c r="I840" s="282"/>
      <c r="J840" s="281"/>
      <c r="K840" s="283"/>
      <c r="L840" s="284"/>
      <c r="M840" s="287"/>
      <c r="O840" s="286"/>
      <c r="P840" s="269"/>
      <c r="Q840" s="269"/>
      <c r="R840" s="269"/>
    </row>
    <row r="841" spans="1:18" s="285" customFormat="1" ht="39.6" customHeight="1" x14ac:dyDescent="0.25">
      <c r="A841" s="276"/>
      <c r="B841" s="276"/>
      <c r="C841" s="276"/>
      <c r="D841" s="277"/>
      <c r="E841" s="278"/>
      <c r="F841" s="279"/>
      <c r="G841" s="280"/>
      <c r="H841" s="281"/>
      <c r="I841" s="282"/>
      <c r="J841" s="281"/>
      <c r="K841" s="283"/>
      <c r="L841" s="284"/>
      <c r="M841" s="287"/>
      <c r="O841" s="286"/>
      <c r="P841" s="269"/>
      <c r="Q841" s="269"/>
      <c r="R841" s="269"/>
    </row>
    <row r="842" spans="1:18" s="285" customFormat="1" ht="39.6" customHeight="1" x14ac:dyDescent="0.25">
      <c r="A842" s="276"/>
      <c r="B842" s="276"/>
      <c r="C842" s="276"/>
      <c r="D842" s="277"/>
      <c r="E842" s="278"/>
      <c r="F842" s="279"/>
      <c r="G842" s="280"/>
      <c r="H842" s="281"/>
      <c r="I842" s="282"/>
      <c r="J842" s="281"/>
      <c r="K842" s="283"/>
      <c r="L842" s="284"/>
      <c r="M842" s="287"/>
      <c r="O842" s="286"/>
      <c r="P842" s="269"/>
      <c r="Q842" s="269"/>
      <c r="R842" s="269"/>
    </row>
    <row r="843" spans="1:18" s="285" customFormat="1" ht="39.6" customHeight="1" x14ac:dyDescent="0.25">
      <c r="A843" s="276"/>
      <c r="B843" s="276"/>
      <c r="C843" s="276"/>
      <c r="D843" s="277"/>
      <c r="E843" s="278"/>
      <c r="F843" s="279"/>
      <c r="G843" s="280"/>
      <c r="H843" s="281"/>
      <c r="I843" s="282"/>
      <c r="J843" s="281"/>
      <c r="K843" s="283"/>
      <c r="L843" s="284"/>
      <c r="M843" s="287"/>
      <c r="O843" s="286"/>
      <c r="P843" s="269"/>
      <c r="Q843" s="269"/>
      <c r="R843" s="269"/>
    </row>
    <row r="844" spans="1:18" s="285" customFormat="1" ht="39.6" customHeight="1" x14ac:dyDescent="0.25">
      <c r="A844" s="276"/>
      <c r="B844" s="276"/>
      <c r="C844" s="276"/>
      <c r="D844" s="277"/>
      <c r="E844" s="278"/>
      <c r="F844" s="279"/>
      <c r="G844" s="280"/>
      <c r="H844" s="281"/>
      <c r="I844" s="282"/>
      <c r="J844" s="281"/>
      <c r="K844" s="283"/>
      <c r="L844" s="284"/>
      <c r="M844" s="287"/>
      <c r="O844" s="286"/>
      <c r="P844" s="269"/>
      <c r="Q844" s="269"/>
      <c r="R844" s="269"/>
    </row>
    <row r="845" spans="1:18" s="285" customFormat="1" ht="39.6" customHeight="1" x14ac:dyDescent="0.25">
      <c r="A845" s="276"/>
      <c r="B845" s="276"/>
      <c r="C845" s="276"/>
      <c r="D845" s="277"/>
      <c r="E845" s="278"/>
      <c r="F845" s="279"/>
      <c r="G845" s="280"/>
      <c r="H845" s="281"/>
      <c r="I845" s="282"/>
      <c r="J845" s="281"/>
      <c r="K845" s="283"/>
      <c r="L845" s="284"/>
      <c r="M845" s="287"/>
      <c r="O845" s="286"/>
      <c r="P845" s="269"/>
      <c r="Q845" s="269"/>
      <c r="R845" s="269"/>
    </row>
    <row r="846" spans="1:18" s="285" customFormat="1" ht="39.6" customHeight="1" x14ac:dyDescent="0.25">
      <c r="A846" s="276"/>
      <c r="B846" s="276"/>
      <c r="C846" s="276"/>
      <c r="D846" s="277"/>
      <c r="E846" s="278"/>
      <c r="F846" s="279"/>
      <c r="G846" s="280"/>
      <c r="H846" s="281"/>
      <c r="I846" s="282"/>
      <c r="J846" s="281"/>
      <c r="K846" s="283"/>
      <c r="L846" s="284"/>
      <c r="M846" s="287"/>
      <c r="O846" s="286"/>
      <c r="P846" s="269"/>
      <c r="Q846" s="269"/>
      <c r="R846" s="269"/>
    </row>
    <row r="847" spans="1:18" s="285" customFormat="1" ht="39.6" customHeight="1" x14ac:dyDescent="0.25">
      <c r="A847" s="276"/>
      <c r="B847" s="276"/>
      <c r="C847" s="276"/>
      <c r="D847" s="277"/>
      <c r="E847" s="278"/>
      <c r="F847" s="279"/>
      <c r="G847" s="280"/>
      <c r="H847" s="281"/>
      <c r="I847" s="282"/>
      <c r="J847" s="281"/>
      <c r="K847" s="283"/>
      <c r="L847" s="284"/>
      <c r="M847" s="287"/>
      <c r="O847" s="286"/>
      <c r="P847" s="269"/>
      <c r="Q847" s="269"/>
      <c r="R847" s="269"/>
    </row>
    <row r="848" spans="1:18" s="285" customFormat="1" ht="39.6" customHeight="1" x14ac:dyDescent="0.25">
      <c r="A848" s="276"/>
      <c r="B848" s="276"/>
      <c r="C848" s="276"/>
      <c r="D848" s="277"/>
      <c r="E848" s="278"/>
      <c r="F848" s="279"/>
      <c r="G848" s="280"/>
      <c r="H848" s="281"/>
      <c r="I848" s="282"/>
      <c r="J848" s="281"/>
      <c r="K848" s="283"/>
      <c r="L848" s="284"/>
      <c r="M848" s="287"/>
      <c r="O848" s="286"/>
      <c r="P848" s="269"/>
      <c r="Q848" s="269"/>
      <c r="R848" s="269"/>
    </row>
    <row r="849" spans="1:18" s="285" customFormat="1" ht="39.6" customHeight="1" x14ac:dyDescent="0.25">
      <c r="A849" s="276"/>
      <c r="B849" s="276"/>
      <c r="C849" s="276"/>
      <c r="D849" s="277"/>
      <c r="E849" s="278"/>
      <c r="F849" s="279"/>
      <c r="G849" s="280"/>
      <c r="H849" s="281"/>
      <c r="I849" s="282"/>
      <c r="J849" s="281"/>
      <c r="K849" s="283"/>
      <c r="L849" s="284"/>
      <c r="M849" s="287"/>
      <c r="O849" s="286"/>
      <c r="P849" s="269"/>
      <c r="Q849" s="269"/>
      <c r="R849" s="269"/>
    </row>
    <row r="850" spans="1:18" s="285" customFormat="1" ht="39.6" customHeight="1" x14ac:dyDescent="0.25">
      <c r="A850" s="276"/>
      <c r="B850" s="276"/>
      <c r="C850" s="276"/>
      <c r="D850" s="277"/>
      <c r="E850" s="278"/>
      <c r="F850" s="279"/>
      <c r="G850" s="280"/>
      <c r="H850" s="281"/>
      <c r="I850" s="282"/>
      <c r="J850" s="281"/>
      <c r="K850" s="283"/>
      <c r="L850" s="284"/>
      <c r="M850" s="287"/>
      <c r="O850" s="286"/>
      <c r="P850" s="269"/>
      <c r="Q850" s="269"/>
      <c r="R850" s="269"/>
    </row>
    <row r="851" spans="1:18" s="285" customFormat="1" ht="39.6" customHeight="1" x14ac:dyDescent="0.25">
      <c r="A851" s="276"/>
      <c r="B851" s="276"/>
      <c r="C851" s="276"/>
      <c r="D851" s="277"/>
      <c r="E851" s="278"/>
      <c r="F851" s="279"/>
      <c r="G851" s="280"/>
      <c r="H851" s="281"/>
      <c r="I851" s="282"/>
      <c r="J851" s="281"/>
      <c r="K851" s="283"/>
      <c r="L851" s="284"/>
      <c r="M851" s="287"/>
      <c r="O851" s="286"/>
      <c r="P851" s="269"/>
      <c r="Q851" s="269"/>
      <c r="R851" s="269"/>
    </row>
    <row r="852" spans="1:18" s="285" customFormat="1" ht="39.6" customHeight="1" x14ac:dyDescent="0.25">
      <c r="A852" s="276"/>
      <c r="B852" s="276"/>
      <c r="C852" s="276"/>
      <c r="D852" s="277"/>
      <c r="E852" s="278"/>
      <c r="F852" s="279"/>
      <c r="G852" s="280"/>
      <c r="H852" s="281"/>
      <c r="I852" s="282"/>
      <c r="J852" s="281"/>
      <c r="K852" s="283"/>
      <c r="L852" s="284"/>
      <c r="M852" s="287"/>
      <c r="O852" s="286"/>
      <c r="P852" s="269"/>
      <c r="Q852" s="269"/>
      <c r="R852" s="269"/>
    </row>
    <row r="853" spans="1:18" s="285" customFormat="1" ht="39.6" customHeight="1" x14ac:dyDescent="0.25">
      <c r="A853" s="276"/>
      <c r="B853" s="276"/>
      <c r="C853" s="276"/>
      <c r="D853" s="277"/>
      <c r="E853" s="278"/>
      <c r="F853" s="279"/>
      <c r="G853" s="280"/>
      <c r="H853" s="281"/>
      <c r="I853" s="282"/>
      <c r="J853" s="281"/>
      <c r="K853" s="283"/>
      <c r="L853" s="284"/>
      <c r="M853" s="287"/>
      <c r="O853" s="286"/>
      <c r="P853" s="269"/>
      <c r="Q853" s="269"/>
      <c r="R853" s="269"/>
    </row>
    <row r="854" spans="1:18" s="285" customFormat="1" ht="39.6" customHeight="1" x14ac:dyDescent="0.25">
      <c r="A854" s="276"/>
      <c r="B854" s="276"/>
      <c r="C854" s="276"/>
      <c r="D854" s="277"/>
      <c r="E854" s="278"/>
      <c r="F854" s="279"/>
      <c r="G854" s="280"/>
      <c r="H854" s="281"/>
      <c r="I854" s="282"/>
      <c r="J854" s="281"/>
      <c r="K854" s="283"/>
      <c r="L854" s="284"/>
      <c r="M854" s="287"/>
      <c r="O854" s="286"/>
      <c r="P854" s="269"/>
      <c r="Q854" s="269"/>
      <c r="R854" s="269"/>
    </row>
    <row r="855" spans="1:18" s="285" customFormat="1" ht="39.6" customHeight="1" x14ac:dyDescent="0.25">
      <c r="A855" s="276"/>
      <c r="B855" s="276"/>
      <c r="C855" s="276"/>
      <c r="D855" s="277"/>
      <c r="E855" s="278"/>
      <c r="F855" s="279"/>
      <c r="G855" s="280"/>
      <c r="H855" s="281"/>
      <c r="I855" s="282"/>
      <c r="J855" s="281"/>
      <c r="K855" s="283"/>
      <c r="L855" s="284"/>
      <c r="M855" s="287"/>
      <c r="O855" s="286"/>
      <c r="P855" s="269"/>
      <c r="Q855" s="269"/>
      <c r="R855" s="269"/>
    </row>
    <row r="856" spans="1:18" s="285" customFormat="1" ht="39.6" customHeight="1" x14ac:dyDescent="0.25">
      <c r="A856" s="276"/>
      <c r="B856" s="276"/>
      <c r="C856" s="276"/>
      <c r="D856" s="277"/>
      <c r="E856" s="278"/>
      <c r="F856" s="279"/>
      <c r="G856" s="280"/>
      <c r="H856" s="281"/>
      <c r="I856" s="282"/>
      <c r="J856" s="281"/>
      <c r="K856" s="283"/>
      <c r="L856" s="284"/>
      <c r="M856" s="287"/>
      <c r="O856" s="286"/>
      <c r="P856" s="269"/>
      <c r="Q856" s="269"/>
      <c r="R856" s="269"/>
    </row>
    <row r="857" spans="1:18" s="285" customFormat="1" ht="39.6" customHeight="1" x14ac:dyDescent="0.25">
      <c r="A857" s="276"/>
      <c r="B857" s="276"/>
      <c r="C857" s="276"/>
      <c r="D857" s="277"/>
      <c r="E857" s="278"/>
      <c r="F857" s="279"/>
      <c r="G857" s="280"/>
      <c r="H857" s="281"/>
      <c r="I857" s="282"/>
      <c r="J857" s="281"/>
      <c r="K857" s="283"/>
      <c r="L857" s="284"/>
      <c r="M857" s="287"/>
      <c r="O857" s="286"/>
      <c r="P857" s="269"/>
      <c r="Q857" s="269"/>
      <c r="R857" s="269"/>
    </row>
    <row r="858" spans="1:18" s="285" customFormat="1" ht="39.6" customHeight="1" x14ac:dyDescent="0.25">
      <c r="A858" s="276"/>
      <c r="B858" s="276"/>
      <c r="C858" s="276"/>
      <c r="D858" s="277"/>
      <c r="E858" s="278"/>
      <c r="F858" s="279"/>
      <c r="G858" s="280"/>
      <c r="H858" s="281"/>
      <c r="I858" s="282"/>
      <c r="J858" s="281"/>
      <c r="K858" s="283"/>
      <c r="L858" s="284"/>
      <c r="M858" s="287"/>
      <c r="O858" s="286"/>
      <c r="P858" s="269"/>
      <c r="Q858" s="269"/>
      <c r="R858" s="269"/>
    </row>
    <row r="859" spans="1:18" s="285" customFormat="1" ht="39.6" customHeight="1" x14ac:dyDescent="0.25">
      <c r="A859" s="276"/>
      <c r="B859" s="276"/>
      <c r="C859" s="276"/>
      <c r="D859" s="277"/>
      <c r="E859" s="278"/>
      <c r="F859" s="279"/>
      <c r="G859" s="280"/>
      <c r="H859" s="281"/>
      <c r="I859" s="282"/>
      <c r="J859" s="281"/>
      <c r="K859" s="283"/>
      <c r="L859" s="284"/>
      <c r="M859" s="287"/>
      <c r="O859" s="286"/>
      <c r="P859" s="269"/>
      <c r="Q859" s="269"/>
      <c r="R859" s="269"/>
    </row>
    <row r="860" spans="1:18" s="285" customFormat="1" ht="39.6" customHeight="1" x14ac:dyDescent="0.25">
      <c r="A860" s="276"/>
      <c r="B860" s="276"/>
      <c r="C860" s="276"/>
      <c r="D860" s="277"/>
      <c r="E860" s="278"/>
      <c r="F860" s="279"/>
      <c r="G860" s="280"/>
      <c r="H860" s="281"/>
      <c r="I860" s="282"/>
      <c r="J860" s="281"/>
      <c r="K860" s="283"/>
      <c r="L860" s="284"/>
      <c r="M860" s="287"/>
      <c r="O860" s="286"/>
      <c r="P860" s="269"/>
      <c r="Q860" s="269"/>
      <c r="R860" s="269"/>
    </row>
    <row r="861" spans="1:18" s="285" customFormat="1" ht="39.6" customHeight="1" x14ac:dyDescent="0.25">
      <c r="A861" s="276"/>
      <c r="B861" s="276"/>
      <c r="C861" s="276"/>
      <c r="D861" s="277"/>
      <c r="E861" s="278"/>
      <c r="F861" s="279"/>
      <c r="G861" s="280"/>
      <c r="H861" s="281"/>
      <c r="I861" s="282"/>
      <c r="J861" s="281"/>
      <c r="K861" s="283"/>
      <c r="L861" s="284"/>
      <c r="M861" s="287"/>
      <c r="O861" s="286"/>
      <c r="P861" s="269"/>
      <c r="Q861" s="269"/>
      <c r="R861" s="269"/>
    </row>
    <row r="862" spans="1:18" s="285" customFormat="1" ht="39.6" customHeight="1" x14ac:dyDescent="0.25">
      <c r="A862" s="276"/>
      <c r="B862" s="276"/>
      <c r="C862" s="276"/>
      <c r="D862" s="277"/>
      <c r="E862" s="278"/>
      <c r="F862" s="279"/>
      <c r="G862" s="280"/>
      <c r="H862" s="281"/>
      <c r="I862" s="282"/>
      <c r="J862" s="281"/>
      <c r="K862" s="283"/>
      <c r="L862" s="284"/>
      <c r="M862" s="287"/>
      <c r="O862" s="286"/>
      <c r="P862" s="269"/>
      <c r="Q862" s="269"/>
      <c r="R862" s="269"/>
    </row>
    <row r="863" spans="1:18" s="285" customFormat="1" ht="39.6" customHeight="1" x14ac:dyDescent="0.25">
      <c r="A863" s="276"/>
      <c r="B863" s="276"/>
      <c r="C863" s="276"/>
      <c r="D863" s="277"/>
      <c r="E863" s="278"/>
      <c r="F863" s="279"/>
      <c r="G863" s="280"/>
      <c r="H863" s="281"/>
      <c r="I863" s="282"/>
      <c r="J863" s="281"/>
      <c r="K863" s="283"/>
      <c r="L863" s="284"/>
      <c r="M863" s="287"/>
      <c r="O863" s="286"/>
      <c r="P863" s="269"/>
      <c r="Q863" s="269"/>
      <c r="R863" s="269"/>
    </row>
    <row r="864" spans="1:18" s="285" customFormat="1" ht="39.6" customHeight="1" x14ac:dyDescent="0.25">
      <c r="A864" s="276"/>
      <c r="B864" s="276"/>
      <c r="C864" s="276"/>
      <c r="D864" s="277"/>
      <c r="E864" s="278"/>
      <c r="F864" s="279"/>
      <c r="G864" s="280"/>
      <c r="H864" s="281"/>
      <c r="I864" s="282"/>
      <c r="J864" s="281"/>
      <c r="K864" s="283"/>
      <c r="L864" s="284"/>
      <c r="M864" s="287"/>
      <c r="O864" s="286"/>
      <c r="P864" s="269"/>
      <c r="Q864" s="269"/>
      <c r="R864" s="269"/>
    </row>
    <row r="865" spans="1:18" s="285" customFormat="1" ht="39.6" customHeight="1" x14ac:dyDescent="0.25">
      <c r="A865" s="276"/>
      <c r="B865" s="276"/>
      <c r="C865" s="276"/>
      <c r="D865" s="277"/>
      <c r="E865" s="278"/>
      <c r="F865" s="279"/>
      <c r="G865" s="280"/>
      <c r="H865" s="281"/>
      <c r="I865" s="282"/>
      <c r="J865" s="281"/>
      <c r="K865" s="283"/>
      <c r="L865" s="284"/>
      <c r="M865" s="287"/>
      <c r="O865" s="286"/>
      <c r="P865" s="269"/>
      <c r="Q865" s="269"/>
      <c r="R865" s="269"/>
    </row>
    <row r="866" spans="1:18" s="285" customFormat="1" ht="39.6" customHeight="1" x14ac:dyDescent="0.25">
      <c r="A866" s="276"/>
      <c r="B866" s="276"/>
      <c r="C866" s="276"/>
      <c r="D866" s="277"/>
      <c r="E866" s="278"/>
      <c r="F866" s="279"/>
      <c r="G866" s="280"/>
      <c r="H866" s="281"/>
      <c r="I866" s="282"/>
      <c r="J866" s="281"/>
      <c r="K866" s="283"/>
      <c r="L866" s="284"/>
      <c r="M866" s="287"/>
      <c r="O866" s="286"/>
      <c r="P866" s="269"/>
      <c r="Q866" s="269"/>
      <c r="R866" s="269"/>
    </row>
    <row r="867" spans="1:18" s="285" customFormat="1" ht="39.6" customHeight="1" x14ac:dyDescent="0.25">
      <c r="A867" s="276"/>
      <c r="B867" s="276"/>
      <c r="C867" s="276"/>
      <c r="D867" s="277"/>
      <c r="E867" s="278"/>
      <c r="F867" s="279"/>
      <c r="G867" s="280"/>
      <c r="H867" s="281"/>
      <c r="I867" s="282"/>
      <c r="J867" s="281"/>
      <c r="K867" s="283"/>
      <c r="L867" s="284"/>
      <c r="M867" s="287"/>
      <c r="O867" s="286"/>
      <c r="P867" s="269"/>
      <c r="Q867" s="269"/>
      <c r="R867" s="269"/>
    </row>
    <row r="868" spans="1:18" s="285" customFormat="1" ht="39.6" customHeight="1" x14ac:dyDescent="0.25">
      <c r="A868" s="276"/>
      <c r="B868" s="276"/>
      <c r="C868" s="276"/>
      <c r="D868" s="277"/>
      <c r="E868" s="278"/>
      <c r="F868" s="279"/>
      <c r="G868" s="280"/>
      <c r="H868" s="281"/>
      <c r="I868" s="282"/>
      <c r="J868" s="281"/>
      <c r="K868" s="283"/>
      <c r="L868" s="284"/>
      <c r="M868" s="287"/>
      <c r="O868" s="286"/>
      <c r="P868" s="269"/>
      <c r="Q868" s="269"/>
      <c r="R868" s="269"/>
    </row>
    <row r="869" spans="1:18" s="285" customFormat="1" ht="39.6" customHeight="1" x14ac:dyDescent="0.25">
      <c r="A869" s="276"/>
      <c r="B869" s="276"/>
      <c r="C869" s="276"/>
      <c r="D869" s="277"/>
      <c r="E869" s="278"/>
      <c r="F869" s="279"/>
      <c r="G869" s="280"/>
      <c r="H869" s="281"/>
      <c r="I869" s="282"/>
      <c r="J869" s="281"/>
      <c r="K869" s="283"/>
      <c r="L869" s="284"/>
      <c r="M869" s="287"/>
      <c r="O869" s="286"/>
      <c r="P869" s="269"/>
      <c r="Q869" s="269"/>
      <c r="R869" s="269"/>
    </row>
    <row r="870" spans="1:18" s="285" customFormat="1" ht="39.6" customHeight="1" x14ac:dyDescent="0.25">
      <c r="A870" s="276"/>
      <c r="B870" s="276"/>
      <c r="C870" s="276"/>
      <c r="D870" s="277"/>
      <c r="E870" s="278"/>
      <c r="F870" s="279"/>
      <c r="G870" s="280"/>
      <c r="H870" s="281"/>
      <c r="I870" s="282"/>
      <c r="J870" s="281"/>
      <c r="K870" s="283"/>
      <c r="L870" s="284"/>
      <c r="M870" s="287"/>
      <c r="O870" s="286"/>
      <c r="P870" s="269"/>
      <c r="Q870" s="269"/>
      <c r="R870" s="269"/>
    </row>
    <row r="871" spans="1:18" s="285" customFormat="1" ht="39.6" customHeight="1" x14ac:dyDescent="0.25">
      <c r="A871" s="276"/>
      <c r="B871" s="276"/>
      <c r="C871" s="276"/>
      <c r="D871" s="277"/>
      <c r="E871" s="278"/>
      <c r="F871" s="279"/>
      <c r="G871" s="280"/>
      <c r="H871" s="281"/>
      <c r="I871" s="282"/>
      <c r="J871" s="281"/>
      <c r="K871" s="283"/>
      <c r="L871" s="284"/>
      <c r="M871" s="287"/>
      <c r="O871" s="286"/>
      <c r="P871" s="269"/>
      <c r="Q871" s="269"/>
      <c r="R871" s="269"/>
    </row>
    <row r="872" spans="1:18" s="285" customFormat="1" ht="39.6" customHeight="1" x14ac:dyDescent="0.25">
      <c r="A872" s="276"/>
      <c r="B872" s="276"/>
      <c r="C872" s="276"/>
      <c r="D872" s="277"/>
      <c r="E872" s="278"/>
      <c r="F872" s="279"/>
      <c r="G872" s="280"/>
      <c r="H872" s="281"/>
      <c r="I872" s="282"/>
      <c r="J872" s="281"/>
      <c r="K872" s="283"/>
      <c r="L872" s="284"/>
      <c r="M872" s="287"/>
      <c r="O872" s="286"/>
      <c r="P872" s="269"/>
      <c r="Q872" s="269"/>
      <c r="R872" s="269"/>
    </row>
    <row r="873" spans="1:18" s="285" customFormat="1" ht="39.6" customHeight="1" x14ac:dyDescent="0.25">
      <c r="A873" s="276"/>
      <c r="B873" s="276"/>
      <c r="C873" s="276"/>
      <c r="D873" s="277"/>
      <c r="E873" s="278"/>
      <c r="F873" s="279"/>
      <c r="G873" s="280"/>
      <c r="H873" s="281"/>
      <c r="I873" s="282"/>
      <c r="J873" s="281"/>
      <c r="K873" s="283"/>
      <c r="L873" s="284"/>
      <c r="M873" s="287"/>
      <c r="O873" s="286"/>
      <c r="P873" s="269"/>
      <c r="Q873" s="269"/>
      <c r="R873" s="269"/>
    </row>
    <row r="874" spans="1:18" s="285" customFormat="1" ht="39.6" customHeight="1" x14ac:dyDescent="0.25">
      <c r="A874" s="276"/>
      <c r="B874" s="276"/>
      <c r="C874" s="276"/>
      <c r="D874" s="277"/>
      <c r="E874" s="278"/>
      <c r="F874" s="279"/>
      <c r="G874" s="280"/>
      <c r="H874" s="281"/>
      <c r="I874" s="282"/>
      <c r="J874" s="281"/>
      <c r="K874" s="283"/>
      <c r="L874" s="284"/>
      <c r="M874" s="287"/>
      <c r="O874" s="286"/>
      <c r="P874" s="269"/>
      <c r="Q874" s="269"/>
      <c r="R874" s="269"/>
    </row>
    <row r="875" spans="1:18" s="285" customFormat="1" ht="39.6" customHeight="1" x14ac:dyDescent="0.25">
      <c r="A875" s="276"/>
      <c r="B875" s="276"/>
      <c r="C875" s="276"/>
      <c r="D875" s="277"/>
      <c r="E875" s="278"/>
      <c r="F875" s="279"/>
      <c r="G875" s="280"/>
      <c r="H875" s="281"/>
      <c r="I875" s="282"/>
      <c r="J875" s="281"/>
      <c r="K875" s="283"/>
      <c r="L875" s="284"/>
      <c r="M875" s="287"/>
      <c r="O875" s="286"/>
      <c r="P875" s="269"/>
      <c r="Q875" s="269"/>
      <c r="R875" s="269"/>
    </row>
    <row r="876" spans="1:18" s="285" customFormat="1" ht="39.6" customHeight="1" x14ac:dyDescent="0.25">
      <c r="A876" s="276"/>
      <c r="B876" s="276"/>
      <c r="C876" s="276"/>
      <c r="D876" s="277"/>
      <c r="E876" s="278"/>
      <c r="F876" s="279"/>
      <c r="G876" s="280"/>
      <c r="H876" s="281"/>
      <c r="I876" s="282"/>
      <c r="J876" s="281"/>
      <c r="K876" s="283"/>
      <c r="L876" s="284"/>
      <c r="M876" s="287"/>
      <c r="O876" s="286"/>
      <c r="P876" s="269"/>
      <c r="Q876" s="269"/>
      <c r="R876" s="269"/>
    </row>
    <row r="877" spans="1:18" s="285" customFormat="1" ht="39.6" customHeight="1" x14ac:dyDescent="0.25">
      <c r="A877" s="276"/>
      <c r="B877" s="276"/>
      <c r="C877" s="276"/>
      <c r="D877" s="277"/>
      <c r="E877" s="278"/>
      <c r="F877" s="279"/>
      <c r="G877" s="280"/>
      <c r="H877" s="281"/>
      <c r="I877" s="282"/>
      <c r="J877" s="281"/>
      <c r="K877" s="283"/>
      <c r="L877" s="284"/>
      <c r="M877" s="287"/>
      <c r="O877" s="286"/>
      <c r="P877" s="269"/>
      <c r="Q877" s="269"/>
      <c r="R877" s="269"/>
    </row>
    <row r="878" spans="1:18" s="285" customFormat="1" ht="39.6" customHeight="1" x14ac:dyDescent="0.25">
      <c r="A878" s="276"/>
      <c r="B878" s="276"/>
      <c r="C878" s="276"/>
      <c r="D878" s="277"/>
      <c r="E878" s="278"/>
      <c r="F878" s="279"/>
      <c r="G878" s="280"/>
      <c r="H878" s="281"/>
      <c r="I878" s="282"/>
      <c r="J878" s="281"/>
      <c r="K878" s="283"/>
      <c r="L878" s="284"/>
      <c r="M878" s="287"/>
      <c r="O878" s="286"/>
      <c r="P878" s="269"/>
      <c r="Q878" s="269"/>
      <c r="R878" s="269"/>
    </row>
    <row r="879" spans="1:18" s="285" customFormat="1" ht="39.6" customHeight="1" x14ac:dyDescent="0.25">
      <c r="A879" s="276"/>
      <c r="B879" s="276"/>
      <c r="C879" s="276"/>
      <c r="D879" s="277"/>
      <c r="E879" s="278"/>
      <c r="F879" s="279"/>
      <c r="G879" s="280"/>
      <c r="H879" s="281"/>
      <c r="I879" s="282"/>
      <c r="J879" s="281"/>
      <c r="K879" s="283"/>
      <c r="L879" s="284"/>
      <c r="M879" s="287"/>
      <c r="O879" s="286"/>
      <c r="P879" s="269"/>
      <c r="Q879" s="269"/>
      <c r="R879" s="269"/>
    </row>
    <row r="880" spans="1:18" s="285" customFormat="1" ht="39.6" customHeight="1" x14ac:dyDescent="0.25">
      <c r="A880" s="276"/>
      <c r="B880" s="276"/>
      <c r="C880" s="276"/>
      <c r="D880" s="277"/>
      <c r="E880" s="278"/>
      <c r="F880" s="279"/>
      <c r="G880" s="280"/>
      <c r="H880" s="281"/>
      <c r="I880" s="282"/>
      <c r="J880" s="281"/>
      <c r="K880" s="283"/>
      <c r="L880" s="284"/>
      <c r="M880" s="287"/>
      <c r="O880" s="286"/>
      <c r="P880" s="269"/>
      <c r="Q880" s="269"/>
      <c r="R880" s="269"/>
    </row>
    <row r="881" spans="1:18" s="285" customFormat="1" ht="39.6" customHeight="1" x14ac:dyDescent="0.25">
      <c r="A881" s="276"/>
      <c r="B881" s="276"/>
      <c r="C881" s="276"/>
      <c r="D881" s="277"/>
      <c r="E881" s="278"/>
      <c r="F881" s="279"/>
      <c r="G881" s="280"/>
      <c r="H881" s="281"/>
      <c r="I881" s="282"/>
      <c r="J881" s="281"/>
      <c r="K881" s="283"/>
      <c r="L881" s="284"/>
      <c r="M881" s="287"/>
      <c r="O881" s="286"/>
      <c r="P881" s="269"/>
      <c r="Q881" s="269"/>
      <c r="R881" s="269"/>
    </row>
    <row r="882" spans="1:18" s="285" customFormat="1" ht="39.6" customHeight="1" x14ac:dyDescent="0.25">
      <c r="A882" s="276"/>
      <c r="B882" s="276"/>
      <c r="C882" s="276"/>
      <c r="D882" s="277"/>
      <c r="E882" s="278"/>
      <c r="F882" s="279"/>
      <c r="G882" s="280"/>
      <c r="H882" s="281"/>
      <c r="I882" s="282"/>
      <c r="J882" s="281"/>
      <c r="K882" s="283"/>
      <c r="L882" s="284"/>
      <c r="M882" s="287"/>
      <c r="O882" s="286"/>
      <c r="P882" s="269"/>
      <c r="Q882" s="269"/>
      <c r="R882" s="269"/>
    </row>
    <row r="883" spans="1:18" s="285" customFormat="1" ht="39.6" customHeight="1" x14ac:dyDescent="0.25">
      <c r="A883" s="276"/>
      <c r="B883" s="276"/>
      <c r="C883" s="276"/>
      <c r="D883" s="277"/>
      <c r="E883" s="278"/>
      <c r="F883" s="279"/>
      <c r="G883" s="280"/>
      <c r="H883" s="281"/>
      <c r="I883" s="282"/>
      <c r="J883" s="281"/>
      <c r="K883" s="283"/>
      <c r="L883" s="284"/>
      <c r="M883" s="287"/>
      <c r="O883" s="286"/>
      <c r="P883" s="269"/>
      <c r="Q883" s="269"/>
      <c r="R883" s="269"/>
    </row>
    <row r="884" spans="1:18" s="285" customFormat="1" ht="39.6" customHeight="1" x14ac:dyDescent="0.25">
      <c r="A884" s="276"/>
      <c r="B884" s="276"/>
      <c r="C884" s="276"/>
      <c r="D884" s="277"/>
      <c r="E884" s="278"/>
      <c r="F884" s="279"/>
      <c r="G884" s="280"/>
      <c r="H884" s="281"/>
      <c r="I884" s="282"/>
      <c r="J884" s="281"/>
      <c r="K884" s="283"/>
      <c r="L884" s="284"/>
      <c r="M884" s="287"/>
      <c r="O884" s="286"/>
      <c r="P884" s="269"/>
      <c r="Q884" s="269"/>
      <c r="R884" s="269"/>
    </row>
    <row r="885" spans="1:18" s="285" customFormat="1" ht="39.6" customHeight="1" x14ac:dyDescent="0.25">
      <c r="A885" s="276"/>
      <c r="B885" s="276"/>
      <c r="C885" s="276"/>
      <c r="D885" s="277"/>
      <c r="E885" s="278"/>
      <c r="F885" s="279"/>
      <c r="G885" s="280"/>
      <c r="H885" s="281"/>
      <c r="I885" s="282"/>
      <c r="J885" s="281"/>
      <c r="K885" s="283"/>
      <c r="L885" s="284"/>
      <c r="M885" s="287"/>
      <c r="O885" s="286"/>
      <c r="P885" s="269"/>
      <c r="Q885" s="269"/>
      <c r="R885" s="269"/>
    </row>
    <row r="886" spans="1:18" s="285" customFormat="1" ht="39.6" customHeight="1" x14ac:dyDescent="0.25">
      <c r="A886" s="276"/>
      <c r="B886" s="276"/>
      <c r="C886" s="276"/>
      <c r="D886" s="277"/>
      <c r="E886" s="278"/>
      <c r="F886" s="279"/>
      <c r="G886" s="280"/>
      <c r="H886" s="281"/>
      <c r="I886" s="282"/>
      <c r="J886" s="281"/>
      <c r="K886" s="283"/>
      <c r="L886" s="284"/>
      <c r="M886" s="287"/>
      <c r="O886" s="286"/>
      <c r="P886" s="269"/>
      <c r="Q886" s="269"/>
      <c r="R886" s="269"/>
    </row>
    <row r="887" spans="1:18" s="285" customFormat="1" ht="39.6" customHeight="1" x14ac:dyDescent="0.25">
      <c r="A887" s="276"/>
      <c r="B887" s="276"/>
      <c r="C887" s="276"/>
      <c r="D887" s="277"/>
      <c r="E887" s="278"/>
      <c r="F887" s="279"/>
      <c r="G887" s="280"/>
      <c r="H887" s="281"/>
      <c r="I887" s="282"/>
      <c r="J887" s="281"/>
      <c r="K887" s="283"/>
      <c r="L887" s="284"/>
      <c r="M887" s="287"/>
      <c r="O887" s="286"/>
      <c r="P887" s="269"/>
      <c r="Q887" s="269"/>
      <c r="R887" s="269"/>
    </row>
    <row r="888" spans="1:18" s="285" customFormat="1" ht="39.6" customHeight="1" x14ac:dyDescent="0.25">
      <c r="A888" s="276"/>
      <c r="B888" s="276"/>
      <c r="C888" s="276"/>
      <c r="D888" s="277"/>
      <c r="E888" s="278"/>
      <c r="F888" s="279"/>
      <c r="G888" s="280"/>
      <c r="H888" s="281"/>
      <c r="I888" s="282"/>
      <c r="J888" s="281"/>
      <c r="K888" s="283"/>
      <c r="L888" s="284"/>
      <c r="M888" s="287"/>
      <c r="O888" s="286"/>
      <c r="P888" s="269"/>
      <c r="Q888" s="269"/>
      <c r="R888" s="269"/>
    </row>
    <row r="889" spans="1:18" s="285" customFormat="1" ht="39.6" customHeight="1" x14ac:dyDescent="0.25">
      <c r="A889" s="276"/>
      <c r="B889" s="276"/>
      <c r="C889" s="276"/>
      <c r="D889" s="277"/>
      <c r="E889" s="278"/>
      <c r="F889" s="279"/>
      <c r="G889" s="280"/>
      <c r="H889" s="281"/>
      <c r="I889" s="282"/>
      <c r="J889" s="281"/>
      <c r="K889" s="283"/>
      <c r="L889" s="284"/>
      <c r="M889" s="287"/>
      <c r="O889" s="286"/>
      <c r="P889" s="269"/>
      <c r="Q889" s="269"/>
      <c r="R889" s="269"/>
    </row>
    <row r="890" spans="1:18" s="285" customFormat="1" ht="39.6" customHeight="1" x14ac:dyDescent="0.25">
      <c r="A890" s="276"/>
      <c r="B890" s="276"/>
      <c r="C890" s="276"/>
      <c r="D890" s="277"/>
      <c r="E890" s="278"/>
      <c r="F890" s="279"/>
      <c r="G890" s="280"/>
      <c r="H890" s="281"/>
      <c r="I890" s="282"/>
      <c r="J890" s="281"/>
      <c r="K890" s="283"/>
      <c r="L890" s="284"/>
      <c r="M890" s="287"/>
      <c r="O890" s="286"/>
      <c r="P890" s="269"/>
      <c r="Q890" s="269"/>
      <c r="R890" s="269"/>
    </row>
    <row r="891" spans="1:18" s="285" customFormat="1" ht="39.6" customHeight="1" x14ac:dyDescent="0.25">
      <c r="A891" s="276"/>
      <c r="B891" s="276"/>
      <c r="C891" s="276"/>
      <c r="D891" s="277"/>
      <c r="E891" s="278"/>
      <c r="F891" s="279"/>
      <c r="G891" s="280"/>
      <c r="H891" s="281"/>
      <c r="I891" s="282"/>
      <c r="J891" s="281"/>
      <c r="K891" s="283"/>
      <c r="L891" s="284"/>
      <c r="M891" s="287"/>
      <c r="O891" s="286"/>
      <c r="P891" s="269"/>
      <c r="Q891" s="269"/>
      <c r="R891" s="269"/>
    </row>
    <row r="892" spans="1:18" s="285" customFormat="1" ht="39.6" customHeight="1" x14ac:dyDescent="0.25">
      <c r="A892" s="276"/>
      <c r="B892" s="276"/>
      <c r="C892" s="276"/>
      <c r="D892" s="277"/>
      <c r="E892" s="278"/>
      <c r="F892" s="279"/>
      <c r="G892" s="280"/>
      <c r="H892" s="281"/>
      <c r="I892" s="282"/>
      <c r="J892" s="281"/>
      <c r="K892" s="283"/>
      <c r="L892" s="284"/>
      <c r="M892" s="287"/>
      <c r="O892" s="286"/>
      <c r="P892" s="269"/>
      <c r="Q892" s="269"/>
      <c r="R892" s="269"/>
    </row>
    <row r="893" spans="1:18" s="285" customFormat="1" ht="39.6" customHeight="1" x14ac:dyDescent="0.25">
      <c r="A893" s="276"/>
      <c r="B893" s="276"/>
      <c r="C893" s="276"/>
      <c r="D893" s="277"/>
      <c r="E893" s="278"/>
      <c r="F893" s="279"/>
      <c r="G893" s="280"/>
      <c r="H893" s="281"/>
      <c r="I893" s="282"/>
      <c r="J893" s="281"/>
      <c r="K893" s="283"/>
      <c r="L893" s="284"/>
      <c r="M893" s="287"/>
      <c r="O893" s="286"/>
      <c r="P893" s="269"/>
      <c r="Q893" s="269"/>
      <c r="R893" s="269"/>
    </row>
    <row r="894" spans="1:18" s="285" customFormat="1" ht="39.6" customHeight="1" x14ac:dyDescent="0.25">
      <c r="A894" s="276"/>
      <c r="B894" s="276"/>
      <c r="C894" s="276"/>
      <c r="D894" s="277"/>
      <c r="E894" s="278"/>
      <c r="F894" s="279"/>
      <c r="G894" s="280"/>
      <c r="H894" s="281"/>
      <c r="I894" s="282"/>
      <c r="J894" s="281"/>
      <c r="K894" s="283"/>
      <c r="L894" s="284"/>
      <c r="M894" s="287"/>
      <c r="O894" s="286"/>
      <c r="P894" s="269"/>
      <c r="Q894" s="269"/>
      <c r="R894" s="269"/>
    </row>
    <row r="895" spans="1:18" s="285" customFormat="1" ht="39.6" customHeight="1" x14ac:dyDescent="0.25">
      <c r="A895" s="276"/>
      <c r="B895" s="276"/>
      <c r="C895" s="276"/>
      <c r="D895" s="277"/>
      <c r="E895" s="278"/>
      <c r="F895" s="279"/>
      <c r="G895" s="280"/>
      <c r="H895" s="281"/>
      <c r="I895" s="282"/>
      <c r="J895" s="281"/>
      <c r="K895" s="283"/>
      <c r="L895" s="284"/>
      <c r="M895" s="287"/>
      <c r="O895" s="286"/>
      <c r="P895" s="269"/>
      <c r="Q895" s="269"/>
      <c r="R895" s="269"/>
    </row>
    <row r="896" spans="1:18" s="285" customFormat="1" ht="39.6" customHeight="1" x14ac:dyDescent="0.25">
      <c r="A896" s="276"/>
      <c r="B896" s="276"/>
      <c r="C896" s="276"/>
      <c r="D896" s="277"/>
      <c r="E896" s="278"/>
      <c r="F896" s="279"/>
      <c r="G896" s="280"/>
      <c r="H896" s="281"/>
      <c r="I896" s="282"/>
      <c r="J896" s="281"/>
      <c r="K896" s="283"/>
      <c r="L896" s="284"/>
      <c r="M896" s="287"/>
      <c r="O896" s="286"/>
      <c r="P896" s="269"/>
      <c r="Q896" s="269"/>
      <c r="R896" s="269"/>
    </row>
    <row r="897" spans="1:18" s="285" customFormat="1" ht="39.6" customHeight="1" x14ac:dyDescent="0.25">
      <c r="A897" s="276"/>
      <c r="B897" s="276"/>
      <c r="C897" s="276"/>
      <c r="D897" s="277"/>
      <c r="E897" s="278"/>
      <c r="F897" s="279"/>
      <c r="G897" s="280"/>
      <c r="H897" s="281"/>
      <c r="I897" s="282"/>
      <c r="J897" s="281"/>
      <c r="K897" s="283"/>
      <c r="L897" s="284"/>
      <c r="M897" s="287"/>
      <c r="O897" s="286"/>
      <c r="P897" s="269"/>
      <c r="Q897" s="269"/>
      <c r="R897" s="269"/>
    </row>
    <row r="898" spans="1:18" s="285" customFormat="1" ht="39.6" customHeight="1" x14ac:dyDescent="0.25">
      <c r="A898" s="276"/>
      <c r="B898" s="276"/>
      <c r="C898" s="276"/>
      <c r="D898" s="277"/>
      <c r="E898" s="278"/>
      <c r="F898" s="279"/>
      <c r="G898" s="280"/>
      <c r="H898" s="281"/>
      <c r="I898" s="282"/>
      <c r="J898" s="281"/>
      <c r="K898" s="283"/>
      <c r="L898" s="284"/>
      <c r="M898" s="287"/>
      <c r="O898" s="286"/>
      <c r="P898" s="269"/>
      <c r="Q898" s="269"/>
      <c r="R898" s="269"/>
    </row>
    <row r="899" spans="1:18" s="285" customFormat="1" ht="39.6" customHeight="1" x14ac:dyDescent="0.25">
      <c r="A899" s="276"/>
      <c r="B899" s="276"/>
      <c r="C899" s="276"/>
      <c r="D899" s="277"/>
      <c r="E899" s="278"/>
      <c r="F899" s="279"/>
      <c r="G899" s="280"/>
      <c r="H899" s="281"/>
      <c r="I899" s="282"/>
      <c r="J899" s="281"/>
      <c r="K899" s="283"/>
      <c r="L899" s="284"/>
      <c r="M899" s="287"/>
      <c r="O899" s="286"/>
      <c r="P899" s="269"/>
      <c r="Q899" s="269"/>
      <c r="R899" s="269"/>
    </row>
    <row r="900" spans="1:18" s="285" customFormat="1" ht="39.6" customHeight="1" x14ac:dyDescent="0.25">
      <c r="A900" s="276"/>
      <c r="B900" s="276"/>
      <c r="C900" s="276"/>
      <c r="D900" s="277"/>
      <c r="E900" s="278"/>
      <c r="F900" s="279"/>
      <c r="G900" s="280"/>
      <c r="H900" s="281"/>
      <c r="I900" s="282"/>
      <c r="J900" s="281"/>
      <c r="K900" s="283"/>
      <c r="L900" s="284"/>
      <c r="M900" s="287"/>
      <c r="O900" s="286"/>
      <c r="P900" s="269"/>
      <c r="Q900" s="269"/>
      <c r="R900" s="269"/>
    </row>
    <row r="901" spans="1:18" s="285" customFormat="1" ht="39.6" customHeight="1" x14ac:dyDescent="0.25">
      <c r="A901" s="276"/>
      <c r="B901" s="276"/>
      <c r="C901" s="276"/>
      <c r="D901" s="277"/>
      <c r="E901" s="278"/>
      <c r="F901" s="279"/>
      <c r="G901" s="280"/>
      <c r="H901" s="281"/>
      <c r="I901" s="282"/>
      <c r="J901" s="281"/>
      <c r="K901" s="283"/>
      <c r="L901" s="284"/>
      <c r="M901" s="287"/>
      <c r="O901" s="286"/>
      <c r="P901" s="269"/>
      <c r="Q901" s="269"/>
      <c r="R901" s="269"/>
    </row>
    <row r="902" spans="1:18" s="285" customFormat="1" ht="39.6" customHeight="1" x14ac:dyDescent="0.25">
      <c r="A902" s="276"/>
      <c r="B902" s="276"/>
      <c r="C902" s="276"/>
      <c r="D902" s="277"/>
      <c r="E902" s="278"/>
      <c r="F902" s="279"/>
      <c r="G902" s="280"/>
      <c r="H902" s="281"/>
      <c r="I902" s="282"/>
      <c r="J902" s="281"/>
      <c r="K902" s="283"/>
      <c r="L902" s="284"/>
      <c r="M902" s="287"/>
      <c r="O902" s="286"/>
      <c r="P902" s="269"/>
      <c r="Q902" s="269"/>
      <c r="R902" s="269"/>
    </row>
    <row r="903" spans="1:18" s="285" customFormat="1" ht="39.6" customHeight="1" x14ac:dyDescent="0.25">
      <c r="A903" s="276"/>
      <c r="B903" s="276"/>
      <c r="C903" s="276"/>
      <c r="D903" s="277"/>
      <c r="E903" s="278"/>
      <c r="F903" s="279"/>
      <c r="G903" s="280"/>
      <c r="H903" s="281"/>
      <c r="I903" s="282"/>
      <c r="J903" s="281"/>
      <c r="K903" s="283"/>
      <c r="L903" s="284"/>
      <c r="M903" s="287"/>
      <c r="O903" s="286"/>
      <c r="P903" s="269"/>
      <c r="Q903" s="269"/>
      <c r="R903" s="269"/>
    </row>
    <row r="904" spans="1:18" s="285" customFormat="1" ht="39.6" customHeight="1" x14ac:dyDescent="0.25">
      <c r="A904" s="276"/>
      <c r="B904" s="276"/>
      <c r="C904" s="276"/>
      <c r="D904" s="277"/>
      <c r="E904" s="278"/>
      <c r="F904" s="279"/>
      <c r="G904" s="280"/>
      <c r="H904" s="281"/>
      <c r="I904" s="282"/>
      <c r="J904" s="281"/>
      <c r="K904" s="283"/>
      <c r="L904" s="284"/>
      <c r="M904" s="287"/>
      <c r="O904" s="286"/>
      <c r="P904" s="269"/>
      <c r="Q904" s="269"/>
      <c r="R904" s="269"/>
    </row>
    <row r="905" spans="1:18" s="285" customFormat="1" ht="39.6" customHeight="1" x14ac:dyDescent="0.25">
      <c r="A905" s="276"/>
      <c r="B905" s="276"/>
      <c r="C905" s="276"/>
      <c r="D905" s="277"/>
      <c r="E905" s="278"/>
      <c r="F905" s="279"/>
      <c r="G905" s="280"/>
      <c r="H905" s="281"/>
      <c r="I905" s="282"/>
      <c r="J905" s="281"/>
      <c r="K905" s="283"/>
      <c r="L905" s="284"/>
      <c r="M905" s="287"/>
      <c r="O905" s="286"/>
      <c r="P905" s="269"/>
      <c r="Q905" s="269"/>
      <c r="R905" s="269"/>
    </row>
    <row r="906" spans="1:18" s="285" customFormat="1" ht="39.6" customHeight="1" x14ac:dyDescent="0.25">
      <c r="A906" s="276"/>
      <c r="B906" s="276"/>
      <c r="C906" s="276"/>
      <c r="D906" s="277"/>
      <c r="E906" s="278"/>
      <c r="F906" s="279"/>
      <c r="G906" s="280"/>
      <c r="H906" s="281"/>
      <c r="I906" s="282"/>
      <c r="J906" s="281"/>
      <c r="K906" s="283"/>
      <c r="L906" s="284"/>
      <c r="M906" s="287"/>
      <c r="O906" s="286"/>
      <c r="P906" s="269"/>
      <c r="Q906" s="269"/>
      <c r="R906" s="269"/>
    </row>
    <row r="907" spans="1:18" s="285" customFormat="1" ht="39.6" customHeight="1" x14ac:dyDescent="0.25">
      <c r="A907" s="276"/>
      <c r="B907" s="276"/>
      <c r="C907" s="276"/>
      <c r="D907" s="277"/>
      <c r="E907" s="278"/>
      <c r="F907" s="279"/>
      <c r="G907" s="280"/>
      <c r="H907" s="281"/>
      <c r="I907" s="282"/>
      <c r="J907" s="281"/>
      <c r="K907" s="283"/>
      <c r="L907" s="284"/>
      <c r="M907" s="287"/>
      <c r="O907" s="286"/>
      <c r="P907" s="269"/>
      <c r="Q907" s="269"/>
      <c r="R907" s="269"/>
    </row>
    <row r="908" spans="1:18" s="285" customFormat="1" ht="39.6" customHeight="1" x14ac:dyDescent="0.25">
      <c r="A908" s="276"/>
      <c r="B908" s="276"/>
      <c r="C908" s="276"/>
      <c r="D908" s="277"/>
      <c r="E908" s="278"/>
      <c r="F908" s="279"/>
      <c r="G908" s="280"/>
      <c r="H908" s="281"/>
      <c r="I908" s="282"/>
      <c r="J908" s="281"/>
      <c r="K908" s="283"/>
      <c r="L908" s="284"/>
      <c r="M908" s="287"/>
      <c r="O908" s="286"/>
      <c r="P908" s="269"/>
      <c r="Q908" s="269"/>
      <c r="R908" s="269"/>
    </row>
    <row r="909" spans="1:18" s="285" customFormat="1" ht="39.6" customHeight="1" x14ac:dyDescent="0.25">
      <c r="A909" s="276"/>
      <c r="B909" s="276"/>
      <c r="C909" s="276"/>
      <c r="D909" s="277"/>
      <c r="E909" s="278"/>
      <c r="F909" s="279"/>
      <c r="G909" s="280"/>
      <c r="H909" s="281"/>
      <c r="I909" s="282"/>
      <c r="J909" s="281"/>
      <c r="K909" s="283"/>
      <c r="L909" s="284"/>
      <c r="M909" s="287"/>
      <c r="O909" s="286"/>
      <c r="P909" s="269"/>
      <c r="Q909" s="269"/>
      <c r="R909" s="269"/>
    </row>
    <row r="910" spans="1:18" s="285" customFormat="1" ht="39.6" customHeight="1" x14ac:dyDescent="0.25">
      <c r="A910" s="276"/>
      <c r="B910" s="276"/>
      <c r="C910" s="276"/>
      <c r="D910" s="277"/>
      <c r="E910" s="278"/>
      <c r="F910" s="279"/>
      <c r="G910" s="280"/>
      <c r="H910" s="281"/>
      <c r="I910" s="282"/>
      <c r="J910" s="281"/>
      <c r="K910" s="283"/>
      <c r="L910" s="284"/>
      <c r="M910" s="287"/>
      <c r="O910" s="286"/>
      <c r="P910" s="269"/>
      <c r="Q910" s="269"/>
      <c r="R910" s="269"/>
    </row>
    <row r="911" spans="1:18" s="285" customFormat="1" ht="39.6" customHeight="1" x14ac:dyDescent="0.25">
      <c r="A911" s="276"/>
      <c r="B911" s="276"/>
      <c r="C911" s="276"/>
      <c r="D911" s="277"/>
      <c r="E911" s="278"/>
      <c r="F911" s="279"/>
      <c r="G911" s="280"/>
      <c r="H911" s="281"/>
      <c r="I911" s="282"/>
      <c r="J911" s="281"/>
      <c r="K911" s="283"/>
      <c r="L911" s="284"/>
      <c r="M911" s="287"/>
      <c r="O911" s="286"/>
      <c r="P911" s="269"/>
      <c r="Q911" s="269"/>
      <c r="R911" s="269"/>
    </row>
    <row r="912" spans="1:18" s="285" customFormat="1" ht="39.6" customHeight="1" x14ac:dyDescent="0.25">
      <c r="A912" s="276"/>
      <c r="B912" s="276"/>
      <c r="C912" s="276"/>
      <c r="D912" s="277"/>
      <c r="E912" s="278"/>
      <c r="F912" s="279"/>
      <c r="G912" s="280"/>
      <c r="H912" s="281"/>
      <c r="I912" s="282"/>
      <c r="J912" s="281"/>
      <c r="K912" s="283"/>
      <c r="L912" s="284"/>
      <c r="M912" s="287"/>
      <c r="O912" s="286"/>
      <c r="P912" s="269"/>
      <c r="Q912" s="269"/>
      <c r="R912" s="269"/>
    </row>
    <row r="913" spans="1:18" s="285" customFormat="1" ht="39.6" customHeight="1" x14ac:dyDescent="0.25">
      <c r="A913" s="276"/>
      <c r="B913" s="276"/>
      <c r="C913" s="276"/>
      <c r="D913" s="277"/>
      <c r="E913" s="278"/>
      <c r="F913" s="279"/>
      <c r="G913" s="280"/>
      <c r="H913" s="281"/>
      <c r="I913" s="282"/>
      <c r="J913" s="281"/>
      <c r="K913" s="283"/>
      <c r="L913" s="284"/>
      <c r="M913" s="287"/>
      <c r="O913" s="286"/>
      <c r="P913" s="269"/>
      <c r="Q913" s="269"/>
      <c r="R913" s="269"/>
    </row>
    <row r="914" spans="1:18" s="285" customFormat="1" ht="39.6" customHeight="1" x14ac:dyDescent="0.25">
      <c r="A914" s="276"/>
      <c r="B914" s="276"/>
      <c r="C914" s="276"/>
      <c r="D914" s="277"/>
      <c r="E914" s="278"/>
      <c r="F914" s="279"/>
      <c r="G914" s="280"/>
      <c r="H914" s="281"/>
      <c r="I914" s="282"/>
      <c r="J914" s="281"/>
      <c r="K914" s="283"/>
      <c r="L914" s="284"/>
      <c r="M914" s="287"/>
      <c r="O914" s="286"/>
      <c r="P914" s="269"/>
      <c r="Q914" s="269"/>
      <c r="R914" s="269"/>
    </row>
    <row r="915" spans="1:18" s="285" customFormat="1" ht="39.6" customHeight="1" x14ac:dyDescent="0.25">
      <c r="A915" s="276"/>
      <c r="B915" s="276"/>
      <c r="C915" s="276"/>
      <c r="D915" s="277"/>
      <c r="E915" s="278"/>
      <c r="F915" s="279"/>
      <c r="G915" s="280"/>
      <c r="H915" s="281"/>
      <c r="I915" s="282"/>
      <c r="J915" s="281"/>
      <c r="K915" s="283"/>
      <c r="L915" s="284"/>
      <c r="M915" s="287"/>
      <c r="O915" s="286"/>
      <c r="P915" s="269"/>
      <c r="Q915" s="269"/>
      <c r="R915" s="269"/>
    </row>
    <row r="916" spans="1:18" s="285" customFormat="1" ht="39.6" customHeight="1" x14ac:dyDescent="0.25">
      <c r="A916" s="276"/>
      <c r="B916" s="276"/>
      <c r="C916" s="276"/>
      <c r="D916" s="277"/>
      <c r="E916" s="278"/>
      <c r="F916" s="279"/>
      <c r="G916" s="280"/>
      <c r="H916" s="281"/>
      <c r="I916" s="282"/>
      <c r="J916" s="281"/>
      <c r="K916" s="283"/>
      <c r="L916" s="284"/>
      <c r="M916" s="287"/>
      <c r="O916" s="286"/>
      <c r="P916" s="269"/>
      <c r="Q916" s="269"/>
      <c r="R916" s="269"/>
    </row>
    <row r="917" spans="1:18" s="285" customFormat="1" ht="39.6" customHeight="1" x14ac:dyDescent="0.25">
      <c r="A917" s="276"/>
      <c r="B917" s="276"/>
      <c r="C917" s="276"/>
      <c r="D917" s="277"/>
      <c r="E917" s="278"/>
      <c r="F917" s="279"/>
      <c r="G917" s="280"/>
      <c r="H917" s="281"/>
      <c r="I917" s="282"/>
      <c r="J917" s="281"/>
      <c r="K917" s="283"/>
      <c r="L917" s="284"/>
      <c r="M917" s="287"/>
      <c r="O917" s="286"/>
      <c r="P917" s="269"/>
      <c r="Q917" s="269"/>
      <c r="R917" s="269"/>
    </row>
    <row r="918" spans="1:18" s="285" customFormat="1" ht="39.6" customHeight="1" x14ac:dyDescent="0.25">
      <c r="A918" s="276"/>
      <c r="B918" s="276"/>
      <c r="C918" s="276"/>
      <c r="D918" s="277"/>
      <c r="E918" s="278"/>
      <c r="F918" s="279"/>
      <c r="G918" s="280"/>
      <c r="H918" s="281"/>
      <c r="I918" s="282"/>
      <c r="J918" s="281"/>
      <c r="K918" s="283"/>
      <c r="L918" s="284"/>
      <c r="M918" s="287"/>
      <c r="O918" s="286"/>
      <c r="P918" s="269"/>
      <c r="Q918" s="269"/>
      <c r="R918" s="269"/>
    </row>
    <row r="919" spans="1:18" s="285" customFormat="1" ht="39.6" customHeight="1" x14ac:dyDescent="0.25">
      <c r="A919" s="276"/>
      <c r="B919" s="276"/>
      <c r="C919" s="276"/>
      <c r="D919" s="277"/>
      <c r="E919" s="278"/>
      <c r="F919" s="279"/>
      <c r="G919" s="280"/>
      <c r="H919" s="281"/>
      <c r="I919" s="282"/>
      <c r="J919" s="281"/>
      <c r="K919" s="283"/>
      <c r="L919" s="284"/>
      <c r="M919" s="287"/>
      <c r="O919" s="286"/>
      <c r="P919" s="269"/>
      <c r="Q919" s="269"/>
      <c r="R919" s="269"/>
    </row>
    <row r="920" spans="1:18" s="285" customFormat="1" ht="39.6" customHeight="1" x14ac:dyDescent="0.25">
      <c r="A920" s="276"/>
      <c r="B920" s="276"/>
      <c r="C920" s="276"/>
      <c r="D920" s="277"/>
      <c r="E920" s="278"/>
      <c r="F920" s="279"/>
      <c r="G920" s="280"/>
      <c r="H920" s="281"/>
      <c r="I920" s="282"/>
      <c r="J920" s="281"/>
      <c r="K920" s="283"/>
      <c r="L920" s="284"/>
      <c r="M920" s="287"/>
      <c r="O920" s="286"/>
      <c r="P920" s="269"/>
      <c r="Q920" s="269"/>
      <c r="R920" s="269"/>
    </row>
    <row r="921" spans="1:18" s="285" customFormat="1" ht="39.6" customHeight="1" x14ac:dyDescent="0.25">
      <c r="A921" s="276"/>
      <c r="B921" s="276"/>
      <c r="C921" s="276"/>
      <c r="D921" s="277"/>
      <c r="E921" s="278"/>
      <c r="F921" s="279"/>
      <c r="G921" s="280"/>
      <c r="H921" s="281"/>
      <c r="I921" s="282"/>
      <c r="J921" s="281"/>
      <c r="K921" s="283"/>
      <c r="L921" s="284"/>
      <c r="M921" s="287"/>
      <c r="O921" s="286"/>
      <c r="P921" s="269"/>
      <c r="Q921" s="269"/>
      <c r="R921" s="269"/>
    </row>
    <row r="922" spans="1:18" s="285" customFormat="1" ht="39.6" customHeight="1" x14ac:dyDescent="0.25">
      <c r="A922" s="276"/>
      <c r="B922" s="276"/>
      <c r="C922" s="276"/>
      <c r="D922" s="277"/>
      <c r="E922" s="278"/>
      <c r="F922" s="279"/>
      <c r="G922" s="280"/>
      <c r="H922" s="281"/>
      <c r="I922" s="282"/>
      <c r="J922" s="281"/>
      <c r="K922" s="283"/>
      <c r="L922" s="284"/>
      <c r="M922" s="287"/>
      <c r="O922" s="286"/>
      <c r="P922" s="269"/>
      <c r="Q922" s="269"/>
      <c r="R922" s="269"/>
    </row>
    <row r="923" spans="1:18" s="285" customFormat="1" ht="39.6" customHeight="1" x14ac:dyDescent="0.25">
      <c r="A923" s="276"/>
      <c r="B923" s="276"/>
      <c r="C923" s="276"/>
      <c r="D923" s="277"/>
      <c r="E923" s="278"/>
      <c r="F923" s="279"/>
      <c r="G923" s="280"/>
      <c r="H923" s="281"/>
      <c r="I923" s="282"/>
      <c r="J923" s="281"/>
      <c r="K923" s="283"/>
      <c r="L923" s="284"/>
      <c r="M923" s="287"/>
      <c r="O923" s="286"/>
      <c r="P923" s="269"/>
      <c r="Q923" s="269"/>
      <c r="R923" s="269"/>
    </row>
    <row r="924" spans="1:18" s="285" customFormat="1" ht="39.6" customHeight="1" x14ac:dyDescent="0.25">
      <c r="A924" s="276"/>
      <c r="B924" s="276"/>
      <c r="C924" s="276"/>
      <c r="D924" s="277"/>
      <c r="E924" s="278"/>
      <c r="F924" s="279"/>
      <c r="G924" s="280"/>
      <c r="H924" s="281"/>
      <c r="I924" s="282"/>
      <c r="J924" s="281"/>
      <c r="K924" s="283"/>
      <c r="L924" s="284"/>
      <c r="M924" s="287"/>
      <c r="O924" s="286"/>
      <c r="P924" s="269"/>
      <c r="Q924" s="269"/>
      <c r="R924" s="269"/>
    </row>
    <row r="925" spans="1:18" s="285" customFormat="1" ht="39.6" customHeight="1" x14ac:dyDescent="0.25">
      <c r="A925" s="276"/>
      <c r="B925" s="276"/>
      <c r="C925" s="276"/>
      <c r="D925" s="277"/>
      <c r="E925" s="278"/>
      <c r="F925" s="279"/>
      <c r="G925" s="280"/>
      <c r="H925" s="281"/>
      <c r="I925" s="282"/>
      <c r="J925" s="281"/>
      <c r="K925" s="283"/>
      <c r="L925" s="284"/>
      <c r="M925" s="287"/>
      <c r="O925" s="286"/>
      <c r="P925" s="269"/>
      <c r="Q925" s="269"/>
      <c r="R925" s="269"/>
    </row>
    <row r="926" spans="1:18" s="285" customFormat="1" ht="39.6" customHeight="1" x14ac:dyDescent="0.25">
      <c r="A926" s="276"/>
      <c r="B926" s="276"/>
      <c r="C926" s="276"/>
      <c r="D926" s="277"/>
      <c r="E926" s="278"/>
      <c r="F926" s="279"/>
      <c r="G926" s="280"/>
      <c r="H926" s="281"/>
      <c r="I926" s="282"/>
      <c r="J926" s="281"/>
      <c r="K926" s="283"/>
      <c r="L926" s="284"/>
      <c r="M926" s="287"/>
      <c r="O926" s="286"/>
      <c r="P926" s="269"/>
      <c r="Q926" s="269"/>
      <c r="R926" s="269"/>
    </row>
    <row r="927" spans="1:18" s="285" customFormat="1" ht="39.6" customHeight="1" x14ac:dyDescent="0.25">
      <c r="A927" s="276"/>
      <c r="B927" s="276"/>
      <c r="C927" s="276"/>
      <c r="D927" s="277"/>
      <c r="E927" s="278"/>
      <c r="F927" s="279"/>
      <c r="G927" s="280"/>
      <c r="H927" s="281"/>
      <c r="I927" s="282"/>
      <c r="J927" s="281"/>
      <c r="K927" s="283"/>
      <c r="L927" s="284"/>
      <c r="M927" s="287"/>
      <c r="O927" s="286"/>
      <c r="P927" s="269"/>
      <c r="Q927" s="269"/>
      <c r="R927" s="269"/>
    </row>
    <row r="928" spans="1:18" s="285" customFormat="1" ht="39.6" customHeight="1" x14ac:dyDescent="0.25">
      <c r="A928" s="276"/>
      <c r="B928" s="276"/>
      <c r="C928" s="276"/>
      <c r="D928" s="277"/>
      <c r="E928" s="278"/>
      <c r="F928" s="279"/>
      <c r="G928" s="280"/>
      <c r="H928" s="281"/>
      <c r="I928" s="282"/>
      <c r="J928" s="281"/>
      <c r="K928" s="283"/>
      <c r="L928" s="284"/>
      <c r="M928" s="287"/>
      <c r="O928" s="286"/>
      <c r="P928" s="269"/>
      <c r="Q928" s="269"/>
      <c r="R928" s="269"/>
    </row>
    <row r="929" spans="1:18" s="285" customFormat="1" ht="39.6" customHeight="1" x14ac:dyDescent="0.25">
      <c r="A929" s="276"/>
      <c r="B929" s="276"/>
      <c r="C929" s="276"/>
      <c r="D929" s="277"/>
      <c r="E929" s="278"/>
      <c r="F929" s="279"/>
      <c r="G929" s="280"/>
      <c r="H929" s="281"/>
      <c r="I929" s="282"/>
      <c r="J929" s="281"/>
      <c r="K929" s="283"/>
      <c r="L929" s="284"/>
      <c r="M929" s="287"/>
      <c r="O929" s="286"/>
      <c r="P929" s="269"/>
      <c r="Q929" s="269"/>
      <c r="R929" s="269"/>
    </row>
    <row r="930" spans="1:18" s="285" customFormat="1" ht="39.6" customHeight="1" x14ac:dyDescent="0.25">
      <c r="A930" s="276"/>
      <c r="B930" s="276"/>
      <c r="C930" s="276"/>
      <c r="D930" s="277"/>
      <c r="E930" s="278"/>
      <c r="F930" s="279"/>
      <c r="G930" s="280"/>
      <c r="H930" s="281"/>
      <c r="I930" s="282"/>
      <c r="J930" s="281"/>
      <c r="K930" s="283"/>
      <c r="L930" s="284"/>
      <c r="M930" s="287"/>
      <c r="O930" s="286"/>
      <c r="P930" s="269"/>
      <c r="Q930" s="269"/>
      <c r="R930" s="269"/>
    </row>
    <row r="931" spans="1:18" s="285" customFormat="1" ht="39.6" customHeight="1" x14ac:dyDescent="0.25">
      <c r="A931" s="276"/>
      <c r="B931" s="276"/>
      <c r="C931" s="276"/>
      <c r="D931" s="277"/>
      <c r="E931" s="278"/>
      <c r="F931" s="279"/>
      <c r="G931" s="280"/>
      <c r="H931" s="281"/>
      <c r="I931" s="282"/>
      <c r="J931" s="281"/>
      <c r="K931" s="283"/>
      <c r="L931" s="284"/>
      <c r="M931" s="287"/>
      <c r="O931" s="286"/>
      <c r="P931" s="269"/>
      <c r="Q931" s="269"/>
      <c r="R931" s="269"/>
    </row>
    <row r="932" spans="1:18" s="285" customFormat="1" ht="39.6" customHeight="1" x14ac:dyDescent="0.25">
      <c r="A932" s="276"/>
      <c r="B932" s="276"/>
      <c r="C932" s="276"/>
      <c r="D932" s="277"/>
      <c r="E932" s="278"/>
      <c r="F932" s="279"/>
      <c r="G932" s="280"/>
      <c r="H932" s="281"/>
      <c r="I932" s="282"/>
      <c r="J932" s="281"/>
      <c r="K932" s="283"/>
      <c r="L932" s="284"/>
      <c r="M932" s="287"/>
      <c r="O932" s="286"/>
      <c r="P932" s="269"/>
      <c r="Q932" s="269"/>
      <c r="R932" s="269"/>
    </row>
    <row r="933" spans="1:18" s="285" customFormat="1" ht="39.6" customHeight="1" x14ac:dyDescent="0.25">
      <c r="A933" s="276"/>
      <c r="B933" s="276"/>
      <c r="C933" s="276"/>
      <c r="D933" s="277"/>
      <c r="E933" s="278"/>
      <c r="F933" s="279"/>
      <c r="G933" s="280"/>
      <c r="H933" s="281"/>
      <c r="I933" s="282"/>
      <c r="J933" s="281"/>
      <c r="K933" s="283"/>
      <c r="L933" s="284"/>
      <c r="M933" s="287"/>
      <c r="O933" s="286"/>
      <c r="P933" s="269"/>
      <c r="Q933" s="269"/>
      <c r="R933" s="269"/>
    </row>
    <row r="934" spans="1:18" s="285" customFormat="1" ht="39.6" customHeight="1" x14ac:dyDescent="0.25">
      <c r="A934" s="276"/>
      <c r="B934" s="276"/>
      <c r="C934" s="276"/>
      <c r="D934" s="277"/>
      <c r="E934" s="278"/>
      <c r="F934" s="279"/>
      <c r="G934" s="280"/>
      <c r="H934" s="281"/>
      <c r="I934" s="282"/>
      <c r="J934" s="281"/>
      <c r="K934" s="283"/>
      <c r="L934" s="284"/>
      <c r="M934" s="287"/>
      <c r="O934" s="286"/>
      <c r="P934" s="269"/>
      <c r="Q934" s="269"/>
      <c r="R934" s="269"/>
    </row>
    <row r="935" spans="1:18" s="285" customFormat="1" ht="39.6" customHeight="1" x14ac:dyDescent="0.25">
      <c r="A935" s="276"/>
      <c r="B935" s="276"/>
      <c r="C935" s="276"/>
      <c r="D935" s="277"/>
      <c r="E935" s="278"/>
      <c r="F935" s="279"/>
      <c r="G935" s="280"/>
      <c r="H935" s="281"/>
      <c r="I935" s="282"/>
      <c r="J935" s="281"/>
      <c r="K935" s="283"/>
      <c r="L935" s="284"/>
      <c r="M935" s="287"/>
      <c r="O935" s="286"/>
      <c r="P935" s="269"/>
      <c r="Q935" s="269"/>
      <c r="R935" s="269"/>
    </row>
    <row r="936" spans="1:18" s="285" customFormat="1" ht="39.6" customHeight="1" x14ac:dyDescent="0.25">
      <c r="A936" s="276"/>
      <c r="B936" s="276"/>
      <c r="C936" s="276"/>
      <c r="D936" s="277"/>
      <c r="E936" s="278"/>
      <c r="F936" s="279"/>
      <c r="G936" s="280"/>
      <c r="H936" s="281"/>
      <c r="I936" s="282"/>
      <c r="J936" s="281"/>
      <c r="K936" s="283"/>
      <c r="L936" s="284"/>
      <c r="M936" s="287"/>
      <c r="O936" s="286"/>
      <c r="P936" s="269"/>
      <c r="Q936" s="269"/>
      <c r="R936" s="269"/>
    </row>
    <row r="937" spans="1:18" s="285" customFormat="1" ht="39.6" customHeight="1" x14ac:dyDescent="0.25">
      <c r="A937" s="276"/>
      <c r="B937" s="276"/>
      <c r="C937" s="276"/>
      <c r="D937" s="277"/>
      <c r="E937" s="278"/>
      <c r="F937" s="279"/>
      <c r="G937" s="280"/>
      <c r="H937" s="281"/>
      <c r="I937" s="282"/>
      <c r="J937" s="281"/>
      <c r="K937" s="283"/>
      <c r="L937" s="284"/>
      <c r="M937" s="287"/>
      <c r="O937" s="286"/>
      <c r="P937" s="269"/>
      <c r="Q937" s="269"/>
      <c r="R937" s="269"/>
    </row>
    <row r="938" spans="1:18" s="285" customFormat="1" ht="39.6" customHeight="1" x14ac:dyDescent="0.25">
      <c r="A938" s="276"/>
      <c r="B938" s="276"/>
      <c r="C938" s="276"/>
      <c r="D938" s="277"/>
      <c r="E938" s="278"/>
      <c r="F938" s="279"/>
      <c r="G938" s="280"/>
      <c r="H938" s="281"/>
      <c r="I938" s="282"/>
      <c r="J938" s="281"/>
      <c r="K938" s="283"/>
      <c r="L938" s="284"/>
      <c r="M938" s="287"/>
      <c r="O938" s="286"/>
      <c r="P938" s="269"/>
      <c r="Q938" s="269"/>
      <c r="R938" s="269"/>
    </row>
    <row r="939" spans="1:18" s="285" customFormat="1" ht="39.6" customHeight="1" x14ac:dyDescent="0.25">
      <c r="A939" s="276"/>
      <c r="B939" s="276"/>
      <c r="C939" s="276"/>
      <c r="D939" s="277"/>
      <c r="E939" s="278"/>
      <c r="F939" s="279"/>
      <c r="G939" s="280"/>
      <c r="H939" s="281"/>
      <c r="I939" s="282"/>
      <c r="J939" s="281"/>
      <c r="K939" s="283"/>
      <c r="L939" s="284"/>
      <c r="M939" s="287"/>
      <c r="O939" s="286"/>
      <c r="P939" s="269"/>
      <c r="Q939" s="269"/>
      <c r="R939" s="269"/>
    </row>
    <row r="940" spans="1:18" s="285" customFormat="1" ht="39.6" customHeight="1" x14ac:dyDescent="0.25">
      <c r="A940" s="276"/>
      <c r="B940" s="276"/>
      <c r="C940" s="276"/>
      <c r="D940" s="277"/>
      <c r="E940" s="278"/>
      <c r="F940" s="279"/>
      <c r="G940" s="280"/>
      <c r="H940" s="281"/>
      <c r="I940" s="282"/>
      <c r="J940" s="281"/>
      <c r="K940" s="283"/>
      <c r="L940" s="284"/>
      <c r="M940" s="287"/>
      <c r="O940" s="286"/>
      <c r="P940" s="269"/>
      <c r="Q940" s="269"/>
      <c r="R940" s="269"/>
    </row>
    <row r="941" spans="1:18" s="285" customFormat="1" ht="39.6" customHeight="1" x14ac:dyDescent="0.25">
      <c r="A941" s="276"/>
      <c r="B941" s="276"/>
      <c r="C941" s="276"/>
      <c r="D941" s="277"/>
      <c r="E941" s="278"/>
      <c r="F941" s="279"/>
      <c r="G941" s="280"/>
      <c r="H941" s="281"/>
      <c r="I941" s="282"/>
      <c r="J941" s="281"/>
      <c r="K941" s="283"/>
      <c r="L941" s="284"/>
      <c r="M941" s="287"/>
      <c r="O941" s="286"/>
      <c r="P941" s="269"/>
      <c r="Q941" s="269"/>
      <c r="R941" s="269"/>
    </row>
    <row r="942" spans="1:18" s="285" customFormat="1" ht="39.6" customHeight="1" x14ac:dyDescent="0.25">
      <c r="A942" s="276"/>
      <c r="B942" s="276"/>
      <c r="C942" s="276"/>
      <c r="D942" s="277"/>
      <c r="E942" s="278"/>
      <c r="F942" s="279"/>
      <c r="G942" s="280"/>
      <c r="H942" s="281"/>
      <c r="I942" s="282"/>
      <c r="J942" s="281"/>
      <c r="K942" s="283"/>
      <c r="L942" s="284"/>
      <c r="M942" s="287"/>
      <c r="O942" s="286"/>
      <c r="P942" s="269"/>
      <c r="Q942" s="269"/>
      <c r="R942" s="269"/>
    </row>
    <row r="943" spans="1:18" s="285" customFormat="1" ht="39.6" customHeight="1" x14ac:dyDescent="0.25">
      <c r="A943" s="276"/>
      <c r="B943" s="276"/>
      <c r="C943" s="276"/>
      <c r="D943" s="277"/>
      <c r="E943" s="278"/>
      <c r="F943" s="279"/>
      <c r="G943" s="280"/>
      <c r="H943" s="281"/>
      <c r="I943" s="282"/>
      <c r="J943" s="281"/>
      <c r="K943" s="283"/>
      <c r="L943" s="284"/>
      <c r="M943" s="287"/>
      <c r="O943" s="286"/>
      <c r="P943" s="269"/>
      <c r="Q943" s="269"/>
      <c r="R943" s="269"/>
    </row>
    <row r="944" spans="1:18" s="285" customFormat="1" ht="39.6" customHeight="1" x14ac:dyDescent="0.25">
      <c r="A944" s="276"/>
      <c r="B944" s="276"/>
      <c r="C944" s="276"/>
      <c r="D944" s="277"/>
      <c r="E944" s="278"/>
      <c r="F944" s="279"/>
      <c r="G944" s="280"/>
      <c r="H944" s="281"/>
      <c r="I944" s="282"/>
      <c r="J944" s="281"/>
      <c r="K944" s="283"/>
      <c r="L944" s="284"/>
      <c r="M944" s="287"/>
      <c r="O944" s="286"/>
      <c r="P944" s="269"/>
      <c r="Q944" s="269"/>
      <c r="R944" s="269"/>
    </row>
    <row r="945" spans="1:18" s="285" customFormat="1" ht="39.6" customHeight="1" x14ac:dyDescent="0.25">
      <c r="A945" s="276"/>
      <c r="B945" s="276"/>
      <c r="C945" s="276"/>
      <c r="D945" s="277"/>
      <c r="E945" s="278"/>
      <c r="F945" s="279"/>
      <c r="G945" s="280"/>
      <c r="H945" s="281"/>
      <c r="I945" s="282"/>
      <c r="J945" s="281"/>
      <c r="K945" s="283"/>
      <c r="L945" s="284"/>
      <c r="M945" s="287"/>
      <c r="O945" s="286"/>
      <c r="P945" s="269"/>
      <c r="Q945" s="269"/>
      <c r="R945" s="269"/>
    </row>
    <row r="946" spans="1:18" s="285" customFormat="1" ht="39.6" customHeight="1" x14ac:dyDescent="0.25">
      <c r="A946" s="276"/>
      <c r="B946" s="276"/>
      <c r="C946" s="276"/>
      <c r="D946" s="277"/>
      <c r="E946" s="278"/>
      <c r="F946" s="279"/>
      <c r="G946" s="280"/>
      <c r="H946" s="281"/>
      <c r="I946" s="282"/>
      <c r="J946" s="281"/>
      <c r="K946" s="283"/>
      <c r="L946" s="284"/>
      <c r="M946" s="287"/>
      <c r="O946" s="286"/>
      <c r="P946" s="269"/>
      <c r="Q946" s="269"/>
      <c r="R946" s="269"/>
    </row>
    <row r="947" spans="1:18" s="285" customFormat="1" ht="39.6" customHeight="1" x14ac:dyDescent="0.25">
      <c r="A947" s="276"/>
      <c r="B947" s="276"/>
      <c r="C947" s="276"/>
      <c r="D947" s="277"/>
      <c r="E947" s="278"/>
      <c r="F947" s="279"/>
      <c r="G947" s="280"/>
      <c r="H947" s="281"/>
      <c r="I947" s="282"/>
      <c r="J947" s="281"/>
      <c r="K947" s="283"/>
      <c r="L947" s="284"/>
      <c r="M947" s="287"/>
      <c r="O947" s="286"/>
      <c r="P947" s="269"/>
      <c r="Q947" s="269"/>
      <c r="R947" s="269"/>
    </row>
    <row r="948" spans="1:18" s="285" customFormat="1" ht="39.6" customHeight="1" x14ac:dyDescent="0.25">
      <c r="A948" s="276"/>
      <c r="B948" s="276"/>
      <c r="C948" s="276"/>
      <c r="D948" s="277"/>
      <c r="E948" s="278"/>
      <c r="F948" s="279"/>
      <c r="G948" s="280"/>
      <c r="H948" s="281"/>
      <c r="I948" s="282"/>
      <c r="J948" s="281"/>
      <c r="K948" s="283"/>
      <c r="L948" s="284"/>
      <c r="M948" s="287"/>
      <c r="O948" s="286"/>
      <c r="P948" s="269"/>
      <c r="Q948" s="269"/>
      <c r="R948" s="269"/>
    </row>
    <row r="949" spans="1:18" s="285" customFormat="1" ht="39.6" customHeight="1" x14ac:dyDescent="0.25">
      <c r="A949" s="276"/>
      <c r="B949" s="276"/>
      <c r="C949" s="276"/>
      <c r="D949" s="277"/>
      <c r="E949" s="278"/>
      <c r="F949" s="279"/>
      <c r="G949" s="280"/>
      <c r="H949" s="281"/>
      <c r="I949" s="282"/>
      <c r="J949" s="281"/>
      <c r="K949" s="283"/>
      <c r="L949" s="284"/>
      <c r="M949" s="287"/>
      <c r="O949" s="286"/>
      <c r="P949" s="269"/>
      <c r="Q949" s="269"/>
      <c r="R949" s="269"/>
    </row>
    <row r="950" spans="1:18" s="285" customFormat="1" ht="39.6" customHeight="1" x14ac:dyDescent="0.25">
      <c r="A950" s="276"/>
      <c r="B950" s="276"/>
      <c r="C950" s="276"/>
      <c r="D950" s="277"/>
      <c r="E950" s="278"/>
      <c r="F950" s="279"/>
      <c r="G950" s="280"/>
      <c r="H950" s="281"/>
      <c r="I950" s="282"/>
      <c r="J950" s="281"/>
      <c r="K950" s="283"/>
      <c r="L950" s="284"/>
      <c r="M950" s="287"/>
      <c r="O950" s="286"/>
      <c r="P950" s="269"/>
      <c r="Q950" s="269"/>
      <c r="R950" s="269"/>
    </row>
    <row r="951" spans="1:18" s="285" customFormat="1" ht="39.6" customHeight="1" x14ac:dyDescent="0.25">
      <c r="A951" s="276"/>
      <c r="B951" s="276"/>
      <c r="C951" s="276"/>
      <c r="D951" s="277"/>
      <c r="E951" s="278"/>
      <c r="F951" s="279"/>
      <c r="G951" s="280"/>
      <c r="H951" s="281"/>
      <c r="I951" s="282"/>
      <c r="J951" s="281"/>
      <c r="K951" s="283"/>
      <c r="L951" s="284"/>
      <c r="M951" s="287"/>
      <c r="O951" s="286"/>
      <c r="P951" s="269"/>
      <c r="Q951" s="269"/>
      <c r="R951" s="269"/>
    </row>
    <row r="952" spans="1:18" s="285" customFormat="1" ht="39.6" customHeight="1" x14ac:dyDescent="0.25">
      <c r="A952" s="276"/>
      <c r="B952" s="276"/>
      <c r="C952" s="276"/>
      <c r="D952" s="277"/>
      <c r="E952" s="278"/>
      <c r="F952" s="279"/>
      <c r="G952" s="280"/>
      <c r="H952" s="281"/>
      <c r="I952" s="282"/>
      <c r="J952" s="281"/>
      <c r="K952" s="283"/>
      <c r="L952" s="284"/>
      <c r="M952" s="287"/>
      <c r="O952" s="286"/>
      <c r="P952" s="269"/>
      <c r="Q952" s="269"/>
      <c r="R952" s="269"/>
    </row>
    <row r="953" spans="1:18" s="285" customFormat="1" ht="39.6" customHeight="1" x14ac:dyDescent="0.25">
      <c r="A953" s="276"/>
      <c r="B953" s="276"/>
      <c r="C953" s="276"/>
      <c r="D953" s="277"/>
      <c r="E953" s="278"/>
      <c r="F953" s="279"/>
      <c r="G953" s="280"/>
      <c r="H953" s="281"/>
      <c r="I953" s="282"/>
      <c r="J953" s="281"/>
      <c r="K953" s="283"/>
      <c r="L953" s="284"/>
      <c r="M953" s="287"/>
      <c r="O953" s="286"/>
      <c r="P953" s="269"/>
      <c r="Q953" s="269"/>
      <c r="R953" s="269"/>
    </row>
    <row r="954" spans="1:18" s="285" customFormat="1" ht="39.6" customHeight="1" x14ac:dyDescent="0.25">
      <c r="A954" s="276"/>
      <c r="B954" s="276"/>
      <c r="C954" s="276"/>
      <c r="D954" s="277"/>
      <c r="E954" s="278"/>
      <c r="F954" s="279"/>
      <c r="G954" s="280"/>
      <c r="H954" s="281"/>
      <c r="I954" s="282"/>
      <c r="J954" s="281"/>
      <c r="K954" s="283"/>
      <c r="L954" s="284"/>
      <c r="M954" s="287"/>
      <c r="O954" s="286"/>
      <c r="P954" s="269"/>
      <c r="Q954" s="269"/>
      <c r="R954" s="269"/>
    </row>
    <row r="955" spans="1:18" s="285" customFormat="1" ht="39.6" customHeight="1" x14ac:dyDescent="0.25">
      <c r="A955" s="276"/>
      <c r="B955" s="276"/>
      <c r="C955" s="276"/>
      <c r="D955" s="277"/>
      <c r="E955" s="278"/>
      <c r="F955" s="279"/>
      <c r="G955" s="280"/>
      <c r="H955" s="281"/>
      <c r="I955" s="282"/>
      <c r="J955" s="281"/>
      <c r="K955" s="283"/>
      <c r="L955" s="284"/>
      <c r="M955" s="287"/>
      <c r="O955" s="286"/>
      <c r="P955" s="269"/>
      <c r="Q955" s="269"/>
      <c r="R955" s="269"/>
    </row>
    <row r="956" spans="1:18" s="285" customFormat="1" ht="39.6" customHeight="1" x14ac:dyDescent="0.25">
      <c r="A956" s="276"/>
      <c r="B956" s="276"/>
      <c r="C956" s="276"/>
      <c r="D956" s="277"/>
      <c r="E956" s="278"/>
      <c r="F956" s="279"/>
      <c r="G956" s="280"/>
      <c r="H956" s="281"/>
      <c r="I956" s="282"/>
      <c r="J956" s="281"/>
      <c r="K956" s="283"/>
      <c r="L956" s="284"/>
      <c r="M956" s="287"/>
      <c r="O956" s="286"/>
      <c r="P956" s="269"/>
      <c r="Q956" s="269"/>
      <c r="R956" s="269"/>
    </row>
    <row r="957" spans="1:18" s="285" customFormat="1" ht="39.6" customHeight="1" x14ac:dyDescent="0.25">
      <c r="A957" s="276"/>
      <c r="B957" s="276"/>
      <c r="C957" s="276"/>
      <c r="D957" s="277"/>
      <c r="E957" s="278"/>
      <c r="F957" s="279"/>
      <c r="G957" s="280"/>
      <c r="H957" s="281"/>
      <c r="I957" s="282"/>
      <c r="J957" s="281"/>
      <c r="K957" s="283"/>
      <c r="L957" s="284"/>
      <c r="M957" s="287"/>
      <c r="O957" s="286"/>
      <c r="P957" s="269"/>
      <c r="Q957" s="269"/>
      <c r="R957" s="269"/>
    </row>
    <row r="958" spans="1:18" s="285" customFormat="1" ht="39.6" customHeight="1" x14ac:dyDescent="0.25">
      <c r="A958" s="276"/>
      <c r="B958" s="276"/>
      <c r="C958" s="276"/>
      <c r="D958" s="277"/>
      <c r="E958" s="278"/>
      <c r="F958" s="279"/>
      <c r="G958" s="280"/>
      <c r="H958" s="281"/>
      <c r="I958" s="282"/>
      <c r="J958" s="281"/>
      <c r="K958" s="283"/>
      <c r="L958" s="284"/>
      <c r="M958" s="287"/>
      <c r="O958" s="286"/>
      <c r="P958" s="269"/>
      <c r="Q958" s="269"/>
      <c r="R958" s="269"/>
    </row>
    <row r="959" spans="1:18" s="285" customFormat="1" ht="39.6" customHeight="1" x14ac:dyDescent="0.25">
      <c r="A959" s="276"/>
      <c r="B959" s="276"/>
      <c r="C959" s="276"/>
      <c r="D959" s="277"/>
      <c r="E959" s="278"/>
      <c r="F959" s="279"/>
      <c r="G959" s="280"/>
      <c r="H959" s="281"/>
      <c r="I959" s="282"/>
      <c r="J959" s="281"/>
      <c r="K959" s="283"/>
      <c r="L959" s="284"/>
      <c r="M959" s="287"/>
      <c r="O959" s="286"/>
      <c r="P959" s="269"/>
      <c r="Q959" s="269"/>
      <c r="R959" s="269"/>
    </row>
    <row r="960" spans="1:18" s="285" customFormat="1" ht="39.6" customHeight="1" x14ac:dyDescent="0.25">
      <c r="A960" s="276"/>
      <c r="B960" s="276"/>
      <c r="C960" s="276"/>
      <c r="D960" s="277"/>
      <c r="E960" s="278"/>
      <c r="F960" s="279"/>
      <c r="G960" s="280"/>
      <c r="H960" s="281"/>
      <c r="I960" s="282"/>
      <c r="J960" s="281"/>
      <c r="K960" s="283"/>
      <c r="L960" s="284"/>
      <c r="M960" s="287"/>
      <c r="O960" s="286"/>
      <c r="P960" s="269"/>
      <c r="Q960" s="269"/>
      <c r="R960" s="269"/>
    </row>
    <row r="961" spans="1:18" s="285" customFormat="1" ht="39.6" customHeight="1" x14ac:dyDescent="0.25">
      <c r="A961" s="276"/>
      <c r="B961" s="276"/>
      <c r="C961" s="276"/>
      <c r="D961" s="277"/>
      <c r="E961" s="278"/>
      <c r="F961" s="279"/>
      <c r="G961" s="280"/>
      <c r="H961" s="281"/>
      <c r="I961" s="282"/>
      <c r="J961" s="281"/>
      <c r="K961" s="283"/>
      <c r="L961" s="284"/>
      <c r="M961" s="287"/>
      <c r="O961" s="286"/>
      <c r="P961" s="269"/>
      <c r="Q961" s="269"/>
      <c r="R961" s="269"/>
    </row>
    <row r="962" spans="1:18" s="285" customFormat="1" ht="39.6" customHeight="1" x14ac:dyDescent="0.25">
      <c r="A962" s="276"/>
      <c r="B962" s="276"/>
      <c r="C962" s="276"/>
      <c r="D962" s="277"/>
      <c r="E962" s="278"/>
      <c r="F962" s="279"/>
      <c r="G962" s="280"/>
      <c r="H962" s="281"/>
      <c r="I962" s="282"/>
      <c r="J962" s="281"/>
      <c r="K962" s="283"/>
      <c r="L962" s="284"/>
      <c r="M962" s="287"/>
      <c r="O962" s="286"/>
      <c r="P962" s="269"/>
      <c r="Q962" s="269"/>
      <c r="R962" s="269"/>
    </row>
    <row r="963" spans="1:18" s="285" customFormat="1" ht="39.6" customHeight="1" x14ac:dyDescent="0.25">
      <c r="A963" s="276"/>
      <c r="B963" s="276"/>
      <c r="C963" s="276"/>
      <c r="D963" s="277"/>
      <c r="E963" s="278"/>
      <c r="F963" s="279"/>
      <c r="G963" s="280"/>
      <c r="H963" s="281"/>
      <c r="I963" s="282"/>
      <c r="J963" s="281"/>
      <c r="K963" s="283"/>
      <c r="L963" s="284"/>
      <c r="M963" s="287"/>
      <c r="O963" s="286"/>
      <c r="P963" s="269"/>
      <c r="Q963" s="269"/>
      <c r="R963" s="269"/>
    </row>
    <row r="964" spans="1:18" s="285" customFormat="1" ht="39.6" customHeight="1" x14ac:dyDescent="0.25">
      <c r="A964" s="276"/>
      <c r="B964" s="276"/>
      <c r="C964" s="276"/>
      <c r="D964" s="277"/>
      <c r="E964" s="278"/>
      <c r="F964" s="279"/>
      <c r="G964" s="280"/>
      <c r="H964" s="281"/>
      <c r="I964" s="282"/>
      <c r="J964" s="281"/>
      <c r="K964" s="283"/>
      <c r="L964" s="284"/>
      <c r="M964" s="287"/>
      <c r="O964" s="286"/>
      <c r="P964" s="269"/>
      <c r="Q964" s="269"/>
      <c r="R964" s="269"/>
    </row>
    <row r="965" spans="1:18" s="285" customFormat="1" ht="39.6" customHeight="1" x14ac:dyDescent="0.25">
      <c r="A965" s="276"/>
      <c r="B965" s="276"/>
      <c r="C965" s="276"/>
      <c r="D965" s="277"/>
      <c r="E965" s="278"/>
      <c r="F965" s="279"/>
      <c r="G965" s="280"/>
      <c r="H965" s="281"/>
      <c r="I965" s="282"/>
      <c r="J965" s="281"/>
      <c r="K965" s="283"/>
      <c r="L965" s="284"/>
      <c r="M965" s="287"/>
      <c r="O965" s="286"/>
      <c r="P965" s="269"/>
      <c r="Q965" s="269"/>
      <c r="R965" s="269"/>
    </row>
    <row r="966" spans="1:18" s="285" customFormat="1" ht="39.6" customHeight="1" x14ac:dyDescent="0.25">
      <c r="A966" s="276"/>
      <c r="B966" s="276"/>
      <c r="C966" s="276"/>
      <c r="D966" s="277"/>
      <c r="E966" s="278"/>
      <c r="F966" s="279"/>
      <c r="G966" s="280"/>
      <c r="H966" s="281"/>
      <c r="I966" s="282"/>
      <c r="J966" s="281"/>
      <c r="K966" s="283"/>
      <c r="L966" s="284"/>
      <c r="M966" s="287"/>
      <c r="O966" s="286"/>
      <c r="P966" s="269"/>
      <c r="Q966" s="269"/>
      <c r="R966" s="269"/>
    </row>
    <row r="967" spans="1:18" s="285" customFormat="1" ht="39.6" customHeight="1" x14ac:dyDescent="0.25">
      <c r="A967" s="276"/>
      <c r="B967" s="276"/>
      <c r="C967" s="276"/>
      <c r="D967" s="277"/>
      <c r="E967" s="278"/>
      <c r="F967" s="279"/>
      <c r="G967" s="280"/>
      <c r="H967" s="281"/>
      <c r="I967" s="282"/>
      <c r="J967" s="281"/>
      <c r="K967" s="283"/>
      <c r="L967" s="284"/>
      <c r="M967" s="287"/>
      <c r="O967" s="286"/>
      <c r="P967" s="269"/>
      <c r="Q967" s="269"/>
      <c r="R967" s="269"/>
    </row>
    <row r="968" spans="1:18" s="285" customFormat="1" ht="39.6" customHeight="1" x14ac:dyDescent="0.25">
      <c r="A968" s="276"/>
      <c r="B968" s="276"/>
      <c r="C968" s="276"/>
      <c r="D968" s="277"/>
      <c r="E968" s="278"/>
      <c r="F968" s="279"/>
      <c r="G968" s="280"/>
      <c r="H968" s="281"/>
      <c r="I968" s="282"/>
      <c r="J968" s="281"/>
      <c r="K968" s="283"/>
      <c r="L968" s="284"/>
      <c r="M968" s="287"/>
      <c r="O968" s="286"/>
      <c r="P968" s="269"/>
      <c r="Q968" s="269"/>
      <c r="R968" s="269"/>
    </row>
    <row r="969" spans="1:18" s="285" customFormat="1" ht="39.6" customHeight="1" x14ac:dyDescent="0.25">
      <c r="A969" s="276"/>
      <c r="B969" s="276"/>
      <c r="C969" s="276"/>
      <c r="D969" s="277"/>
      <c r="E969" s="278"/>
      <c r="F969" s="279"/>
      <c r="G969" s="280"/>
      <c r="H969" s="281"/>
      <c r="I969" s="282"/>
      <c r="J969" s="281"/>
      <c r="K969" s="283"/>
      <c r="L969" s="284"/>
      <c r="M969" s="287"/>
      <c r="O969" s="286"/>
      <c r="P969" s="269"/>
      <c r="Q969" s="269"/>
      <c r="R969" s="269"/>
    </row>
    <row r="970" spans="1:18" s="285" customFormat="1" ht="39.6" customHeight="1" x14ac:dyDescent="0.25">
      <c r="A970" s="276"/>
      <c r="B970" s="276"/>
      <c r="C970" s="276"/>
      <c r="D970" s="277"/>
      <c r="E970" s="278"/>
      <c r="F970" s="279"/>
      <c r="G970" s="280"/>
      <c r="H970" s="281"/>
      <c r="I970" s="282"/>
      <c r="J970" s="281"/>
      <c r="K970" s="283"/>
      <c r="L970" s="284"/>
      <c r="M970" s="287"/>
      <c r="O970" s="286"/>
      <c r="P970" s="269"/>
      <c r="Q970" s="269"/>
      <c r="R970" s="269"/>
    </row>
    <row r="971" spans="1:18" s="285" customFormat="1" ht="39.6" customHeight="1" x14ac:dyDescent="0.25">
      <c r="A971" s="276"/>
      <c r="B971" s="276"/>
      <c r="C971" s="276"/>
      <c r="D971" s="277"/>
      <c r="E971" s="278"/>
      <c r="F971" s="279"/>
      <c r="G971" s="280"/>
      <c r="H971" s="281"/>
      <c r="I971" s="282"/>
      <c r="J971" s="281"/>
      <c r="K971" s="283"/>
      <c r="L971" s="284"/>
      <c r="M971" s="287"/>
      <c r="O971" s="286"/>
      <c r="P971" s="269"/>
      <c r="Q971" s="269"/>
      <c r="R971" s="269"/>
    </row>
    <row r="972" spans="1:18" s="285" customFormat="1" ht="39.6" customHeight="1" x14ac:dyDescent="0.25">
      <c r="A972" s="276"/>
      <c r="B972" s="276"/>
      <c r="C972" s="276"/>
      <c r="D972" s="277"/>
      <c r="E972" s="278"/>
      <c r="F972" s="279"/>
      <c r="G972" s="280"/>
      <c r="H972" s="281"/>
      <c r="I972" s="282"/>
      <c r="J972" s="281"/>
      <c r="K972" s="283"/>
      <c r="L972" s="284"/>
      <c r="M972" s="287"/>
      <c r="O972" s="286"/>
      <c r="P972" s="269"/>
      <c r="Q972" s="269"/>
      <c r="R972" s="269"/>
    </row>
    <row r="973" spans="1:18" s="285" customFormat="1" ht="39.6" customHeight="1" x14ac:dyDescent="0.25">
      <c r="A973" s="276"/>
      <c r="B973" s="276"/>
      <c r="C973" s="276"/>
      <c r="D973" s="277"/>
      <c r="E973" s="278"/>
      <c r="F973" s="279"/>
      <c r="G973" s="280"/>
      <c r="H973" s="281"/>
      <c r="I973" s="282"/>
      <c r="J973" s="281"/>
      <c r="K973" s="283"/>
      <c r="L973" s="284"/>
      <c r="M973" s="287"/>
      <c r="O973" s="286"/>
      <c r="P973" s="269"/>
      <c r="Q973" s="269"/>
      <c r="R973" s="269"/>
    </row>
    <row r="974" spans="1:18" s="285" customFormat="1" ht="39.6" customHeight="1" x14ac:dyDescent="0.25">
      <c r="A974" s="276"/>
      <c r="B974" s="276"/>
      <c r="C974" s="276"/>
      <c r="D974" s="277"/>
      <c r="E974" s="278"/>
      <c r="F974" s="279"/>
      <c r="G974" s="280"/>
      <c r="H974" s="281"/>
      <c r="I974" s="282"/>
      <c r="J974" s="281"/>
      <c r="K974" s="283"/>
      <c r="L974" s="284"/>
      <c r="M974" s="287"/>
      <c r="O974" s="286"/>
      <c r="P974" s="269"/>
      <c r="Q974" s="269"/>
      <c r="R974" s="269"/>
    </row>
    <row r="975" spans="1:18" s="285" customFormat="1" ht="39.6" customHeight="1" x14ac:dyDescent="0.25">
      <c r="A975" s="276"/>
      <c r="B975" s="276"/>
      <c r="C975" s="276"/>
      <c r="D975" s="277"/>
      <c r="E975" s="278"/>
      <c r="F975" s="279"/>
      <c r="G975" s="280"/>
      <c r="H975" s="281"/>
      <c r="I975" s="282"/>
      <c r="J975" s="281"/>
      <c r="K975" s="283"/>
      <c r="L975" s="284"/>
      <c r="M975" s="287"/>
      <c r="O975" s="286"/>
      <c r="P975" s="269"/>
      <c r="Q975" s="269"/>
      <c r="R975" s="269"/>
    </row>
    <row r="976" spans="1:18" s="285" customFormat="1" ht="39.6" customHeight="1" x14ac:dyDescent="0.25">
      <c r="A976" s="276"/>
      <c r="B976" s="276"/>
      <c r="C976" s="276"/>
      <c r="D976" s="277"/>
      <c r="E976" s="278"/>
      <c r="F976" s="279"/>
      <c r="G976" s="280"/>
      <c r="H976" s="281"/>
      <c r="I976" s="282"/>
      <c r="J976" s="281"/>
      <c r="K976" s="283"/>
      <c r="L976" s="284"/>
      <c r="M976" s="287"/>
      <c r="O976" s="286"/>
      <c r="P976" s="269"/>
      <c r="Q976" s="269"/>
      <c r="R976" s="269"/>
    </row>
    <row r="977" spans="1:18" s="285" customFormat="1" ht="39.6" customHeight="1" x14ac:dyDescent="0.25">
      <c r="A977" s="276"/>
      <c r="B977" s="276"/>
      <c r="C977" s="276"/>
      <c r="D977" s="277"/>
      <c r="E977" s="278"/>
      <c r="F977" s="279"/>
      <c r="G977" s="280"/>
      <c r="H977" s="281"/>
      <c r="I977" s="282"/>
      <c r="J977" s="281"/>
      <c r="K977" s="283"/>
      <c r="L977" s="284"/>
      <c r="M977" s="287"/>
      <c r="O977" s="286"/>
      <c r="P977" s="269"/>
      <c r="Q977" s="269"/>
      <c r="R977" s="269"/>
    </row>
    <row r="978" spans="1:18" s="285" customFormat="1" ht="39.6" customHeight="1" x14ac:dyDescent="0.25">
      <c r="A978" s="276"/>
      <c r="B978" s="276"/>
      <c r="C978" s="276"/>
      <c r="D978" s="277"/>
      <c r="E978" s="278"/>
      <c r="F978" s="279"/>
      <c r="G978" s="280"/>
      <c r="H978" s="281"/>
      <c r="I978" s="282"/>
      <c r="J978" s="281"/>
      <c r="K978" s="283"/>
      <c r="L978" s="284"/>
      <c r="M978" s="287"/>
      <c r="O978" s="286"/>
      <c r="P978" s="269"/>
      <c r="Q978" s="269"/>
      <c r="R978" s="269"/>
    </row>
    <row r="979" spans="1:18" s="285" customFormat="1" ht="39.6" customHeight="1" x14ac:dyDescent="0.25">
      <c r="A979" s="276"/>
      <c r="B979" s="276"/>
      <c r="C979" s="276"/>
      <c r="D979" s="277"/>
      <c r="E979" s="278"/>
      <c r="F979" s="279"/>
      <c r="G979" s="280"/>
      <c r="H979" s="281"/>
      <c r="I979" s="282"/>
      <c r="J979" s="281"/>
      <c r="K979" s="283"/>
      <c r="L979" s="284"/>
      <c r="M979" s="287"/>
      <c r="O979" s="286"/>
      <c r="P979" s="269"/>
      <c r="Q979" s="269"/>
      <c r="R979" s="269"/>
    </row>
    <row r="980" spans="1:18" s="285" customFormat="1" ht="39.6" customHeight="1" x14ac:dyDescent="0.25">
      <c r="A980" s="276"/>
      <c r="B980" s="276"/>
      <c r="C980" s="276"/>
      <c r="D980" s="277"/>
      <c r="E980" s="278"/>
      <c r="F980" s="279"/>
      <c r="G980" s="280"/>
      <c r="H980" s="281"/>
      <c r="I980" s="282"/>
      <c r="J980" s="281"/>
      <c r="K980" s="283"/>
      <c r="L980" s="284"/>
      <c r="M980" s="287"/>
      <c r="O980" s="286"/>
      <c r="P980" s="269"/>
      <c r="Q980" s="269"/>
      <c r="R980" s="269"/>
    </row>
    <row r="981" spans="1:18" s="285" customFormat="1" ht="39.6" customHeight="1" x14ac:dyDescent="0.25">
      <c r="A981" s="276"/>
      <c r="B981" s="276"/>
      <c r="C981" s="276"/>
      <c r="D981" s="277"/>
      <c r="E981" s="278"/>
      <c r="F981" s="279"/>
      <c r="G981" s="280"/>
      <c r="H981" s="281"/>
      <c r="I981" s="282"/>
      <c r="J981" s="281"/>
      <c r="K981" s="283"/>
      <c r="L981" s="284"/>
      <c r="M981" s="287"/>
      <c r="O981" s="286"/>
      <c r="P981" s="269"/>
      <c r="Q981" s="269"/>
      <c r="R981" s="269"/>
    </row>
    <row r="982" spans="1:18" s="285" customFormat="1" ht="39.6" customHeight="1" x14ac:dyDescent="0.25">
      <c r="A982" s="276"/>
      <c r="B982" s="276"/>
      <c r="C982" s="276"/>
      <c r="D982" s="277"/>
      <c r="E982" s="278"/>
      <c r="F982" s="279"/>
      <c r="G982" s="280"/>
      <c r="H982" s="281"/>
      <c r="I982" s="282"/>
      <c r="J982" s="281"/>
      <c r="K982" s="283"/>
      <c r="L982" s="284"/>
      <c r="M982" s="287"/>
      <c r="O982" s="286"/>
      <c r="P982" s="269"/>
      <c r="Q982" s="269"/>
      <c r="R982" s="269"/>
    </row>
    <row r="983" spans="1:18" s="285" customFormat="1" ht="39.6" customHeight="1" x14ac:dyDescent="0.25">
      <c r="A983" s="276"/>
      <c r="B983" s="276"/>
      <c r="C983" s="276"/>
      <c r="D983" s="277"/>
      <c r="E983" s="278"/>
      <c r="F983" s="279"/>
      <c r="G983" s="280"/>
      <c r="H983" s="281"/>
      <c r="I983" s="282"/>
      <c r="J983" s="281"/>
      <c r="K983" s="283"/>
      <c r="L983" s="284"/>
      <c r="M983" s="287"/>
      <c r="O983" s="286"/>
      <c r="P983" s="269"/>
      <c r="Q983" s="269"/>
      <c r="R983" s="269"/>
    </row>
    <row r="984" spans="1:18" s="285" customFormat="1" ht="39.6" customHeight="1" x14ac:dyDescent="0.25">
      <c r="A984" s="276"/>
      <c r="B984" s="276"/>
      <c r="C984" s="276"/>
      <c r="D984" s="277"/>
      <c r="E984" s="278"/>
      <c r="F984" s="279"/>
      <c r="G984" s="280"/>
      <c r="H984" s="281"/>
      <c r="I984" s="282"/>
      <c r="J984" s="281"/>
      <c r="K984" s="283"/>
      <c r="L984" s="284"/>
      <c r="M984" s="287"/>
      <c r="O984" s="286"/>
      <c r="P984" s="269"/>
      <c r="Q984" s="269"/>
      <c r="R984" s="269"/>
    </row>
    <row r="985" spans="1:18" s="285" customFormat="1" ht="39.6" customHeight="1" x14ac:dyDescent="0.25">
      <c r="A985" s="276"/>
      <c r="B985" s="276"/>
      <c r="C985" s="276"/>
      <c r="D985" s="277"/>
      <c r="E985" s="278"/>
      <c r="F985" s="279"/>
      <c r="G985" s="280"/>
      <c r="H985" s="281"/>
      <c r="I985" s="282"/>
      <c r="J985" s="281"/>
      <c r="K985" s="283"/>
      <c r="L985" s="284"/>
      <c r="M985" s="287"/>
      <c r="O985" s="286"/>
      <c r="P985" s="269"/>
      <c r="Q985" s="269"/>
      <c r="R985" s="269"/>
    </row>
    <row r="986" spans="1:18" s="285" customFormat="1" ht="39.6" customHeight="1" x14ac:dyDescent="0.25">
      <c r="A986" s="276"/>
      <c r="B986" s="276"/>
      <c r="C986" s="276"/>
      <c r="D986" s="277"/>
      <c r="E986" s="278"/>
      <c r="F986" s="279"/>
      <c r="G986" s="280"/>
      <c r="H986" s="281"/>
      <c r="I986" s="282"/>
      <c r="J986" s="281"/>
      <c r="K986" s="283"/>
      <c r="L986" s="284"/>
      <c r="M986" s="287"/>
      <c r="O986" s="286"/>
      <c r="P986" s="269"/>
      <c r="Q986" s="269"/>
      <c r="R986" s="269"/>
    </row>
    <row r="987" spans="1:18" s="285" customFormat="1" ht="39.6" customHeight="1" x14ac:dyDescent="0.25">
      <c r="A987" s="276"/>
      <c r="B987" s="276"/>
      <c r="C987" s="276"/>
      <c r="D987" s="277"/>
      <c r="E987" s="278"/>
      <c r="F987" s="279"/>
      <c r="G987" s="280"/>
      <c r="H987" s="281"/>
      <c r="I987" s="282"/>
      <c r="J987" s="281"/>
      <c r="K987" s="283"/>
      <c r="L987" s="284"/>
      <c r="M987" s="287"/>
      <c r="O987" s="286"/>
      <c r="P987" s="269"/>
      <c r="Q987" s="269"/>
      <c r="R987" s="269"/>
    </row>
    <row r="988" spans="1:18" s="285" customFormat="1" ht="39.6" customHeight="1" x14ac:dyDescent="0.25">
      <c r="A988" s="276"/>
      <c r="B988" s="276"/>
      <c r="C988" s="276"/>
      <c r="D988" s="277"/>
      <c r="E988" s="278"/>
      <c r="F988" s="279"/>
      <c r="G988" s="280"/>
      <c r="H988" s="281"/>
      <c r="I988" s="282"/>
      <c r="J988" s="281"/>
      <c r="K988" s="283"/>
      <c r="L988" s="284"/>
      <c r="M988" s="287"/>
      <c r="O988" s="286"/>
      <c r="P988" s="269"/>
      <c r="Q988" s="269"/>
      <c r="R988" s="269"/>
    </row>
    <row r="989" spans="1:18" s="285" customFormat="1" ht="39.6" customHeight="1" x14ac:dyDescent="0.25">
      <c r="A989" s="276"/>
      <c r="B989" s="276"/>
      <c r="C989" s="276"/>
      <c r="D989" s="277"/>
      <c r="E989" s="278"/>
      <c r="F989" s="279"/>
      <c r="G989" s="280"/>
      <c r="H989" s="281"/>
      <c r="I989" s="282"/>
      <c r="J989" s="281"/>
      <c r="K989" s="283"/>
      <c r="L989" s="284"/>
      <c r="M989" s="287"/>
      <c r="O989" s="286"/>
      <c r="P989" s="269"/>
      <c r="Q989" s="269"/>
      <c r="R989" s="269"/>
    </row>
    <row r="990" spans="1:18" s="285" customFormat="1" ht="39.6" customHeight="1" x14ac:dyDescent="0.25">
      <c r="A990" s="276"/>
      <c r="B990" s="276"/>
      <c r="C990" s="276"/>
      <c r="D990" s="277"/>
      <c r="E990" s="278"/>
      <c r="F990" s="279"/>
      <c r="G990" s="280"/>
      <c r="H990" s="281"/>
      <c r="I990" s="282"/>
      <c r="J990" s="281"/>
      <c r="K990" s="283"/>
      <c r="L990" s="284"/>
      <c r="M990" s="287"/>
      <c r="O990" s="286"/>
      <c r="P990" s="269"/>
      <c r="Q990" s="269"/>
      <c r="R990" s="269"/>
    </row>
    <row r="991" spans="1:18" s="285" customFormat="1" ht="39.6" customHeight="1" x14ac:dyDescent="0.25">
      <c r="A991" s="276"/>
      <c r="B991" s="276"/>
      <c r="C991" s="276"/>
      <c r="D991" s="277"/>
      <c r="E991" s="278"/>
      <c r="F991" s="279"/>
      <c r="G991" s="280"/>
      <c r="H991" s="281"/>
      <c r="I991" s="282"/>
      <c r="J991" s="281"/>
      <c r="K991" s="283"/>
      <c r="L991" s="284"/>
      <c r="M991" s="287"/>
      <c r="O991" s="286"/>
      <c r="P991" s="269"/>
      <c r="Q991" s="269"/>
      <c r="R991" s="269"/>
    </row>
    <row r="992" spans="1:18" s="285" customFormat="1" ht="39.6" customHeight="1" x14ac:dyDescent="0.25">
      <c r="A992" s="276"/>
      <c r="B992" s="276"/>
      <c r="C992" s="276"/>
      <c r="D992" s="277"/>
      <c r="E992" s="278"/>
      <c r="F992" s="279"/>
      <c r="G992" s="280"/>
      <c r="H992" s="281"/>
      <c r="I992" s="282"/>
      <c r="J992" s="281"/>
      <c r="K992" s="283"/>
      <c r="L992" s="284"/>
      <c r="M992" s="287"/>
      <c r="O992" s="286"/>
      <c r="P992" s="269"/>
      <c r="Q992" s="269"/>
      <c r="R992" s="269"/>
    </row>
    <row r="993" spans="1:18" s="285" customFormat="1" ht="39.6" customHeight="1" x14ac:dyDescent="0.25">
      <c r="A993" s="276"/>
      <c r="B993" s="276"/>
      <c r="C993" s="276"/>
      <c r="D993" s="277"/>
      <c r="E993" s="278"/>
      <c r="F993" s="279"/>
      <c r="G993" s="280"/>
      <c r="H993" s="281"/>
      <c r="I993" s="282"/>
      <c r="J993" s="281"/>
      <c r="K993" s="283"/>
      <c r="L993" s="284"/>
      <c r="M993" s="287"/>
      <c r="O993" s="286"/>
      <c r="P993" s="269"/>
      <c r="Q993" s="269"/>
      <c r="R993" s="269"/>
    </row>
    <row r="994" spans="1:18" s="285" customFormat="1" ht="39.6" customHeight="1" x14ac:dyDescent="0.25">
      <c r="A994" s="276"/>
      <c r="B994" s="276"/>
      <c r="C994" s="276"/>
      <c r="D994" s="277"/>
      <c r="E994" s="278"/>
      <c r="F994" s="279"/>
      <c r="G994" s="280"/>
      <c r="H994" s="281"/>
      <c r="I994" s="282"/>
      <c r="J994" s="281"/>
      <c r="K994" s="283"/>
      <c r="L994" s="284"/>
      <c r="M994" s="287"/>
      <c r="O994" s="286"/>
      <c r="P994" s="269"/>
      <c r="Q994" s="269"/>
      <c r="R994" s="269"/>
    </row>
    <row r="995" spans="1:18" s="285" customFormat="1" ht="39.6" customHeight="1" x14ac:dyDescent="0.25">
      <c r="A995" s="276"/>
      <c r="B995" s="276"/>
      <c r="C995" s="276"/>
      <c r="D995" s="277"/>
      <c r="E995" s="278"/>
      <c r="F995" s="279"/>
      <c r="G995" s="280"/>
      <c r="H995" s="281"/>
      <c r="I995" s="282"/>
      <c r="J995" s="281"/>
      <c r="K995" s="283"/>
      <c r="L995" s="284"/>
      <c r="M995" s="287"/>
      <c r="O995" s="286"/>
      <c r="P995" s="269"/>
      <c r="Q995" s="269"/>
      <c r="R995" s="269"/>
    </row>
    <row r="996" spans="1:18" s="285" customFormat="1" ht="39.6" customHeight="1" x14ac:dyDescent="0.25">
      <c r="A996" s="276"/>
      <c r="B996" s="276"/>
      <c r="C996" s="276"/>
      <c r="D996" s="277"/>
      <c r="E996" s="278"/>
      <c r="F996" s="279"/>
      <c r="G996" s="280"/>
      <c r="H996" s="281"/>
      <c r="I996" s="282"/>
      <c r="J996" s="281"/>
      <c r="K996" s="283"/>
      <c r="L996" s="284"/>
      <c r="M996" s="287"/>
      <c r="O996" s="286"/>
      <c r="P996" s="269"/>
      <c r="Q996" s="269"/>
      <c r="R996" s="269"/>
    </row>
    <row r="997" spans="1:18" s="285" customFormat="1" ht="39.6" customHeight="1" x14ac:dyDescent="0.25">
      <c r="A997" s="276"/>
      <c r="B997" s="276"/>
      <c r="C997" s="276"/>
      <c r="D997" s="277"/>
      <c r="E997" s="278"/>
      <c r="F997" s="279"/>
      <c r="G997" s="280"/>
      <c r="H997" s="281"/>
      <c r="I997" s="282"/>
      <c r="J997" s="281"/>
      <c r="K997" s="283"/>
      <c r="L997" s="284"/>
      <c r="M997" s="287"/>
      <c r="O997" s="286"/>
      <c r="P997" s="269"/>
      <c r="Q997" s="269"/>
      <c r="R997" s="269"/>
    </row>
    <row r="998" spans="1:18" s="285" customFormat="1" ht="39.6" customHeight="1" x14ac:dyDescent="0.25">
      <c r="A998" s="276"/>
      <c r="B998" s="276"/>
      <c r="C998" s="276"/>
      <c r="D998" s="277"/>
      <c r="E998" s="278"/>
      <c r="F998" s="279"/>
      <c r="G998" s="280"/>
      <c r="H998" s="281"/>
      <c r="I998" s="282"/>
      <c r="J998" s="281"/>
      <c r="K998" s="283"/>
      <c r="L998" s="284"/>
      <c r="M998" s="287"/>
      <c r="O998" s="286"/>
      <c r="P998" s="269"/>
      <c r="Q998" s="269"/>
      <c r="R998" s="269"/>
    </row>
    <row r="999" spans="1:18" s="285" customFormat="1" ht="39.6" customHeight="1" x14ac:dyDescent="0.25">
      <c r="A999" s="276"/>
      <c r="B999" s="276"/>
      <c r="C999" s="276"/>
      <c r="D999" s="277"/>
      <c r="E999" s="278"/>
      <c r="F999" s="279"/>
      <c r="G999" s="280"/>
      <c r="H999" s="281"/>
      <c r="I999" s="282"/>
      <c r="J999" s="281"/>
      <c r="K999" s="283"/>
      <c r="L999" s="284"/>
      <c r="M999" s="287"/>
      <c r="O999" s="286"/>
      <c r="P999" s="269"/>
      <c r="Q999" s="269"/>
      <c r="R999" s="269"/>
    </row>
    <row r="1000" spans="1:18" s="285" customFormat="1" ht="39.6" customHeight="1" x14ac:dyDescent="0.25">
      <c r="A1000" s="276"/>
      <c r="B1000" s="276"/>
      <c r="C1000" s="276"/>
      <c r="D1000" s="277"/>
      <c r="E1000" s="278"/>
      <c r="F1000" s="279"/>
      <c r="G1000" s="280"/>
      <c r="H1000" s="281"/>
      <c r="I1000" s="282"/>
      <c r="J1000" s="281"/>
      <c r="K1000" s="283"/>
      <c r="L1000" s="284"/>
      <c r="M1000" s="287"/>
      <c r="O1000" s="286"/>
      <c r="P1000" s="269"/>
      <c r="Q1000" s="269"/>
      <c r="R1000" s="269"/>
    </row>
    <row r="1001" spans="1:18" s="285" customFormat="1" ht="39.6" customHeight="1" x14ac:dyDescent="0.25">
      <c r="A1001" s="276"/>
      <c r="B1001" s="276"/>
      <c r="C1001" s="276"/>
      <c r="D1001" s="277"/>
      <c r="E1001" s="278"/>
      <c r="F1001" s="279"/>
      <c r="G1001" s="280"/>
      <c r="H1001" s="281"/>
      <c r="I1001" s="282"/>
      <c r="J1001" s="281"/>
      <c r="K1001" s="283"/>
      <c r="L1001" s="284"/>
      <c r="M1001" s="287"/>
      <c r="O1001" s="286"/>
      <c r="P1001" s="269"/>
      <c r="Q1001" s="269"/>
      <c r="R1001" s="269"/>
    </row>
    <row r="1002" spans="1:18" s="285" customFormat="1" ht="39.6" customHeight="1" x14ac:dyDescent="0.25">
      <c r="A1002" s="276"/>
      <c r="B1002" s="276"/>
      <c r="C1002" s="276"/>
      <c r="D1002" s="277"/>
      <c r="E1002" s="278"/>
      <c r="F1002" s="279"/>
      <c r="G1002" s="280"/>
      <c r="H1002" s="281"/>
      <c r="I1002" s="282"/>
      <c r="J1002" s="281"/>
      <c r="K1002" s="283"/>
      <c r="L1002" s="284"/>
      <c r="M1002" s="287"/>
      <c r="O1002" s="286"/>
      <c r="P1002" s="269"/>
      <c r="Q1002" s="269"/>
      <c r="R1002" s="269"/>
    </row>
    <row r="1003" spans="1:18" s="285" customFormat="1" ht="39.6" customHeight="1" x14ac:dyDescent="0.25">
      <c r="A1003" s="276"/>
      <c r="B1003" s="276"/>
      <c r="C1003" s="276"/>
      <c r="D1003" s="277"/>
      <c r="E1003" s="278"/>
      <c r="F1003" s="279"/>
      <c r="G1003" s="280"/>
      <c r="H1003" s="281"/>
      <c r="I1003" s="282"/>
      <c r="J1003" s="281"/>
      <c r="K1003" s="283"/>
      <c r="L1003" s="284"/>
      <c r="M1003" s="287"/>
      <c r="O1003" s="286"/>
      <c r="P1003" s="269"/>
      <c r="Q1003" s="269"/>
      <c r="R1003" s="269"/>
    </row>
    <row r="1004" spans="1:18" s="285" customFormat="1" ht="39.6" customHeight="1" x14ac:dyDescent="0.25">
      <c r="A1004" s="276"/>
      <c r="B1004" s="276"/>
      <c r="C1004" s="276"/>
      <c r="D1004" s="277"/>
      <c r="E1004" s="278"/>
      <c r="F1004" s="279"/>
      <c r="G1004" s="280"/>
      <c r="H1004" s="281"/>
      <c r="I1004" s="282"/>
      <c r="J1004" s="281"/>
      <c r="K1004" s="283"/>
      <c r="L1004" s="284"/>
      <c r="M1004" s="287"/>
      <c r="O1004" s="286"/>
      <c r="P1004" s="269"/>
      <c r="Q1004" s="269"/>
      <c r="R1004" s="269"/>
    </row>
    <row r="1005" spans="1:18" s="285" customFormat="1" ht="39.6" customHeight="1" x14ac:dyDescent="0.25">
      <c r="A1005" s="276"/>
      <c r="B1005" s="276"/>
      <c r="C1005" s="276"/>
      <c r="D1005" s="277"/>
      <c r="E1005" s="278"/>
      <c r="F1005" s="279"/>
      <c r="G1005" s="280"/>
      <c r="H1005" s="281"/>
      <c r="I1005" s="282"/>
      <c r="J1005" s="281"/>
      <c r="K1005" s="283"/>
      <c r="L1005" s="284"/>
      <c r="M1005" s="287"/>
      <c r="O1005" s="286"/>
      <c r="P1005" s="269"/>
      <c r="Q1005" s="269"/>
      <c r="R1005" s="269"/>
    </row>
    <row r="1006" spans="1:18" s="285" customFormat="1" ht="39.6" customHeight="1" x14ac:dyDescent="0.25">
      <c r="A1006" s="276"/>
      <c r="B1006" s="276"/>
      <c r="C1006" s="276"/>
      <c r="D1006" s="277"/>
      <c r="E1006" s="278"/>
      <c r="F1006" s="279"/>
      <c r="G1006" s="280"/>
      <c r="H1006" s="281"/>
      <c r="I1006" s="282"/>
      <c r="J1006" s="281"/>
      <c r="K1006" s="283"/>
      <c r="L1006" s="284"/>
      <c r="M1006" s="287"/>
      <c r="O1006" s="286"/>
      <c r="P1006" s="269"/>
      <c r="Q1006" s="269"/>
      <c r="R1006" s="269"/>
    </row>
    <row r="1007" spans="1:18" s="285" customFormat="1" ht="39.6" customHeight="1" x14ac:dyDescent="0.25">
      <c r="A1007" s="276"/>
      <c r="B1007" s="276"/>
      <c r="C1007" s="276"/>
      <c r="D1007" s="277"/>
      <c r="E1007" s="278"/>
      <c r="F1007" s="279"/>
      <c r="G1007" s="280"/>
      <c r="H1007" s="281"/>
      <c r="I1007" s="282"/>
      <c r="J1007" s="281"/>
      <c r="K1007" s="283"/>
      <c r="L1007" s="284"/>
      <c r="M1007" s="287"/>
      <c r="O1007" s="286"/>
      <c r="P1007" s="269"/>
      <c r="Q1007" s="269"/>
      <c r="R1007" s="269"/>
    </row>
    <row r="1008" spans="1:18" s="285" customFormat="1" ht="39.6" customHeight="1" x14ac:dyDescent="0.25">
      <c r="A1008" s="276"/>
      <c r="B1008" s="276"/>
      <c r="C1008" s="276"/>
      <c r="D1008" s="277"/>
      <c r="E1008" s="278"/>
      <c r="F1008" s="279"/>
      <c r="G1008" s="280"/>
      <c r="H1008" s="281"/>
      <c r="I1008" s="282"/>
      <c r="J1008" s="281"/>
      <c r="K1008" s="283"/>
      <c r="L1008" s="284"/>
      <c r="M1008" s="287"/>
      <c r="O1008" s="286"/>
      <c r="P1008" s="269"/>
      <c r="Q1008" s="269"/>
      <c r="R1008" s="269"/>
    </row>
    <row r="1009" spans="1:18" s="285" customFormat="1" ht="39.6" customHeight="1" x14ac:dyDescent="0.25">
      <c r="A1009" s="276"/>
      <c r="B1009" s="276"/>
      <c r="C1009" s="276"/>
      <c r="D1009" s="277"/>
      <c r="E1009" s="278"/>
      <c r="F1009" s="279"/>
      <c r="G1009" s="280"/>
      <c r="H1009" s="281"/>
      <c r="I1009" s="282"/>
      <c r="J1009" s="281"/>
      <c r="K1009" s="283"/>
      <c r="L1009" s="284"/>
      <c r="M1009" s="287"/>
      <c r="O1009" s="286"/>
      <c r="P1009" s="269"/>
      <c r="Q1009" s="269"/>
      <c r="R1009" s="269"/>
    </row>
    <row r="1010" spans="1:18" s="285" customFormat="1" ht="39.6" customHeight="1" x14ac:dyDescent="0.25">
      <c r="A1010" s="276"/>
      <c r="B1010" s="276"/>
      <c r="C1010" s="276"/>
      <c r="D1010" s="277"/>
      <c r="E1010" s="278"/>
      <c r="F1010" s="279"/>
      <c r="G1010" s="280"/>
      <c r="H1010" s="281"/>
      <c r="I1010" s="282"/>
      <c r="J1010" s="281"/>
      <c r="K1010" s="283"/>
      <c r="L1010" s="284"/>
      <c r="M1010" s="287"/>
      <c r="O1010" s="286"/>
      <c r="P1010" s="269"/>
      <c r="Q1010" s="269"/>
      <c r="R1010" s="269"/>
    </row>
    <row r="1011" spans="1:18" s="285" customFormat="1" ht="39.6" customHeight="1" x14ac:dyDescent="0.25">
      <c r="A1011" s="276"/>
      <c r="B1011" s="276"/>
      <c r="C1011" s="276"/>
      <c r="D1011" s="277"/>
      <c r="E1011" s="278"/>
      <c r="F1011" s="279"/>
      <c r="G1011" s="280"/>
      <c r="H1011" s="281"/>
      <c r="I1011" s="282"/>
      <c r="J1011" s="281"/>
      <c r="K1011" s="283"/>
      <c r="L1011" s="284"/>
      <c r="M1011" s="287"/>
      <c r="O1011" s="286"/>
      <c r="P1011" s="269"/>
      <c r="Q1011" s="269"/>
      <c r="R1011" s="269"/>
    </row>
    <row r="1012" spans="1:18" s="285" customFormat="1" ht="39.6" customHeight="1" x14ac:dyDescent="0.25">
      <c r="A1012" s="276"/>
      <c r="B1012" s="276"/>
      <c r="C1012" s="276"/>
      <c r="D1012" s="277"/>
      <c r="E1012" s="278"/>
      <c r="F1012" s="279"/>
      <c r="G1012" s="280"/>
      <c r="H1012" s="281"/>
      <c r="I1012" s="282"/>
      <c r="J1012" s="281"/>
      <c r="K1012" s="283"/>
      <c r="L1012" s="284"/>
      <c r="M1012" s="287"/>
      <c r="O1012" s="286"/>
      <c r="P1012" s="269"/>
      <c r="Q1012" s="269"/>
      <c r="R1012" s="269"/>
    </row>
    <row r="1013" spans="1:18" s="285" customFormat="1" ht="39.6" customHeight="1" x14ac:dyDescent="0.25">
      <c r="A1013" s="276"/>
      <c r="B1013" s="276"/>
      <c r="C1013" s="276"/>
      <c r="D1013" s="277"/>
      <c r="E1013" s="278"/>
      <c r="F1013" s="279"/>
      <c r="G1013" s="280"/>
      <c r="H1013" s="281"/>
      <c r="I1013" s="282"/>
      <c r="J1013" s="281"/>
      <c r="K1013" s="283"/>
      <c r="L1013" s="284"/>
      <c r="M1013" s="287"/>
      <c r="O1013" s="286"/>
      <c r="P1013" s="269"/>
      <c r="Q1013" s="269"/>
      <c r="R1013" s="269"/>
    </row>
    <row r="1014" spans="1:18" s="285" customFormat="1" ht="39.6" customHeight="1" x14ac:dyDescent="0.25">
      <c r="A1014" s="276"/>
      <c r="B1014" s="276"/>
      <c r="C1014" s="276"/>
      <c r="D1014" s="277"/>
      <c r="E1014" s="278"/>
      <c r="F1014" s="279"/>
      <c r="G1014" s="280"/>
      <c r="H1014" s="281"/>
      <c r="I1014" s="282"/>
      <c r="J1014" s="281"/>
      <c r="K1014" s="283"/>
      <c r="L1014" s="284"/>
      <c r="M1014" s="287"/>
      <c r="O1014" s="286"/>
      <c r="P1014" s="269"/>
      <c r="Q1014" s="269"/>
      <c r="R1014" s="269"/>
    </row>
    <row r="1015" spans="1:18" s="285" customFormat="1" ht="39.6" customHeight="1" x14ac:dyDescent="0.25">
      <c r="A1015" s="276"/>
      <c r="B1015" s="276"/>
      <c r="C1015" s="276"/>
      <c r="D1015" s="277"/>
      <c r="E1015" s="278"/>
      <c r="F1015" s="279"/>
      <c r="G1015" s="280"/>
      <c r="H1015" s="281"/>
      <c r="I1015" s="282"/>
      <c r="J1015" s="281"/>
      <c r="K1015" s="283"/>
      <c r="L1015" s="284"/>
      <c r="M1015" s="287"/>
      <c r="O1015" s="286"/>
      <c r="P1015" s="269"/>
      <c r="Q1015" s="269"/>
      <c r="R1015" s="269"/>
    </row>
    <row r="1016" spans="1:18" s="285" customFormat="1" ht="39.6" customHeight="1" x14ac:dyDescent="0.25">
      <c r="A1016" s="276"/>
      <c r="B1016" s="276"/>
      <c r="C1016" s="276"/>
      <c r="D1016" s="277"/>
      <c r="E1016" s="278"/>
      <c r="F1016" s="279"/>
      <c r="G1016" s="280"/>
      <c r="H1016" s="281"/>
      <c r="I1016" s="282"/>
      <c r="J1016" s="281"/>
      <c r="K1016" s="283"/>
      <c r="L1016" s="284"/>
      <c r="M1016" s="287"/>
      <c r="O1016" s="286"/>
      <c r="P1016" s="269"/>
      <c r="Q1016" s="269"/>
      <c r="R1016" s="269"/>
    </row>
    <row r="1017" spans="1:18" s="285" customFormat="1" ht="39.6" customHeight="1" x14ac:dyDescent="0.25">
      <c r="A1017" s="276"/>
      <c r="B1017" s="276"/>
      <c r="C1017" s="276"/>
      <c r="D1017" s="277"/>
      <c r="E1017" s="278"/>
      <c r="F1017" s="279"/>
      <c r="G1017" s="280"/>
      <c r="H1017" s="281"/>
      <c r="I1017" s="282"/>
      <c r="J1017" s="281"/>
      <c r="K1017" s="283"/>
      <c r="L1017" s="284"/>
      <c r="M1017" s="287"/>
      <c r="O1017" s="286"/>
      <c r="P1017" s="269"/>
      <c r="Q1017" s="269"/>
      <c r="R1017" s="269"/>
    </row>
    <row r="1018" spans="1:18" s="285" customFormat="1" ht="39.6" customHeight="1" x14ac:dyDescent="0.25">
      <c r="A1018" s="276"/>
      <c r="B1018" s="276"/>
      <c r="C1018" s="276"/>
      <c r="D1018" s="277"/>
      <c r="E1018" s="278"/>
      <c r="F1018" s="279"/>
      <c r="G1018" s="280"/>
      <c r="H1018" s="281"/>
      <c r="I1018" s="282"/>
      <c r="J1018" s="281"/>
      <c r="K1018" s="283"/>
      <c r="L1018" s="284"/>
      <c r="M1018" s="287"/>
      <c r="O1018" s="286"/>
      <c r="P1018" s="269"/>
      <c r="Q1018" s="269"/>
      <c r="R1018" s="269"/>
    </row>
    <row r="1019" spans="1:18" s="285" customFormat="1" ht="39.6" customHeight="1" x14ac:dyDescent="0.25">
      <c r="A1019" s="276"/>
      <c r="B1019" s="276"/>
      <c r="C1019" s="276"/>
      <c r="D1019" s="277"/>
      <c r="E1019" s="278"/>
      <c r="F1019" s="279"/>
      <c r="G1019" s="280"/>
      <c r="H1019" s="281"/>
      <c r="I1019" s="282"/>
      <c r="J1019" s="281"/>
      <c r="K1019" s="283"/>
      <c r="L1019" s="284"/>
      <c r="M1019" s="287"/>
      <c r="O1019" s="286"/>
      <c r="P1019" s="269"/>
      <c r="Q1019" s="269"/>
      <c r="R1019" s="269"/>
    </row>
    <row r="1020" spans="1:18" s="285" customFormat="1" ht="39.6" customHeight="1" x14ac:dyDescent="0.25">
      <c r="A1020" s="276"/>
      <c r="B1020" s="276"/>
      <c r="C1020" s="276"/>
      <c r="D1020" s="277"/>
      <c r="E1020" s="278"/>
      <c r="F1020" s="279"/>
      <c r="G1020" s="280"/>
      <c r="H1020" s="281"/>
      <c r="I1020" s="282"/>
      <c r="J1020" s="281"/>
      <c r="K1020" s="283"/>
      <c r="L1020" s="284"/>
      <c r="M1020" s="287"/>
      <c r="O1020" s="286"/>
      <c r="P1020" s="269"/>
      <c r="Q1020" s="269"/>
      <c r="R1020" s="269"/>
    </row>
    <row r="1021" spans="1:18" s="285" customFormat="1" ht="39.6" customHeight="1" x14ac:dyDescent="0.25">
      <c r="A1021" s="276"/>
      <c r="B1021" s="276"/>
      <c r="C1021" s="276"/>
      <c r="D1021" s="277"/>
      <c r="E1021" s="278"/>
      <c r="F1021" s="279"/>
      <c r="G1021" s="280"/>
      <c r="H1021" s="281"/>
      <c r="I1021" s="282"/>
      <c r="J1021" s="281"/>
      <c r="K1021" s="283"/>
      <c r="L1021" s="284"/>
      <c r="M1021" s="287"/>
      <c r="O1021" s="286"/>
      <c r="P1021" s="269"/>
      <c r="Q1021" s="269"/>
      <c r="R1021" s="269"/>
    </row>
    <row r="1022" spans="1:18" s="285" customFormat="1" ht="39.6" customHeight="1" x14ac:dyDescent="0.25">
      <c r="A1022" s="276"/>
      <c r="B1022" s="276"/>
      <c r="C1022" s="276"/>
      <c r="D1022" s="277"/>
      <c r="E1022" s="278"/>
      <c r="F1022" s="279"/>
      <c r="G1022" s="280"/>
      <c r="H1022" s="281"/>
      <c r="I1022" s="282"/>
      <c r="J1022" s="281"/>
      <c r="K1022" s="283"/>
      <c r="L1022" s="284"/>
      <c r="M1022" s="287"/>
      <c r="O1022" s="286"/>
      <c r="P1022" s="269"/>
      <c r="Q1022" s="269"/>
      <c r="R1022" s="269"/>
    </row>
    <row r="1023" spans="1:18" s="285" customFormat="1" ht="39.6" customHeight="1" x14ac:dyDescent="0.25">
      <c r="A1023" s="276"/>
      <c r="B1023" s="276"/>
      <c r="C1023" s="276"/>
      <c r="D1023" s="277"/>
      <c r="E1023" s="278"/>
      <c r="F1023" s="279"/>
      <c r="G1023" s="280"/>
      <c r="H1023" s="281"/>
      <c r="I1023" s="282"/>
      <c r="J1023" s="281"/>
      <c r="K1023" s="283"/>
      <c r="L1023" s="284"/>
      <c r="M1023" s="287"/>
      <c r="O1023" s="286"/>
      <c r="P1023" s="269"/>
      <c r="Q1023" s="269"/>
      <c r="R1023" s="269"/>
    </row>
    <row r="1024" spans="1:18" s="285" customFormat="1" ht="39.6" customHeight="1" x14ac:dyDescent="0.25">
      <c r="A1024" s="276"/>
      <c r="B1024" s="276"/>
      <c r="C1024" s="276"/>
      <c r="D1024" s="277"/>
      <c r="E1024" s="278"/>
      <c r="F1024" s="279"/>
      <c r="G1024" s="280"/>
      <c r="H1024" s="281"/>
      <c r="I1024" s="282"/>
      <c r="J1024" s="281"/>
      <c r="K1024" s="283"/>
      <c r="L1024" s="284"/>
      <c r="M1024" s="287"/>
      <c r="O1024" s="286"/>
      <c r="P1024" s="269"/>
      <c r="Q1024" s="269"/>
      <c r="R1024" s="269"/>
    </row>
    <row r="1025" spans="1:18" s="285" customFormat="1" ht="39.6" customHeight="1" x14ac:dyDescent="0.25">
      <c r="A1025" s="276"/>
      <c r="B1025" s="276"/>
      <c r="C1025" s="276"/>
      <c r="D1025" s="277"/>
      <c r="E1025" s="278"/>
      <c r="F1025" s="279"/>
      <c r="G1025" s="280"/>
      <c r="H1025" s="281"/>
      <c r="I1025" s="282"/>
      <c r="J1025" s="281"/>
      <c r="K1025" s="283"/>
      <c r="L1025" s="284"/>
      <c r="M1025" s="287"/>
      <c r="O1025" s="286"/>
      <c r="P1025" s="269"/>
      <c r="Q1025" s="269"/>
      <c r="R1025" s="269"/>
    </row>
    <row r="1026" spans="1:18" s="285" customFormat="1" ht="39.6" customHeight="1" x14ac:dyDescent="0.25">
      <c r="A1026" s="276"/>
      <c r="B1026" s="276"/>
      <c r="C1026" s="276"/>
      <c r="D1026" s="277"/>
      <c r="E1026" s="278"/>
      <c r="F1026" s="279"/>
      <c r="G1026" s="280"/>
      <c r="H1026" s="281"/>
      <c r="I1026" s="282"/>
      <c r="J1026" s="281"/>
      <c r="K1026" s="283"/>
      <c r="L1026" s="284"/>
      <c r="M1026" s="287"/>
      <c r="O1026" s="286"/>
      <c r="P1026" s="269"/>
      <c r="Q1026" s="269"/>
      <c r="R1026" s="269"/>
    </row>
    <row r="1027" spans="1:18" s="285" customFormat="1" ht="39.6" customHeight="1" x14ac:dyDescent="0.25">
      <c r="A1027" s="276"/>
      <c r="B1027" s="276"/>
      <c r="C1027" s="276"/>
      <c r="D1027" s="288"/>
      <c r="E1027" s="287"/>
      <c r="F1027" s="287"/>
      <c r="G1027" s="287"/>
      <c r="H1027" s="289"/>
      <c r="I1027" s="287"/>
      <c r="J1027" s="289"/>
      <c r="K1027" s="289"/>
      <c r="L1027" s="289"/>
      <c r="M1027" s="287"/>
      <c r="O1027" s="286"/>
      <c r="P1027" s="269"/>
      <c r="Q1027" s="269"/>
      <c r="R1027" s="269"/>
    </row>
    <row r="1028" spans="1:18" s="285" customFormat="1" ht="39.6" customHeight="1" x14ac:dyDescent="0.25">
      <c r="A1028" s="276"/>
      <c r="B1028" s="276"/>
      <c r="C1028" s="276"/>
      <c r="D1028" s="288"/>
      <c r="E1028" s="287"/>
      <c r="F1028" s="287"/>
      <c r="G1028" s="287"/>
      <c r="H1028" s="287"/>
      <c r="I1028" s="287"/>
      <c r="J1028" s="287"/>
      <c r="K1028" s="287"/>
      <c r="L1028" s="287"/>
      <c r="M1028" s="287"/>
      <c r="O1028" s="286"/>
      <c r="P1028" s="269"/>
      <c r="Q1028" s="269"/>
      <c r="R1028" s="269"/>
    </row>
    <row r="1029" spans="1:18" s="285" customFormat="1" ht="39.6" customHeight="1" x14ac:dyDescent="0.25">
      <c r="A1029" s="276"/>
      <c r="B1029" s="276"/>
      <c r="C1029" s="276"/>
      <c r="D1029" s="288"/>
      <c r="E1029" s="287"/>
      <c r="F1029" s="287"/>
      <c r="G1029" s="287"/>
      <c r="H1029" s="287"/>
      <c r="I1029" s="287"/>
      <c r="J1029" s="287"/>
      <c r="K1029" s="287"/>
      <c r="L1029" s="287"/>
      <c r="M1029" s="287"/>
      <c r="O1029" s="286"/>
      <c r="P1029" s="269"/>
      <c r="Q1029" s="269"/>
      <c r="R1029" s="269"/>
    </row>
    <row r="1030" spans="1:18" s="285" customFormat="1" ht="39.6" customHeight="1" x14ac:dyDescent="0.25">
      <c r="A1030" s="276"/>
      <c r="B1030" s="276"/>
      <c r="C1030" s="276"/>
      <c r="D1030" s="288"/>
      <c r="E1030" s="290"/>
      <c r="F1030" s="266"/>
      <c r="G1030" s="288"/>
      <c r="H1030" s="291"/>
      <c r="I1030" s="292"/>
      <c r="J1030" s="292"/>
      <c r="K1030" s="291"/>
      <c r="L1030" s="293"/>
      <c r="M1030" s="287"/>
      <c r="O1030" s="286"/>
      <c r="P1030" s="269"/>
      <c r="Q1030" s="269"/>
      <c r="R1030" s="269"/>
    </row>
    <row r="1031" spans="1:18" s="285" customFormat="1" ht="39.6" customHeight="1" x14ac:dyDescent="0.25">
      <c r="A1031" s="276"/>
      <c r="B1031" s="276"/>
      <c r="C1031" s="276"/>
      <c r="D1031" s="288"/>
      <c r="E1031" s="290"/>
      <c r="F1031" s="266"/>
      <c r="G1031" s="288"/>
      <c r="H1031" s="291"/>
      <c r="I1031" s="292"/>
      <c r="J1031" s="292"/>
      <c r="K1031" s="291"/>
      <c r="L1031" s="293"/>
      <c r="M1031" s="287"/>
      <c r="O1031" s="286"/>
      <c r="P1031" s="269"/>
      <c r="Q1031" s="269"/>
      <c r="R1031" s="269"/>
    </row>
    <row r="1032" spans="1:18" s="285" customFormat="1" ht="39.6" customHeight="1" x14ac:dyDescent="0.25">
      <c r="A1032" s="276"/>
      <c r="B1032" s="276"/>
      <c r="C1032" s="276"/>
      <c r="D1032" s="288"/>
      <c r="E1032" s="290"/>
      <c r="F1032" s="266"/>
      <c r="G1032" s="288"/>
      <c r="H1032" s="291"/>
      <c r="I1032" s="292"/>
      <c r="J1032" s="292"/>
      <c r="K1032" s="291"/>
      <c r="L1032" s="293"/>
      <c r="M1032" s="287"/>
      <c r="O1032" s="286"/>
      <c r="P1032" s="269"/>
      <c r="Q1032" s="269"/>
      <c r="R1032" s="269"/>
    </row>
    <row r="1033" spans="1:18" s="285" customFormat="1" ht="39.6" customHeight="1" x14ac:dyDescent="0.25">
      <c r="A1033" s="276"/>
      <c r="B1033" s="276"/>
      <c r="C1033" s="276"/>
      <c r="D1033" s="288"/>
      <c r="E1033" s="290"/>
      <c r="F1033" s="266"/>
      <c r="G1033" s="288"/>
      <c r="H1033" s="291"/>
      <c r="I1033" s="292"/>
      <c r="J1033" s="292"/>
      <c r="K1033" s="291"/>
      <c r="L1033" s="293"/>
      <c r="M1033" s="287"/>
      <c r="O1033" s="286"/>
      <c r="P1033" s="269"/>
      <c r="Q1033" s="269"/>
      <c r="R1033" s="269"/>
    </row>
    <row r="1034" spans="1:18" s="285" customFormat="1" ht="39.6" customHeight="1" x14ac:dyDescent="0.25">
      <c r="A1034" s="276"/>
      <c r="B1034" s="276"/>
      <c r="C1034" s="276"/>
      <c r="D1034" s="288"/>
      <c r="E1034" s="290"/>
      <c r="F1034" s="266"/>
      <c r="G1034" s="288"/>
      <c r="H1034" s="291"/>
      <c r="I1034" s="292"/>
      <c r="J1034" s="292"/>
      <c r="K1034" s="291"/>
      <c r="L1034" s="293"/>
      <c r="M1034" s="287"/>
      <c r="O1034" s="286"/>
      <c r="P1034" s="269"/>
      <c r="Q1034" s="269"/>
      <c r="R1034" s="269"/>
    </row>
    <row r="1035" spans="1:18" s="285" customFormat="1" ht="39.6" customHeight="1" x14ac:dyDescent="0.25">
      <c r="A1035" s="276"/>
      <c r="B1035" s="276"/>
      <c r="C1035" s="276"/>
      <c r="D1035" s="288"/>
      <c r="E1035" s="290"/>
      <c r="F1035" s="266"/>
      <c r="G1035" s="288"/>
      <c r="H1035" s="291"/>
      <c r="I1035" s="292"/>
      <c r="J1035" s="292"/>
      <c r="K1035" s="291"/>
      <c r="L1035" s="293"/>
      <c r="M1035" s="287"/>
      <c r="O1035" s="286"/>
      <c r="P1035" s="269"/>
      <c r="Q1035" s="269"/>
      <c r="R1035" s="269"/>
    </row>
    <row r="1036" spans="1:18" s="285" customFormat="1" ht="39.6" customHeight="1" x14ac:dyDescent="0.25">
      <c r="A1036" s="276"/>
      <c r="B1036" s="276"/>
      <c r="C1036" s="276"/>
      <c r="D1036" s="288"/>
      <c r="E1036" s="290"/>
      <c r="F1036" s="266"/>
      <c r="G1036" s="288"/>
      <c r="H1036" s="291"/>
      <c r="I1036" s="292"/>
      <c r="J1036" s="292"/>
      <c r="K1036" s="291"/>
      <c r="L1036" s="293"/>
      <c r="M1036" s="287"/>
      <c r="O1036" s="286"/>
      <c r="P1036" s="269"/>
      <c r="Q1036" s="269"/>
      <c r="R1036" s="269"/>
    </row>
    <row r="1037" spans="1:18" s="285" customFormat="1" ht="39.6" customHeight="1" x14ac:dyDescent="0.25">
      <c r="A1037" s="276"/>
      <c r="B1037" s="276"/>
      <c r="C1037" s="276"/>
      <c r="D1037" s="288"/>
      <c r="E1037" s="290"/>
      <c r="F1037" s="266"/>
      <c r="G1037" s="288"/>
      <c r="H1037" s="291"/>
      <c r="I1037" s="292"/>
      <c r="J1037" s="292"/>
      <c r="K1037" s="291"/>
      <c r="L1037" s="293"/>
      <c r="M1037" s="287"/>
      <c r="O1037" s="286"/>
      <c r="P1037" s="269"/>
      <c r="Q1037" s="269"/>
      <c r="R1037" s="269"/>
    </row>
    <row r="1038" spans="1:18" s="285" customFormat="1" ht="39.6" customHeight="1" x14ac:dyDescent="0.25">
      <c r="A1038" s="276"/>
      <c r="B1038" s="276"/>
      <c r="C1038" s="276"/>
      <c r="D1038" s="288"/>
      <c r="E1038" s="290"/>
      <c r="F1038" s="266"/>
      <c r="G1038" s="288"/>
      <c r="H1038" s="291"/>
      <c r="I1038" s="292"/>
      <c r="J1038" s="292"/>
      <c r="K1038" s="291"/>
      <c r="L1038" s="293"/>
      <c r="M1038" s="287"/>
      <c r="O1038" s="286"/>
      <c r="P1038" s="269"/>
      <c r="Q1038" s="269"/>
      <c r="R1038" s="269"/>
    </row>
    <row r="1039" spans="1:18" s="285" customFormat="1" ht="39.6" customHeight="1" x14ac:dyDescent="0.25">
      <c r="A1039" s="276"/>
      <c r="B1039" s="276"/>
      <c r="C1039" s="276"/>
      <c r="D1039" s="288"/>
      <c r="E1039" s="290"/>
      <c r="F1039" s="266"/>
      <c r="G1039" s="288"/>
      <c r="H1039" s="291"/>
      <c r="I1039" s="292"/>
      <c r="J1039" s="292"/>
      <c r="K1039" s="291"/>
      <c r="L1039" s="293"/>
      <c r="M1039" s="287"/>
      <c r="O1039" s="286"/>
      <c r="P1039" s="269"/>
      <c r="Q1039" s="269"/>
      <c r="R1039" s="269"/>
    </row>
    <row r="1040" spans="1:18" s="285" customFormat="1" ht="39.6" customHeight="1" x14ac:dyDescent="0.25">
      <c r="A1040" s="276"/>
      <c r="B1040" s="276"/>
      <c r="C1040" s="276"/>
      <c r="D1040" s="288"/>
      <c r="E1040" s="290"/>
      <c r="F1040" s="266"/>
      <c r="G1040" s="288"/>
      <c r="H1040" s="291"/>
      <c r="I1040" s="292"/>
      <c r="J1040" s="292"/>
      <c r="K1040" s="291"/>
      <c r="L1040" s="293"/>
      <c r="M1040" s="287"/>
      <c r="O1040" s="286"/>
      <c r="P1040" s="269"/>
      <c r="Q1040" s="269"/>
      <c r="R1040" s="269"/>
    </row>
    <row r="1041" spans="1:18" s="285" customFormat="1" ht="39.6" customHeight="1" x14ac:dyDescent="0.25">
      <c r="A1041" s="276"/>
      <c r="B1041" s="276"/>
      <c r="C1041" s="276"/>
      <c r="D1041" s="288"/>
      <c r="E1041" s="290"/>
      <c r="F1041" s="266"/>
      <c r="G1041" s="288"/>
      <c r="H1041" s="291"/>
      <c r="I1041" s="292"/>
      <c r="J1041" s="292"/>
      <c r="K1041" s="291"/>
      <c r="L1041" s="293"/>
      <c r="M1041" s="287"/>
      <c r="O1041" s="286"/>
      <c r="P1041" s="269"/>
      <c r="Q1041" s="269"/>
      <c r="R1041" s="269"/>
    </row>
    <row r="1042" spans="1:18" s="285" customFormat="1" ht="39.6" customHeight="1" x14ac:dyDescent="0.25">
      <c r="A1042" s="276"/>
      <c r="B1042" s="276"/>
      <c r="C1042" s="276"/>
      <c r="D1042" s="288"/>
      <c r="E1042" s="290"/>
      <c r="F1042" s="266"/>
      <c r="G1042" s="288"/>
      <c r="H1042" s="291"/>
      <c r="I1042" s="292"/>
      <c r="J1042" s="292"/>
      <c r="K1042" s="291"/>
      <c r="L1042" s="293"/>
      <c r="M1042" s="287"/>
      <c r="O1042" s="286"/>
      <c r="P1042" s="269"/>
      <c r="Q1042" s="269"/>
      <c r="R1042" s="269"/>
    </row>
    <row r="1043" spans="1:18" s="285" customFormat="1" ht="39.6" customHeight="1" x14ac:dyDescent="0.25">
      <c r="A1043" s="276"/>
      <c r="B1043" s="276"/>
      <c r="C1043" s="276"/>
      <c r="D1043" s="288"/>
      <c r="E1043" s="290"/>
      <c r="F1043" s="266"/>
      <c r="G1043" s="288"/>
      <c r="H1043" s="291"/>
      <c r="I1043" s="292"/>
      <c r="J1043" s="292"/>
      <c r="K1043" s="291"/>
      <c r="L1043" s="293"/>
      <c r="M1043" s="287"/>
      <c r="O1043" s="286"/>
      <c r="P1043" s="269"/>
      <c r="Q1043" s="269"/>
      <c r="R1043" s="269"/>
    </row>
    <row r="1044" spans="1:18" s="285" customFormat="1" ht="39.6" customHeight="1" x14ac:dyDescent="0.25">
      <c r="A1044" s="276"/>
      <c r="B1044" s="276"/>
      <c r="C1044" s="276"/>
      <c r="D1044" s="288"/>
      <c r="E1044" s="290"/>
      <c r="F1044" s="266"/>
      <c r="G1044" s="288"/>
      <c r="H1044" s="291"/>
      <c r="I1044" s="292"/>
      <c r="J1044" s="292"/>
      <c r="K1044" s="291"/>
      <c r="L1044" s="293"/>
      <c r="M1044" s="287"/>
      <c r="O1044" s="286"/>
      <c r="P1044" s="269"/>
      <c r="Q1044" s="269"/>
      <c r="R1044" s="269"/>
    </row>
    <row r="1045" spans="1:18" s="285" customFormat="1" ht="39.6" customHeight="1" x14ac:dyDescent="0.25">
      <c r="A1045" s="276"/>
      <c r="B1045" s="276"/>
      <c r="C1045" s="276"/>
      <c r="D1045" s="288"/>
      <c r="E1045" s="290"/>
      <c r="F1045" s="266"/>
      <c r="G1045" s="288"/>
      <c r="H1045" s="291"/>
      <c r="I1045" s="292"/>
      <c r="J1045" s="292"/>
      <c r="K1045" s="291"/>
      <c r="L1045" s="293"/>
      <c r="M1045" s="287"/>
      <c r="O1045" s="286"/>
      <c r="P1045" s="269"/>
      <c r="Q1045" s="269"/>
      <c r="R1045" s="269"/>
    </row>
    <row r="1046" spans="1:18" s="285" customFormat="1" ht="39.6" customHeight="1" x14ac:dyDescent="0.25">
      <c r="A1046" s="276"/>
      <c r="B1046" s="276"/>
      <c r="C1046" s="276"/>
      <c r="D1046" s="288"/>
      <c r="E1046" s="290"/>
      <c r="F1046" s="266"/>
      <c r="G1046" s="288"/>
      <c r="H1046" s="291"/>
      <c r="I1046" s="292"/>
      <c r="J1046" s="292"/>
      <c r="K1046" s="291"/>
      <c r="L1046" s="293"/>
      <c r="M1046" s="287"/>
      <c r="O1046" s="286"/>
      <c r="P1046" s="269"/>
      <c r="Q1046" s="269"/>
      <c r="R1046" s="269"/>
    </row>
    <row r="1047" spans="1:18" s="285" customFormat="1" ht="39.6" customHeight="1" x14ac:dyDescent="0.25">
      <c r="A1047" s="276"/>
      <c r="B1047" s="276"/>
      <c r="C1047" s="276"/>
      <c r="D1047" s="288"/>
      <c r="E1047" s="290"/>
      <c r="F1047" s="266"/>
      <c r="G1047" s="288"/>
      <c r="H1047" s="291"/>
      <c r="I1047" s="292"/>
      <c r="J1047" s="292"/>
      <c r="K1047" s="291"/>
      <c r="L1047" s="293"/>
      <c r="M1047" s="287"/>
      <c r="O1047" s="286"/>
      <c r="P1047" s="269"/>
      <c r="Q1047" s="269"/>
      <c r="R1047" s="269"/>
    </row>
    <row r="1048" spans="1:18" s="285" customFormat="1" ht="39.6" customHeight="1" x14ac:dyDescent="0.25">
      <c r="A1048" s="276"/>
      <c r="B1048" s="276"/>
      <c r="C1048" s="276"/>
      <c r="D1048" s="288"/>
      <c r="E1048" s="290"/>
      <c r="F1048" s="266"/>
      <c r="G1048" s="288"/>
      <c r="H1048" s="291"/>
      <c r="I1048" s="292"/>
      <c r="J1048" s="292"/>
      <c r="K1048" s="291"/>
      <c r="L1048" s="293"/>
      <c r="M1048" s="287"/>
      <c r="O1048" s="286"/>
      <c r="P1048" s="269"/>
      <c r="Q1048" s="269"/>
      <c r="R1048" s="269"/>
    </row>
    <row r="1049" spans="1:18" s="285" customFormat="1" ht="39.6" customHeight="1" x14ac:dyDescent="0.25">
      <c r="A1049" s="276"/>
      <c r="B1049" s="276"/>
      <c r="C1049" s="276"/>
      <c r="D1049" s="288"/>
      <c r="E1049" s="290"/>
      <c r="F1049" s="266"/>
      <c r="G1049" s="288"/>
      <c r="H1049" s="291"/>
      <c r="I1049" s="292"/>
      <c r="J1049" s="292"/>
      <c r="K1049" s="291"/>
      <c r="L1049" s="293"/>
      <c r="M1049" s="287"/>
      <c r="O1049" s="286"/>
      <c r="P1049" s="269"/>
      <c r="Q1049" s="269"/>
      <c r="R1049" s="269"/>
    </row>
    <row r="1050" spans="1:18" s="285" customFormat="1" ht="39.6" customHeight="1" x14ac:dyDescent="0.25">
      <c r="A1050" s="276"/>
      <c r="B1050" s="276"/>
      <c r="C1050" s="276"/>
      <c r="D1050" s="288"/>
      <c r="E1050" s="290"/>
      <c r="F1050" s="266"/>
      <c r="G1050" s="288"/>
      <c r="H1050" s="291"/>
      <c r="I1050" s="292"/>
      <c r="J1050" s="292"/>
      <c r="K1050" s="291"/>
      <c r="L1050" s="293"/>
      <c r="M1050" s="287"/>
      <c r="O1050" s="286"/>
      <c r="P1050" s="269"/>
      <c r="Q1050" s="269"/>
      <c r="R1050" s="269"/>
    </row>
    <row r="1051" spans="1:18" s="285" customFormat="1" ht="39.6" customHeight="1" x14ac:dyDescent="0.25">
      <c r="A1051" s="276"/>
      <c r="B1051" s="276"/>
      <c r="C1051" s="276"/>
      <c r="D1051" s="288"/>
      <c r="E1051" s="290"/>
      <c r="F1051" s="266"/>
      <c r="G1051" s="288"/>
      <c r="H1051" s="291"/>
      <c r="I1051" s="292"/>
      <c r="J1051" s="292"/>
      <c r="K1051" s="291"/>
      <c r="L1051" s="293"/>
      <c r="M1051" s="287"/>
      <c r="O1051" s="286"/>
      <c r="P1051" s="269"/>
      <c r="Q1051" s="269"/>
      <c r="R1051" s="269"/>
    </row>
    <row r="1052" spans="1:18" s="285" customFormat="1" ht="39.6" customHeight="1" x14ac:dyDescent="0.25">
      <c r="A1052" s="276"/>
      <c r="B1052" s="276"/>
      <c r="C1052" s="276"/>
      <c r="D1052" s="288"/>
      <c r="E1052" s="290"/>
      <c r="F1052" s="266"/>
      <c r="G1052" s="288"/>
      <c r="H1052" s="291"/>
      <c r="I1052" s="292"/>
      <c r="J1052" s="292"/>
      <c r="K1052" s="291"/>
      <c r="L1052" s="293"/>
      <c r="M1052" s="287"/>
      <c r="O1052" s="286"/>
      <c r="P1052" s="269"/>
      <c r="Q1052" s="269"/>
      <c r="R1052" s="269"/>
    </row>
    <row r="1053" spans="1:18" s="285" customFormat="1" ht="39.6" customHeight="1" x14ac:dyDescent="0.25">
      <c r="A1053" s="276"/>
      <c r="B1053" s="276"/>
      <c r="C1053" s="276"/>
      <c r="D1053" s="288"/>
      <c r="E1053" s="290"/>
      <c r="F1053" s="266"/>
      <c r="G1053" s="288"/>
      <c r="H1053" s="291"/>
      <c r="I1053" s="292"/>
      <c r="J1053" s="292"/>
      <c r="K1053" s="291"/>
      <c r="L1053" s="293"/>
      <c r="M1053" s="287"/>
      <c r="O1053" s="286"/>
      <c r="P1053" s="269"/>
      <c r="Q1053" s="269"/>
      <c r="R1053" s="269"/>
    </row>
    <row r="1054" spans="1:18" s="285" customFormat="1" ht="39.6" customHeight="1" x14ac:dyDescent="0.25">
      <c r="A1054" s="276"/>
      <c r="B1054" s="276"/>
      <c r="C1054" s="276"/>
      <c r="D1054" s="288"/>
      <c r="E1054" s="290"/>
      <c r="F1054" s="266"/>
      <c r="G1054" s="288"/>
      <c r="H1054" s="291"/>
      <c r="I1054" s="292"/>
      <c r="J1054" s="292"/>
      <c r="K1054" s="291"/>
      <c r="L1054" s="293"/>
      <c r="M1054" s="287"/>
      <c r="O1054" s="286"/>
      <c r="P1054" s="269"/>
      <c r="Q1054" s="269"/>
      <c r="R1054" s="269"/>
    </row>
    <row r="1055" spans="1:18" s="285" customFormat="1" ht="39.6" customHeight="1" x14ac:dyDescent="0.25">
      <c r="A1055" s="276"/>
      <c r="B1055" s="276"/>
      <c r="C1055" s="276"/>
      <c r="D1055" s="288"/>
      <c r="E1055" s="290"/>
      <c r="F1055" s="266"/>
      <c r="G1055" s="288"/>
      <c r="H1055" s="291"/>
      <c r="I1055" s="292"/>
      <c r="J1055" s="292"/>
      <c r="K1055" s="291"/>
      <c r="L1055" s="293"/>
      <c r="M1055" s="287"/>
      <c r="O1055" s="286"/>
      <c r="P1055" s="269"/>
      <c r="Q1055" s="269"/>
      <c r="R1055" s="269"/>
    </row>
    <row r="1056" spans="1:18" s="285" customFormat="1" ht="39.6" customHeight="1" x14ac:dyDescent="0.25">
      <c r="A1056" s="276"/>
      <c r="B1056" s="276"/>
      <c r="C1056" s="276"/>
      <c r="D1056" s="288"/>
      <c r="E1056" s="290"/>
      <c r="F1056" s="266"/>
      <c r="G1056" s="288"/>
      <c r="H1056" s="291"/>
      <c r="I1056" s="292"/>
      <c r="J1056" s="292"/>
      <c r="K1056" s="291"/>
      <c r="L1056" s="293"/>
      <c r="M1056" s="287"/>
      <c r="O1056" s="286"/>
      <c r="P1056" s="269"/>
      <c r="Q1056" s="269"/>
      <c r="R1056" s="269"/>
    </row>
    <row r="1057" spans="1:18" s="285" customFormat="1" ht="39.6" customHeight="1" x14ac:dyDescent="0.25">
      <c r="A1057" s="276"/>
      <c r="B1057" s="276"/>
      <c r="C1057" s="276"/>
      <c r="D1057" s="288"/>
      <c r="E1057" s="290"/>
      <c r="F1057" s="266"/>
      <c r="G1057" s="288"/>
      <c r="H1057" s="291"/>
      <c r="I1057" s="292"/>
      <c r="J1057" s="292"/>
      <c r="K1057" s="291"/>
      <c r="L1057" s="293"/>
      <c r="M1057" s="287"/>
      <c r="O1057" s="286"/>
      <c r="P1057" s="269"/>
      <c r="Q1057" s="269"/>
      <c r="R1057" s="269"/>
    </row>
    <row r="1058" spans="1:18" s="285" customFormat="1" ht="39.6" customHeight="1" x14ac:dyDescent="0.25">
      <c r="A1058" s="276"/>
      <c r="B1058" s="276"/>
      <c r="C1058" s="276"/>
      <c r="D1058" s="288"/>
      <c r="E1058" s="290"/>
      <c r="F1058" s="266"/>
      <c r="G1058" s="288"/>
      <c r="H1058" s="291"/>
      <c r="I1058" s="292"/>
      <c r="J1058" s="292"/>
      <c r="K1058" s="291"/>
      <c r="L1058" s="293"/>
      <c r="M1058" s="287"/>
      <c r="O1058" s="286"/>
      <c r="P1058" s="269"/>
      <c r="Q1058" s="269"/>
      <c r="R1058" s="269"/>
    </row>
    <row r="1059" spans="1:18" s="285" customFormat="1" ht="39.6" customHeight="1" x14ac:dyDescent="0.25">
      <c r="A1059" s="276"/>
      <c r="B1059" s="276"/>
      <c r="C1059" s="276"/>
      <c r="D1059" s="288"/>
      <c r="E1059" s="290"/>
      <c r="F1059" s="266"/>
      <c r="G1059" s="288"/>
      <c r="H1059" s="291"/>
      <c r="I1059" s="292"/>
      <c r="J1059" s="292"/>
      <c r="K1059" s="291"/>
      <c r="L1059" s="293"/>
      <c r="M1059" s="287"/>
      <c r="O1059" s="286"/>
      <c r="P1059" s="269"/>
      <c r="Q1059" s="269"/>
      <c r="R1059" s="269"/>
    </row>
    <row r="1060" spans="1:18" s="285" customFormat="1" ht="39.6" customHeight="1" x14ac:dyDescent="0.25">
      <c r="A1060" s="276"/>
      <c r="B1060" s="276"/>
      <c r="C1060" s="276"/>
      <c r="D1060" s="288"/>
      <c r="E1060" s="290"/>
      <c r="F1060" s="266"/>
      <c r="G1060" s="288"/>
      <c r="H1060" s="291"/>
      <c r="I1060" s="292"/>
      <c r="J1060" s="292"/>
      <c r="K1060" s="291"/>
      <c r="L1060" s="293"/>
      <c r="M1060" s="287"/>
      <c r="O1060" s="286"/>
      <c r="P1060" s="269"/>
      <c r="Q1060" s="269"/>
      <c r="R1060" s="269"/>
    </row>
    <row r="1061" spans="1:18" s="285" customFormat="1" ht="39.6" customHeight="1" x14ac:dyDescent="0.25">
      <c r="A1061" s="276"/>
      <c r="B1061" s="276"/>
      <c r="C1061" s="276"/>
      <c r="D1061" s="288"/>
      <c r="E1061" s="290"/>
      <c r="F1061" s="266"/>
      <c r="G1061" s="288"/>
      <c r="H1061" s="291"/>
      <c r="I1061" s="292"/>
      <c r="J1061" s="292"/>
      <c r="K1061" s="291"/>
      <c r="L1061" s="293"/>
      <c r="M1061" s="287"/>
      <c r="O1061" s="286"/>
      <c r="P1061" s="269"/>
      <c r="Q1061" s="269"/>
      <c r="R1061" s="269"/>
    </row>
    <row r="1062" spans="1:18" s="285" customFormat="1" ht="39.6" customHeight="1" x14ac:dyDescent="0.25">
      <c r="A1062" s="276"/>
      <c r="B1062" s="276"/>
      <c r="C1062" s="276"/>
      <c r="D1062" s="288"/>
      <c r="E1062" s="290"/>
      <c r="F1062" s="266"/>
      <c r="G1062" s="288"/>
      <c r="H1062" s="291"/>
      <c r="I1062" s="292"/>
      <c r="J1062" s="292"/>
      <c r="K1062" s="291"/>
      <c r="L1062" s="293"/>
      <c r="M1062" s="287"/>
      <c r="O1062" s="286"/>
      <c r="P1062" s="269"/>
      <c r="Q1062" s="269"/>
      <c r="R1062" s="269"/>
    </row>
    <row r="1063" spans="1:18" s="285" customFormat="1" ht="39.6" customHeight="1" x14ac:dyDescent="0.25">
      <c r="A1063" s="276"/>
      <c r="B1063" s="276"/>
      <c r="C1063" s="276"/>
      <c r="D1063" s="288"/>
      <c r="E1063" s="290"/>
      <c r="F1063" s="266"/>
      <c r="G1063" s="288"/>
      <c r="H1063" s="291"/>
      <c r="I1063" s="292"/>
      <c r="J1063" s="292"/>
      <c r="K1063" s="291"/>
      <c r="L1063" s="293"/>
      <c r="M1063" s="287"/>
      <c r="O1063" s="286"/>
      <c r="P1063" s="269"/>
      <c r="Q1063" s="269"/>
      <c r="R1063" s="269"/>
    </row>
    <row r="1064" spans="1:18" s="285" customFormat="1" ht="39.6" customHeight="1" x14ac:dyDescent="0.25">
      <c r="A1064" s="276"/>
      <c r="B1064" s="276"/>
      <c r="C1064" s="276"/>
      <c r="D1064" s="288"/>
      <c r="E1064" s="290"/>
      <c r="F1064" s="266"/>
      <c r="G1064" s="288"/>
      <c r="H1064" s="291"/>
      <c r="I1064" s="292"/>
      <c r="J1064" s="292"/>
      <c r="K1064" s="291"/>
      <c r="L1064" s="293"/>
      <c r="M1064" s="287"/>
      <c r="O1064" s="286"/>
      <c r="P1064" s="269"/>
      <c r="Q1064" s="269"/>
      <c r="R1064" s="269"/>
    </row>
    <row r="1065" spans="1:18" s="285" customFormat="1" ht="39.6" customHeight="1" x14ac:dyDescent="0.25">
      <c r="A1065" s="276"/>
      <c r="B1065" s="276"/>
      <c r="C1065" s="276"/>
      <c r="D1065" s="288"/>
      <c r="E1065" s="290"/>
      <c r="F1065" s="266"/>
      <c r="G1065" s="288"/>
      <c r="H1065" s="291"/>
      <c r="I1065" s="292"/>
      <c r="J1065" s="292"/>
      <c r="K1065" s="291"/>
      <c r="L1065" s="293"/>
      <c r="M1065" s="287"/>
      <c r="O1065" s="286"/>
      <c r="P1065" s="269"/>
      <c r="Q1065" s="269"/>
      <c r="R1065" s="269"/>
    </row>
    <row r="1066" spans="1:18" s="285" customFormat="1" ht="39.6" customHeight="1" x14ac:dyDescent="0.25">
      <c r="A1066" s="276"/>
      <c r="B1066" s="276"/>
      <c r="C1066" s="276"/>
      <c r="D1066" s="288"/>
      <c r="E1066" s="290"/>
      <c r="F1066" s="266"/>
      <c r="G1066" s="288"/>
      <c r="H1066" s="291"/>
      <c r="I1066" s="292"/>
      <c r="J1066" s="292"/>
      <c r="K1066" s="291"/>
      <c r="L1066" s="293"/>
      <c r="M1066" s="287"/>
      <c r="O1066" s="286"/>
      <c r="P1066" s="269"/>
      <c r="Q1066" s="269"/>
      <c r="R1066" s="269"/>
    </row>
    <row r="1067" spans="1:18" s="285" customFormat="1" ht="39.6" customHeight="1" x14ac:dyDescent="0.25">
      <c r="A1067" s="276"/>
      <c r="B1067" s="276"/>
      <c r="C1067" s="276"/>
      <c r="D1067" s="288"/>
      <c r="E1067" s="290"/>
      <c r="F1067" s="266"/>
      <c r="G1067" s="288"/>
      <c r="H1067" s="291"/>
      <c r="I1067" s="292"/>
      <c r="J1067" s="292"/>
      <c r="K1067" s="291"/>
      <c r="L1067" s="293"/>
      <c r="M1067" s="287"/>
      <c r="O1067" s="286"/>
      <c r="P1067" s="269"/>
      <c r="Q1067" s="269"/>
      <c r="R1067" s="269"/>
    </row>
    <row r="1068" spans="1:18" s="285" customFormat="1" ht="39.6" customHeight="1" x14ac:dyDescent="0.25">
      <c r="A1068" s="276"/>
      <c r="B1068" s="276"/>
      <c r="C1068" s="276"/>
      <c r="D1068" s="288"/>
      <c r="E1068" s="290"/>
      <c r="F1068" s="266"/>
      <c r="G1068" s="288"/>
      <c r="H1068" s="291"/>
      <c r="I1068" s="292"/>
      <c r="J1068" s="292"/>
      <c r="K1068" s="291"/>
      <c r="L1068" s="293"/>
      <c r="M1068" s="287"/>
      <c r="O1068" s="286"/>
      <c r="P1068" s="269"/>
      <c r="Q1068" s="269"/>
      <c r="R1068" s="269"/>
    </row>
    <row r="1069" spans="1:18" s="285" customFormat="1" ht="39.6" customHeight="1" x14ac:dyDescent="0.25">
      <c r="A1069" s="276"/>
      <c r="B1069" s="276"/>
      <c r="C1069" s="276"/>
      <c r="D1069" s="288"/>
      <c r="E1069" s="290"/>
      <c r="F1069" s="266"/>
      <c r="G1069" s="288"/>
      <c r="H1069" s="291"/>
      <c r="I1069" s="292"/>
      <c r="J1069" s="292"/>
      <c r="K1069" s="291"/>
      <c r="L1069" s="293"/>
      <c r="M1069" s="287"/>
      <c r="O1069" s="286"/>
      <c r="P1069" s="269"/>
      <c r="Q1069" s="269"/>
      <c r="R1069" s="269"/>
    </row>
    <row r="1070" spans="1:18" s="285" customFormat="1" ht="39.6" customHeight="1" x14ac:dyDescent="0.25">
      <c r="A1070" s="276"/>
      <c r="B1070" s="276"/>
      <c r="C1070" s="276"/>
      <c r="D1070" s="288"/>
      <c r="E1070" s="290"/>
      <c r="F1070" s="266"/>
      <c r="G1070" s="288"/>
      <c r="H1070" s="291"/>
      <c r="I1070" s="292"/>
      <c r="J1070" s="292"/>
      <c r="K1070" s="291"/>
      <c r="L1070" s="293"/>
      <c r="M1070" s="287"/>
      <c r="O1070" s="286"/>
      <c r="P1070" s="269"/>
      <c r="Q1070" s="269"/>
      <c r="R1070" s="269"/>
    </row>
    <row r="1071" spans="1:18" s="285" customFormat="1" ht="39.6" customHeight="1" x14ac:dyDescent="0.25">
      <c r="A1071" s="276"/>
      <c r="B1071" s="276"/>
      <c r="C1071" s="276"/>
      <c r="D1071" s="288"/>
      <c r="E1071" s="290"/>
      <c r="F1071" s="266"/>
      <c r="G1071" s="288"/>
      <c r="H1071" s="291"/>
      <c r="I1071" s="292"/>
      <c r="J1071" s="292"/>
      <c r="K1071" s="291"/>
      <c r="L1071" s="293"/>
      <c r="M1071" s="287"/>
      <c r="O1071" s="286"/>
      <c r="P1071" s="269"/>
      <c r="Q1071" s="269"/>
      <c r="R1071" s="269"/>
    </row>
    <row r="1072" spans="1:18" s="285" customFormat="1" ht="39.6" customHeight="1" x14ac:dyDescent="0.25">
      <c r="A1072" s="276"/>
      <c r="B1072" s="276"/>
      <c r="C1072" s="276"/>
      <c r="D1072" s="288"/>
      <c r="E1072" s="290"/>
      <c r="F1072" s="266"/>
      <c r="G1072" s="288"/>
      <c r="H1072" s="291"/>
      <c r="I1072" s="292"/>
      <c r="J1072" s="292"/>
      <c r="K1072" s="291"/>
      <c r="L1072" s="293"/>
      <c r="M1072" s="287"/>
      <c r="O1072" s="286"/>
      <c r="P1072" s="269"/>
      <c r="Q1072" s="269"/>
      <c r="R1072" s="269"/>
    </row>
    <row r="1073" spans="1:18" s="285" customFormat="1" ht="39.6" customHeight="1" x14ac:dyDescent="0.25">
      <c r="A1073" s="276"/>
      <c r="B1073" s="276"/>
      <c r="C1073" s="276"/>
      <c r="D1073" s="288"/>
      <c r="E1073" s="290"/>
      <c r="F1073" s="266"/>
      <c r="G1073" s="288"/>
      <c r="H1073" s="291"/>
      <c r="I1073" s="292"/>
      <c r="J1073" s="292"/>
      <c r="K1073" s="291"/>
      <c r="L1073" s="293"/>
      <c r="M1073" s="287"/>
      <c r="O1073" s="286"/>
      <c r="P1073" s="269"/>
      <c r="Q1073" s="269"/>
      <c r="R1073" s="269"/>
    </row>
    <row r="1074" spans="1:18" s="285" customFormat="1" ht="39.6" customHeight="1" x14ac:dyDescent="0.25">
      <c r="A1074" s="276"/>
      <c r="B1074" s="276"/>
      <c r="C1074" s="276"/>
      <c r="D1074" s="288"/>
      <c r="E1074" s="290"/>
      <c r="F1074" s="266"/>
      <c r="G1074" s="288"/>
      <c r="H1074" s="291"/>
      <c r="I1074" s="292"/>
      <c r="J1074" s="292"/>
      <c r="K1074" s="291"/>
      <c r="L1074" s="293"/>
      <c r="M1074" s="287"/>
      <c r="O1074" s="286"/>
      <c r="P1074" s="269"/>
      <c r="Q1074" s="269"/>
      <c r="R1074" s="269"/>
    </row>
    <row r="1075" spans="1:18" s="285" customFormat="1" ht="39.6" customHeight="1" x14ac:dyDescent="0.25">
      <c r="A1075" s="276"/>
      <c r="B1075" s="276"/>
      <c r="C1075" s="276"/>
      <c r="D1075" s="288"/>
      <c r="E1075" s="290"/>
      <c r="F1075" s="266"/>
      <c r="G1075" s="288"/>
      <c r="H1075" s="291"/>
      <c r="I1075" s="292"/>
      <c r="J1075" s="292"/>
      <c r="K1075" s="291"/>
      <c r="L1075" s="293"/>
      <c r="M1075" s="287"/>
      <c r="O1075" s="286"/>
      <c r="P1075" s="269"/>
      <c r="Q1075" s="269"/>
      <c r="R1075" s="269"/>
    </row>
    <row r="1076" spans="1:18" s="285" customFormat="1" ht="39.6" customHeight="1" x14ac:dyDescent="0.25">
      <c r="A1076" s="276"/>
      <c r="B1076" s="276"/>
      <c r="C1076" s="276"/>
      <c r="D1076" s="288"/>
      <c r="E1076" s="290"/>
      <c r="F1076" s="266"/>
      <c r="G1076" s="288"/>
      <c r="H1076" s="291"/>
      <c r="I1076" s="292"/>
      <c r="J1076" s="292"/>
      <c r="K1076" s="291"/>
      <c r="L1076" s="293"/>
      <c r="M1076" s="287"/>
      <c r="O1076" s="286"/>
      <c r="P1076" s="269"/>
      <c r="Q1076" s="269"/>
      <c r="R1076" s="269"/>
    </row>
    <row r="1077" spans="1:18" s="285" customFormat="1" ht="39.6" customHeight="1" x14ac:dyDescent="0.25">
      <c r="A1077" s="276"/>
      <c r="B1077" s="276"/>
      <c r="C1077" s="276"/>
      <c r="D1077" s="288"/>
      <c r="E1077" s="290"/>
      <c r="F1077" s="266"/>
      <c r="G1077" s="288"/>
      <c r="H1077" s="291"/>
      <c r="I1077" s="292"/>
      <c r="J1077" s="292"/>
      <c r="K1077" s="291"/>
      <c r="L1077" s="293"/>
      <c r="M1077" s="287"/>
      <c r="O1077" s="286"/>
      <c r="P1077" s="269"/>
      <c r="Q1077" s="269"/>
      <c r="R1077" s="269"/>
    </row>
    <row r="1078" spans="1:18" s="285" customFormat="1" ht="39.6" customHeight="1" x14ac:dyDescent="0.25">
      <c r="A1078" s="276"/>
      <c r="B1078" s="276"/>
      <c r="C1078" s="276"/>
      <c r="D1078" s="288"/>
      <c r="E1078" s="290"/>
      <c r="F1078" s="266"/>
      <c r="G1078" s="288"/>
      <c r="H1078" s="291"/>
      <c r="I1078" s="292"/>
      <c r="J1078" s="292"/>
      <c r="K1078" s="291"/>
      <c r="L1078" s="293"/>
      <c r="M1078" s="287"/>
      <c r="O1078" s="286"/>
      <c r="P1078" s="269"/>
      <c r="Q1078" s="269"/>
      <c r="R1078" s="269"/>
    </row>
    <row r="1079" spans="1:18" s="285" customFormat="1" ht="39.6" customHeight="1" x14ac:dyDescent="0.25">
      <c r="A1079" s="276"/>
      <c r="B1079" s="276"/>
      <c r="C1079" s="276"/>
      <c r="D1079" s="288"/>
      <c r="E1079" s="290"/>
      <c r="F1079" s="266"/>
      <c r="G1079" s="288"/>
      <c r="H1079" s="291"/>
      <c r="I1079" s="292"/>
      <c r="J1079" s="292"/>
      <c r="K1079" s="291"/>
      <c r="L1079" s="293"/>
      <c r="M1079" s="287"/>
      <c r="O1079" s="286"/>
      <c r="P1079" s="269"/>
      <c r="Q1079" s="269"/>
      <c r="R1079" s="269"/>
    </row>
    <row r="1080" spans="1:18" s="285" customFormat="1" ht="39.6" customHeight="1" x14ac:dyDescent="0.25">
      <c r="A1080" s="276"/>
      <c r="B1080" s="276"/>
      <c r="C1080" s="276"/>
      <c r="D1080" s="288"/>
      <c r="E1080" s="290"/>
      <c r="F1080" s="266"/>
      <c r="G1080" s="288"/>
      <c r="H1080" s="291"/>
      <c r="I1080" s="292"/>
      <c r="J1080" s="292"/>
      <c r="K1080" s="291"/>
      <c r="L1080" s="293"/>
      <c r="M1080" s="287"/>
      <c r="O1080" s="286"/>
      <c r="P1080" s="269"/>
      <c r="Q1080" s="269"/>
      <c r="R1080" s="269"/>
    </row>
    <row r="1081" spans="1:18" s="285" customFormat="1" ht="39.6" customHeight="1" x14ac:dyDescent="0.25">
      <c r="A1081" s="276"/>
      <c r="B1081" s="276"/>
      <c r="C1081" s="276"/>
      <c r="D1081" s="288"/>
      <c r="E1081" s="290"/>
      <c r="F1081" s="266"/>
      <c r="G1081" s="288"/>
      <c r="H1081" s="291"/>
      <c r="I1081" s="292"/>
      <c r="J1081" s="292"/>
      <c r="K1081" s="291"/>
      <c r="L1081" s="293"/>
      <c r="M1081" s="287"/>
      <c r="O1081" s="286"/>
      <c r="P1081" s="269"/>
      <c r="Q1081" s="269"/>
      <c r="R1081" s="269"/>
    </row>
    <row r="1082" spans="1:18" s="285" customFormat="1" ht="39.6" customHeight="1" x14ac:dyDescent="0.25">
      <c r="A1082" s="276"/>
      <c r="B1082" s="276"/>
      <c r="C1082" s="276"/>
      <c r="D1082" s="288"/>
      <c r="E1082" s="290"/>
      <c r="F1082" s="266"/>
      <c r="G1082" s="288"/>
      <c r="H1082" s="291"/>
      <c r="I1082" s="292"/>
      <c r="J1082" s="292"/>
      <c r="K1082" s="291"/>
      <c r="L1082" s="293"/>
      <c r="M1082" s="287"/>
      <c r="O1082" s="286"/>
      <c r="P1082" s="269"/>
      <c r="Q1082" s="269"/>
      <c r="R1082" s="269"/>
    </row>
    <row r="1083" spans="1:18" s="285" customFormat="1" ht="39.6" customHeight="1" x14ac:dyDescent="0.25">
      <c r="A1083" s="276"/>
      <c r="B1083" s="276"/>
      <c r="C1083" s="276"/>
      <c r="D1083" s="288"/>
      <c r="E1083" s="290"/>
      <c r="F1083" s="266"/>
      <c r="G1083" s="288"/>
      <c r="H1083" s="291"/>
      <c r="I1083" s="292"/>
      <c r="J1083" s="292"/>
      <c r="K1083" s="291"/>
      <c r="L1083" s="293"/>
      <c r="M1083" s="287"/>
      <c r="O1083" s="286"/>
      <c r="P1083" s="269"/>
      <c r="Q1083" s="269"/>
      <c r="R1083" s="269"/>
    </row>
    <row r="1084" spans="1:18" s="285" customFormat="1" ht="39.6" customHeight="1" x14ac:dyDescent="0.25">
      <c r="A1084" s="276"/>
      <c r="B1084" s="276"/>
      <c r="C1084" s="276"/>
      <c r="D1084" s="288"/>
      <c r="E1084" s="290"/>
      <c r="F1084" s="266"/>
      <c r="G1084" s="288"/>
      <c r="H1084" s="291"/>
      <c r="I1084" s="292"/>
      <c r="J1084" s="292"/>
      <c r="K1084" s="291"/>
      <c r="L1084" s="293"/>
      <c r="M1084" s="287"/>
      <c r="O1084" s="286"/>
      <c r="P1084" s="269"/>
      <c r="Q1084" s="269"/>
      <c r="R1084" s="269"/>
    </row>
    <row r="1085" spans="1:18" s="285" customFormat="1" ht="39.6" customHeight="1" x14ac:dyDescent="0.25">
      <c r="A1085" s="276"/>
      <c r="B1085" s="276"/>
      <c r="C1085" s="276"/>
      <c r="D1085" s="288"/>
      <c r="E1085" s="290"/>
      <c r="F1085" s="266"/>
      <c r="G1085" s="288"/>
      <c r="H1085" s="291"/>
      <c r="I1085" s="292"/>
      <c r="J1085" s="292"/>
      <c r="K1085" s="291"/>
      <c r="L1085" s="293"/>
      <c r="M1085" s="287"/>
      <c r="O1085" s="286"/>
      <c r="P1085" s="269"/>
      <c r="Q1085" s="269"/>
      <c r="R1085" s="269"/>
    </row>
    <row r="1086" spans="1:18" s="285" customFormat="1" ht="39.6" customHeight="1" x14ac:dyDescent="0.25">
      <c r="A1086" s="276"/>
      <c r="B1086" s="276"/>
      <c r="C1086" s="276"/>
      <c r="D1086" s="288"/>
      <c r="E1086" s="290"/>
      <c r="F1086" s="266"/>
      <c r="G1086" s="288"/>
      <c r="H1086" s="291"/>
      <c r="I1086" s="292"/>
      <c r="J1086" s="292"/>
      <c r="K1086" s="291"/>
      <c r="L1086" s="293"/>
      <c r="M1086" s="287"/>
      <c r="O1086" s="286"/>
      <c r="P1086" s="269"/>
      <c r="Q1086" s="269"/>
      <c r="R1086" s="269"/>
    </row>
    <row r="1087" spans="1:18" s="285" customFormat="1" ht="39.6" customHeight="1" x14ac:dyDescent="0.25">
      <c r="A1087" s="276"/>
      <c r="B1087" s="276"/>
      <c r="C1087" s="276"/>
      <c r="D1087" s="288"/>
      <c r="E1087" s="290"/>
      <c r="F1087" s="266"/>
      <c r="G1087" s="288"/>
      <c r="H1087" s="291"/>
      <c r="I1087" s="292"/>
      <c r="J1087" s="292"/>
      <c r="K1087" s="291"/>
      <c r="L1087" s="293"/>
      <c r="M1087" s="287"/>
      <c r="O1087" s="286"/>
      <c r="P1087" s="269"/>
      <c r="Q1087" s="269"/>
      <c r="R1087" s="269"/>
    </row>
    <row r="1088" spans="1:18" s="285" customFormat="1" ht="39.6" customHeight="1" x14ac:dyDescent="0.25">
      <c r="A1088" s="276"/>
      <c r="B1088" s="276"/>
      <c r="C1088" s="276"/>
      <c r="D1088" s="288"/>
      <c r="E1088" s="290"/>
      <c r="F1088" s="266"/>
      <c r="G1088" s="288"/>
      <c r="H1088" s="291"/>
      <c r="I1088" s="292"/>
      <c r="J1088" s="292"/>
      <c r="K1088" s="291"/>
      <c r="L1088" s="293"/>
      <c r="M1088" s="287"/>
      <c r="O1088" s="286"/>
      <c r="P1088" s="269"/>
      <c r="Q1088" s="269"/>
      <c r="R1088" s="269"/>
    </row>
    <row r="1089" spans="1:18" s="285" customFormat="1" ht="39.6" customHeight="1" x14ac:dyDescent="0.25">
      <c r="A1089" s="276"/>
      <c r="B1089" s="276"/>
      <c r="C1089" s="276"/>
      <c r="D1089" s="288"/>
      <c r="E1089" s="290"/>
      <c r="F1089" s="266"/>
      <c r="G1089" s="288"/>
      <c r="H1089" s="291"/>
      <c r="I1089" s="292"/>
      <c r="J1089" s="292"/>
      <c r="K1089" s="291"/>
      <c r="L1089" s="293"/>
      <c r="M1089" s="287"/>
      <c r="O1089" s="286"/>
      <c r="P1089" s="269"/>
      <c r="Q1089" s="269"/>
      <c r="R1089" s="269"/>
    </row>
    <row r="1090" spans="1:18" s="285" customFormat="1" ht="39.6" customHeight="1" x14ac:dyDescent="0.25">
      <c r="A1090" s="276"/>
      <c r="B1090" s="276"/>
      <c r="C1090" s="276"/>
      <c r="D1090" s="288"/>
      <c r="E1090" s="290"/>
      <c r="F1090" s="266"/>
      <c r="G1090" s="288"/>
      <c r="H1090" s="291"/>
      <c r="I1090" s="292"/>
      <c r="J1090" s="292"/>
      <c r="K1090" s="291"/>
      <c r="L1090" s="293"/>
      <c r="M1090" s="287"/>
      <c r="O1090" s="286"/>
      <c r="P1090" s="269"/>
      <c r="Q1090" s="269"/>
      <c r="R1090" s="269"/>
    </row>
    <row r="1091" spans="1:18" s="285" customFormat="1" ht="39.6" customHeight="1" x14ac:dyDescent="0.25">
      <c r="A1091" s="276"/>
      <c r="B1091" s="276"/>
      <c r="C1091" s="276"/>
      <c r="D1091" s="288"/>
      <c r="E1091" s="290"/>
      <c r="F1091" s="266"/>
      <c r="G1091" s="288"/>
      <c r="H1091" s="291"/>
      <c r="I1091" s="292"/>
      <c r="J1091" s="292"/>
      <c r="K1091" s="291"/>
      <c r="L1091" s="293"/>
      <c r="M1091" s="287"/>
      <c r="O1091" s="286"/>
      <c r="P1091" s="269"/>
      <c r="Q1091" s="269"/>
      <c r="R1091" s="269"/>
    </row>
    <row r="1092" spans="1:18" s="285" customFormat="1" ht="39.6" customHeight="1" x14ac:dyDescent="0.25">
      <c r="A1092" s="276"/>
      <c r="B1092" s="276"/>
      <c r="C1092" s="276"/>
      <c r="D1092" s="288"/>
      <c r="E1092" s="290"/>
      <c r="F1092" s="266"/>
      <c r="G1092" s="288"/>
      <c r="H1092" s="291"/>
      <c r="I1092" s="292"/>
      <c r="J1092" s="292"/>
      <c r="K1092" s="291"/>
      <c r="L1092" s="293"/>
      <c r="M1092" s="287"/>
      <c r="O1092" s="286"/>
      <c r="P1092" s="269"/>
      <c r="Q1092" s="269"/>
      <c r="R1092" s="269"/>
    </row>
    <row r="1093" spans="1:18" s="285" customFormat="1" ht="39.6" customHeight="1" x14ac:dyDescent="0.25">
      <c r="A1093" s="276"/>
      <c r="B1093" s="276"/>
      <c r="C1093" s="276"/>
      <c r="D1093" s="288"/>
      <c r="E1093" s="290"/>
      <c r="F1093" s="266"/>
      <c r="G1093" s="288"/>
      <c r="H1093" s="291"/>
      <c r="I1093" s="292"/>
      <c r="J1093" s="292"/>
      <c r="K1093" s="291"/>
      <c r="L1093" s="293"/>
      <c r="M1093" s="287"/>
      <c r="O1093" s="286"/>
      <c r="P1093" s="269"/>
      <c r="Q1093" s="269"/>
      <c r="R1093" s="269"/>
    </row>
    <row r="1094" spans="1:18" s="285" customFormat="1" ht="39.6" customHeight="1" x14ac:dyDescent="0.25">
      <c r="A1094" s="276"/>
      <c r="B1094" s="276"/>
      <c r="C1094" s="276"/>
      <c r="D1094" s="288"/>
      <c r="E1094" s="290"/>
      <c r="F1094" s="266"/>
      <c r="G1094" s="288"/>
      <c r="H1094" s="291"/>
      <c r="I1094" s="292"/>
      <c r="J1094" s="292"/>
      <c r="K1094" s="291"/>
      <c r="L1094" s="293"/>
      <c r="M1094" s="287"/>
      <c r="O1094" s="286"/>
      <c r="P1094" s="269"/>
      <c r="Q1094" s="269"/>
      <c r="R1094" s="269"/>
    </row>
    <row r="1095" spans="1:18" s="285" customFormat="1" ht="39.6" customHeight="1" x14ac:dyDescent="0.25">
      <c r="A1095" s="276"/>
      <c r="B1095" s="276"/>
      <c r="C1095" s="276"/>
      <c r="D1095" s="288"/>
      <c r="E1095" s="290"/>
      <c r="F1095" s="266"/>
      <c r="G1095" s="288"/>
      <c r="H1095" s="291"/>
      <c r="I1095" s="292"/>
      <c r="J1095" s="292"/>
      <c r="K1095" s="291"/>
      <c r="L1095" s="293"/>
      <c r="M1095" s="287"/>
      <c r="O1095" s="286"/>
      <c r="P1095" s="269"/>
      <c r="Q1095" s="269"/>
      <c r="R1095" s="269"/>
    </row>
    <row r="1096" spans="1:18" s="285" customFormat="1" ht="39.6" customHeight="1" x14ac:dyDescent="0.25">
      <c r="A1096" s="276"/>
      <c r="B1096" s="276"/>
      <c r="C1096" s="276"/>
      <c r="D1096" s="288"/>
      <c r="E1096" s="290"/>
      <c r="F1096" s="266"/>
      <c r="G1096" s="288"/>
      <c r="H1096" s="291"/>
      <c r="I1096" s="292"/>
      <c r="J1096" s="292"/>
      <c r="K1096" s="291"/>
      <c r="L1096" s="293"/>
      <c r="M1096" s="287"/>
      <c r="O1096" s="286"/>
      <c r="P1096" s="269"/>
      <c r="Q1096" s="269"/>
      <c r="R1096" s="269"/>
    </row>
    <row r="1097" spans="1:18" s="285" customFormat="1" ht="39.6" customHeight="1" x14ac:dyDescent="0.25">
      <c r="A1097" s="276"/>
      <c r="B1097" s="276"/>
      <c r="C1097" s="276"/>
      <c r="D1097" s="288"/>
      <c r="E1097" s="290"/>
      <c r="F1097" s="266"/>
      <c r="G1097" s="288"/>
      <c r="H1097" s="291"/>
      <c r="I1097" s="292"/>
      <c r="J1097" s="292"/>
      <c r="K1097" s="291"/>
      <c r="L1097" s="293"/>
      <c r="M1097" s="287"/>
      <c r="O1097" s="286"/>
      <c r="P1097" s="269"/>
      <c r="Q1097" s="269"/>
      <c r="R1097" s="269"/>
    </row>
    <row r="1098" spans="1:18" s="285" customFormat="1" ht="39.6" customHeight="1" x14ac:dyDescent="0.25">
      <c r="A1098" s="276"/>
      <c r="B1098" s="276"/>
      <c r="C1098" s="276"/>
      <c r="D1098" s="288"/>
      <c r="E1098" s="290"/>
      <c r="F1098" s="266"/>
      <c r="G1098" s="288"/>
      <c r="H1098" s="291"/>
      <c r="I1098" s="292"/>
      <c r="J1098" s="292"/>
      <c r="K1098" s="291"/>
      <c r="L1098" s="293"/>
      <c r="M1098" s="287"/>
      <c r="O1098" s="286"/>
      <c r="P1098" s="269"/>
      <c r="Q1098" s="269"/>
      <c r="R1098" s="269"/>
    </row>
    <row r="1099" spans="1:18" s="285" customFormat="1" ht="39.6" customHeight="1" x14ac:dyDescent="0.25">
      <c r="A1099" s="276"/>
      <c r="B1099" s="276"/>
      <c r="C1099" s="276"/>
      <c r="D1099" s="288"/>
      <c r="E1099" s="290"/>
      <c r="F1099" s="266"/>
      <c r="G1099" s="288"/>
      <c r="H1099" s="291"/>
      <c r="I1099" s="292"/>
      <c r="J1099" s="292"/>
      <c r="K1099" s="291"/>
      <c r="L1099" s="293"/>
      <c r="M1099" s="287"/>
      <c r="O1099" s="286"/>
      <c r="P1099" s="269"/>
      <c r="Q1099" s="269"/>
      <c r="R1099" s="269"/>
    </row>
    <row r="1100" spans="1:18" s="285" customFormat="1" ht="39.6" customHeight="1" x14ac:dyDescent="0.25">
      <c r="A1100" s="276"/>
      <c r="B1100" s="276"/>
      <c r="C1100" s="276"/>
      <c r="D1100" s="288"/>
      <c r="E1100" s="290"/>
      <c r="F1100" s="266"/>
      <c r="G1100" s="288"/>
      <c r="H1100" s="291"/>
      <c r="I1100" s="292"/>
      <c r="J1100" s="292"/>
      <c r="K1100" s="291"/>
      <c r="L1100" s="293"/>
      <c r="M1100" s="287"/>
      <c r="O1100" s="286"/>
      <c r="P1100" s="269"/>
      <c r="Q1100" s="269"/>
      <c r="R1100" s="269"/>
    </row>
    <row r="1101" spans="1:18" s="285" customFormat="1" ht="39.6" customHeight="1" x14ac:dyDescent="0.25">
      <c r="A1101" s="276"/>
      <c r="B1101" s="276"/>
      <c r="C1101" s="276"/>
      <c r="D1101" s="288"/>
      <c r="E1101" s="290"/>
      <c r="F1101" s="266"/>
      <c r="G1101" s="288"/>
      <c r="H1101" s="291"/>
      <c r="I1101" s="292"/>
      <c r="J1101" s="292"/>
      <c r="K1101" s="291"/>
      <c r="L1101" s="293"/>
      <c r="M1101" s="287"/>
      <c r="O1101" s="286"/>
      <c r="P1101" s="269"/>
      <c r="Q1101" s="269"/>
      <c r="R1101" s="269"/>
    </row>
    <row r="1102" spans="1:18" s="285" customFormat="1" ht="39.6" customHeight="1" x14ac:dyDescent="0.25">
      <c r="A1102" s="276"/>
      <c r="B1102" s="276"/>
      <c r="C1102" s="276"/>
      <c r="D1102" s="288"/>
      <c r="E1102" s="290"/>
      <c r="F1102" s="266"/>
      <c r="G1102" s="288"/>
      <c r="H1102" s="291"/>
      <c r="I1102" s="292"/>
      <c r="J1102" s="292"/>
      <c r="K1102" s="291"/>
      <c r="L1102" s="293"/>
      <c r="M1102" s="287"/>
      <c r="O1102" s="286"/>
      <c r="P1102" s="269"/>
      <c r="Q1102" s="269"/>
      <c r="R1102" s="269"/>
    </row>
    <row r="1103" spans="1:18" s="285" customFormat="1" ht="39.6" customHeight="1" x14ac:dyDescent="0.25">
      <c r="A1103" s="276"/>
      <c r="B1103" s="276"/>
      <c r="C1103" s="276"/>
      <c r="D1103" s="288"/>
      <c r="E1103" s="290"/>
      <c r="F1103" s="266"/>
      <c r="G1103" s="288"/>
      <c r="H1103" s="291"/>
      <c r="I1103" s="292"/>
      <c r="J1103" s="292"/>
      <c r="K1103" s="291"/>
      <c r="L1103" s="293"/>
      <c r="M1103" s="287"/>
      <c r="O1103" s="286"/>
      <c r="P1103" s="269"/>
      <c r="Q1103" s="269"/>
      <c r="R1103" s="269"/>
    </row>
    <row r="1104" spans="1:18" s="285" customFormat="1" ht="39.6" customHeight="1" x14ac:dyDescent="0.25">
      <c r="A1104" s="276"/>
      <c r="B1104" s="276"/>
      <c r="C1104" s="276"/>
      <c r="D1104" s="288"/>
      <c r="E1104" s="290"/>
      <c r="F1104" s="266"/>
      <c r="G1104" s="288"/>
      <c r="H1104" s="291"/>
      <c r="I1104" s="292"/>
      <c r="J1104" s="292"/>
      <c r="K1104" s="291"/>
      <c r="L1104" s="293"/>
      <c r="M1104" s="287"/>
      <c r="O1104" s="286"/>
      <c r="P1104" s="269"/>
      <c r="Q1104" s="269"/>
      <c r="R1104" s="269"/>
    </row>
    <row r="1105" spans="1:18" s="285" customFormat="1" ht="39.6" customHeight="1" x14ac:dyDescent="0.25">
      <c r="A1105" s="276"/>
      <c r="B1105" s="276"/>
      <c r="C1105" s="276"/>
      <c r="D1105" s="288"/>
      <c r="E1105" s="290"/>
      <c r="F1105" s="266"/>
      <c r="G1105" s="288"/>
      <c r="H1105" s="291"/>
      <c r="I1105" s="292"/>
      <c r="J1105" s="292"/>
      <c r="K1105" s="291"/>
      <c r="L1105" s="293"/>
      <c r="M1105" s="287"/>
      <c r="O1105" s="286"/>
      <c r="P1105" s="269"/>
      <c r="Q1105" s="269"/>
      <c r="R1105" s="269"/>
    </row>
    <row r="1106" spans="1:18" s="285" customFormat="1" ht="39.6" customHeight="1" x14ac:dyDescent="0.25">
      <c r="A1106" s="276"/>
      <c r="B1106" s="276"/>
      <c r="C1106" s="276"/>
      <c r="D1106" s="288"/>
      <c r="E1106" s="290"/>
      <c r="F1106" s="266"/>
      <c r="G1106" s="288"/>
      <c r="H1106" s="291"/>
      <c r="I1106" s="292"/>
      <c r="J1106" s="292"/>
      <c r="K1106" s="291"/>
      <c r="L1106" s="293"/>
      <c r="M1106" s="287"/>
      <c r="O1106" s="286"/>
      <c r="P1106" s="269"/>
      <c r="Q1106" s="269"/>
      <c r="R1106" s="269"/>
    </row>
    <row r="1107" spans="1:18" s="285" customFormat="1" ht="39.6" customHeight="1" x14ac:dyDescent="0.25">
      <c r="A1107" s="276"/>
      <c r="B1107" s="276"/>
      <c r="C1107" s="276"/>
      <c r="D1107" s="288"/>
      <c r="E1107" s="290"/>
      <c r="F1107" s="266"/>
      <c r="G1107" s="288"/>
      <c r="H1107" s="291"/>
      <c r="I1107" s="292"/>
      <c r="J1107" s="292"/>
      <c r="K1107" s="291"/>
      <c r="L1107" s="293"/>
      <c r="M1107" s="287"/>
      <c r="O1107" s="286"/>
      <c r="P1107" s="269"/>
      <c r="Q1107" s="269"/>
      <c r="R1107" s="269"/>
    </row>
    <row r="1108" spans="1:18" s="285" customFormat="1" ht="39.6" customHeight="1" x14ac:dyDescent="0.25">
      <c r="A1108" s="276"/>
      <c r="B1108" s="276"/>
      <c r="C1108" s="276"/>
      <c r="D1108" s="288"/>
      <c r="E1108" s="290"/>
      <c r="F1108" s="266"/>
      <c r="G1108" s="288"/>
      <c r="H1108" s="291"/>
      <c r="I1108" s="292"/>
      <c r="J1108" s="292"/>
      <c r="K1108" s="291"/>
      <c r="L1108" s="293"/>
      <c r="M1108" s="287"/>
      <c r="O1108" s="286"/>
      <c r="P1108" s="269"/>
      <c r="Q1108" s="269"/>
      <c r="R1108" s="269"/>
    </row>
    <row r="1109" spans="1:18" s="285" customFormat="1" ht="39.6" customHeight="1" x14ac:dyDescent="0.25">
      <c r="A1109" s="276"/>
      <c r="B1109" s="276"/>
      <c r="C1109" s="276"/>
      <c r="D1109" s="288"/>
      <c r="E1109" s="290"/>
      <c r="F1109" s="266"/>
      <c r="G1109" s="288"/>
      <c r="H1109" s="291"/>
      <c r="I1109" s="292"/>
      <c r="J1109" s="292"/>
      <c r="K1109" s="291"/>
      <c r="L1109" s="293"/>
      <c r="M1109" s="287"/>
      <c r="O1109" s="286"/>
      <c r="P1109" s="269"/>
      <c r="Q1109" s="269"/>
      <c r="R1109" s="269"/>
    </row>
    <row r="1110" spans="1:18" s="285" customFormat="1" ht="39.6" customHeight="1" x14ac:dyDescent="0.25">
      <c r="A1110" s="276"/>
      <c r="B1110" s="276"/>
      <c r="C1110" s="276"/>
      <c r="D1110" s="288"/>
      <c r="E1110" s="290"/>
      <c r="F1110" s="266"/>
      <c r="G1110" s="288"/>
      <c r="H1110" s="291"/>
      <c r="I1110" s="292"/>
      <c r="J1110" s="292"/>
      <c r="K1110" s="291"/>
      <c r="L1110" s="293"/>
      <c r="M1110" s="287"/>
      <c r="O1110" s="286"/>
      <c r="P1110" s="269"/>
      <c r="Q1110" s="269"/>
      <c r="R1110" s="269"/>
    </row>
    <row r="1111" spans="1:18" s="285" customFormat="1" ht="39.6" customHeight="1" x14ac:dyDescent="0.25">
      <c r="A1111" s="276"/>
      <c r="B1111" s="276"/>
      <c r="C1111" s="276"/>
      <c r="D1111" s="288"/>
      <c r="E1111" s="290"/>
      <c r="F1111" s="266"/>
      <c r="G1111" s="288"/>
      <c r="H1111" s="291"/>
      <c r="I1111" s="292"/>
      <c r="J1111" s="292"/>
      <c r="K1111" s="291"/>
      <c r="L1111" s="293"/>
      <c r="M1111" s="287"/>
      <c r="O1111" s="286"/>
      <c r="P1111" s="269"/>
      <c r="Q1111" s="269"/>
      <c r="R1111" s="269"/>
    </row>
    <row r="1112" spans="1:18" s="285" customFormat="1" ht="39.6" customHeight="1" x14ac:dyDescent="0.25">
      <c r="A1112" s="276"/>
      <c r="B1112" s="276"/>
      <c r="C1112" s="276"/>
      <c r="D1112" s="288"/>
      <c r="E1112" s="290"/>
      <c r="F1112" s="266"/>
      <c r="G1112" s="288"/>
      <c r="H1112" s="291"/>
      <c r="I1112" s="292"/>
      <c r="J1112" s="292"/>
      <c r="K1112" s="291"/>
      <c r="L1112" s="293"/>
      <c r="M1112" s="287"/>
      <c r="O1112" s="286"/>
      <c r="P1112" s="269"/>
      <c r="Q1112" s="269"/>
      <c r="R1112" s="269"/>
    </row>
    <row r="1113" spans="1:18" s="285" customFormat="1" ht="39.6" customHeight="1" x14ac:dyDescent="0.25">
      <c r="A1113" s="276"/>
      <c r="B1113" s="276"/>
      <c r="C1113" s="276"/>
      <c r="D1113" s="288"/>
      <c r="E1113" s="290"/>
      <c r="F1113" s="266"/>
      <c r="G1113" s="288"/>
      <c r="H1113" s="291"/>
      <c r="I1113" s="292"/>
      <c r="J1113" s="292"/>
      <c r="K1113" s="291"/>
      <c r="L1113" s="293"/>
      <c r="M1113" s="287"/>
      <c r="O1113" s="286"/>
      <c r="P1113" s="269"/>
      <c r="Q1113" s="269"/>
      <c r="R1113" s="269"/>
    </row>
    <row r="1114" spans="1:18" s="285" customFormat="1" ht="39.6" customHeight="1" x14ac:dyDescent="0.25">
      <c r="A1114" s="276"/>
      <c r="B1114" s="276"/>
      <c r="C1114" s="276"/>
      <c r="D1114" s="288"/>
      <c r="E1114" s="290"/>
      <c r="F1114" s="266"/>
      <c r="G1114" s="288"/>
      <c r="H1114" s="291"/>
      <c r="I1114" s="292"/>
      <c r="J1114" s="292"/>
      <c r="K1114" s="291"/>
      <c r="L1114" s="293"/>
      <c r="M1114" s="287"/>
      <c r="O1114" s="286"/>
      <c r="P1114" s="269"/>
      <c r="Q1114" s="269"/>
      <c r="R1114" s="269"/>
    </row>
    <row r="1115" spans="1:18" s="285" customFormat="1" ht="39.6" customHeight="1" x14ac:dyDescent="0.25">
      <c r="A1115" s="276"/>
      <c r="B1115" s="276"/>
      <c r="C1115" s="276"/>
      <c r="D1115" s="288"/>
      <c r="E1115" s="290"/>
      <c r="F1115" s="266"/>
      <c r="G1115" s="288"/>
      <c r="H1115" s="291"/>
      <c r="I1115" s="292"/>
      <c r="J1115" s="292"/>
      <c r="K1115" s="291"/>
      <c r="L1115" s="293"/>
      <c r="M1115" s="287"/>
      <c r="O1115" s="286"/>
      <c r="P1115" s="269"/>
      <c r="Q1115" s="269"/>
      <c r="R1115" s="269"/>
    </row>
    <row r="1116" spans="1:18" s="285" customFormat="1" ht="39.6" customHeight="1" x14ac:dyDescent="0.25">
      <c r="A1116" s="276"/>
      <c r="B1116" s="276"/>
      <c r="C1116" s="276"/>
      <c r="D1116" s="288"/>
      <c r="E1116" s="290"/>
      <c r="F1116" s="266"/>
      <c r="G1116" s="288"/>
      <c r="H1116" s="291"/>
      <c r="I1116" s="292"/>
      <c r="J1116" s="292"/>
      <c r="K1116" s="291"/>
      <c r="L1116" s="293"/>
      <c r="M1116" s="287"/>
      <c r="O1116" s="286"/>
      <c r="P1116" s="269"/>
      <c r="Q1116" s="269"/>
      <c r="R1116" s="269"/>
    </row>
    <row r="1117" spans="1:18" s="285" customFormat="1" ht="39.6" customHeight="1" x14ac:dyDescent="0.25">
      <c r="A1117" s="276"/>
      <c r="B1117" s="276"/>
      <c r="C1117" s="276"/>
      <c r="D1117" s="288"/>
      <c r="E1117" s="290"/>
      <c r="F1117" s="266"/>
      <c r="G1117" s="288"/>
      <c r="H1117" s="291"/>
      <c r="I1117" s="292"/>
      <c r="J1117" s="292"/>
      <c r="K1117" s="291"/>
      <c r="L1117" s="293"/>
      <c r="M1117" s="287"/>
      <c r="O1117" s="286"/>
      <c r="P1117" s="269"/>
      <c r="Q1117" s="269"/>
      <c r="R1117" s="269"/>
    </row>
    <row r="1118" spans="1:18" s="285" customFormat="1" ht="39.6" customHeight="1" x14ac:dyDescent="0.25">
      <c r="A1118" s="276"/>
      <c r="B1118" s="276"/>
      <c r="C1118" s="276"/>
      <c r="D1118" s="288"/>
      <c r="E1118" s="290"/>
      <c r="F1118" s="266"/>
      <c r="G1118" s="288"/>
      <c r="H1118" s="291"/>
      <c r="I1118" s="292"/>
      <c r="J1118" s="292"/>
      <c r="K1118" s="291"/>
      <c r="L1118" s="293"/>
      <c r="M1118" s="287"/>
      <c r="O1118" s="286"/>
      <c r="P1118" s="269"/>
      <c r="Q1118" s="269"/>
      <c r="R1118" s="269"/>
    </row>
    <row r="1119" spans="1:18" s="285" customFormat="1" ht="39.6" customHeight="1" x14ac:dyDescent="0.25">
      <c r="A1119" s="276"/>
      <c r="B1119" s="276"/>
      <c r="C1119" s="276"/>
      <c r="D1119" s="288"/>
      <c r="E1119" s="290"/>
      <c r="F1119" s="266"/>
      <c r="G1119" s="288"/>
      <c r="H1119" s="291"/>
      <c r="I1119" s="292"/>
      <c r="J1119" s="292"/>
      <c r="K1119" s="291"/>
      <c r="L1119" s="293"/>
      <c r="M1119" s="287"/>
      <c r="O1119" s="286"/>
      <c r="P1119" s="269"/>
      <c r="Q1119" s="269"/>
      <c r="R1119" s="269"/>
    </row>
    <row r="1120" spans="1:18" s="285" customFormat="1" ht="39.6" customHeight="1" x14ac:dyDescent="0.25">
      <c r="A1120" s="276"/>
      <c r="B1120" s="276"/>
      <c r="C1120" s="276"/>
      <c r="D1120" s="288"/>
      <c r="E1120" s="290"/>
      <c r="F1120" s="266"/>
      <c r="G1120" s="288"/>
      <c r="H1120" s="291"/>
      <c r="I1120" s="292"/>
      <c r="J1120" s="292"/>
      <c r="K1120" s="291"/>
      <c r="L1120" s="293"/>
      <c r="M1120" s="287"/>
      <c r="O1120" s="286"/>
      <c r="P1120" s="269"/>
      <c r="Q1120" s="269"/>
      <c r="R1120" s="269"/>
    </row>
    <row r="1121" spans="1:18" s="285" customFormat="1" ht="39.6" customHeight="1" x14ac:dyDescent="0.25">
      <c r="A1121" s="276"/>
      <c r="B1121" s="276"/>
      <c r="C1121" s="276"/>
      <c r="D1121" s="288"/>
      <c r="E1121" s="290"/>
      <c r="F1121" s="266"/>
      <c r="G1121" s="288"/>
      <c r="H1121" s="291"/>
      <c r="I1121" s="292"/>
      <c r="J1121" s="292"/>
      <c r="K1121" s="291"/>
      <c r="L1121" s="293"/>
      <c r="M1121" s="287"/>
      <c r="O1121" s="286"/>
      <c r="P1121" s="269"/>
      <c r="Q1121" s="269"/>
      <c r="R1121" s="269"/>
    </row>
    <row r="1122" spans="1:18" s="285" customFormat="1" ht="39.6" customHeight="1" x14ac:dyDescent="0.25">
      <c r="A1122" s="276"/>
      <c r="B1122" s="276"/>
      <c r="C1122" s="276"/>
      <c r="D1122" s="288"/>
      <c r="E1122" s="290"/>
      <c r="F1122" s="266"/>
      <c r="G1122" s="288"/>
      <c r="H1122" s="291"/>
      <c r="I1122" s="292"/>
      <c r="J1122" s="292"/>
      <c r="K1122" s="291"/>
      <c r="L1122" s="293"/>
      <c r="M1122" s="287"/>
      <c r="O1122" s="286"/>
      <c r="P1122" s="269"/>
      <c r="Q1122" s="269"/>
      <c r="R1122" s="269"/>
    </row>
    <row r="1123" spans="1:18" s="285" customFormat="1" ht="39.6" customHeight="1" x14ac:dyDescent="0.25">
      <c r="A1123" s="276"/>
      <c r="B1123" s="276"/>
      <c r="C1123" s="276"/>
      <c r="D1123" s="288"/>
      <c r="E1123" s="290"/>
      <c r="F1123" s="266"/>
      <c r="G1123" s="288"/>
      <c r="H1123" s="291"/>
      <c r="I1123" s="292"/>
      <c r="J1123" s="292"/>
      <c r="K1123" s="291"/>
      <c r="L1123" s="293"/>
      <c r="M1123" s="287"/>
      <c r="O1123" s="286"/>
      <c r="P1123" s="269"/>
      <c r="Q1123" s="269"/>
      <c r="R1123" s="269"/>
    </row>
    <row r="1124" spans="1:18" s="285" customFormat="1" ht="39.6" customHeight="1" x14ac:dyDescent="0.25">
      <c r="A1124" s="276"/>
      <c r="B1124" s="276"/>
      <c r="C1124" s="276"/>
      <c r="D1124" s="288"/>
      <c r="E1124" s="290"/>
      <c r="F1124" s="266"/>
      <c r="G1124" s="288"/>
      <c r="H1124" s="291"/>
      <c r="I1124" s="292"/>
      <c r="J1124" s="292"/>
      <c r="K1124" s="291"/>
      <c r="L1124" s="293"/>
      <c r="M1124" s="287"/>
      <c r="O1124" s="286"/>
      <c r="P1124" s="269"/>
      <c r="Q1124" s="269"/>
      <c r="R1124" s="269"/>
    </row>
    <row r="1125" spans="1:18" s="285" customFormat="1" ht="39.6" customHeight="1" x14ac:dyDescent="0.25">
      <c r="A1125" s="276"/>
      <c r="B1125" s="276"/>
      <c r="C1125" s="276"/>
      <c r="D1125" s="288"/>
      <c r="E1125" s="290"/>
      <c r="F1125" s="266"/>
      <c r="G1125" s="288"/>
      <c r="H1125" s="291"/>
      <c r="I1125" s="292"/>
      <c r="J1125" s="292"/>
      <c r="K1125" s="291"/>
      <c r="L1125" s="293"/>
      <c r="M1125" s="287"/>
      <c r="O1125" s="286"/>
      <c r="P1125" s="269"/>
      <c r="Q1125" s="269"/>
      <c r="R1125" s="269"/>
    </row>
    <row r="1126" spans="1:18" s="285" customFormat="1" ht="39.6" customHeight="1" x14ac:dyDescent="0.25">
      <c r="A1126" s="276"/>
      <c r="B1126" s="276"/>
      <c r="C1126" s="276"/>
      <c r="D1126" s="288"/>
      <c r="E1126" s="290"/>
      <c r="F1126" s="266"/>
      <c r="G1126" s="288"/>
      <c r="H1126" s="291"/>
      <c r="I1126" s="292"/>
      <c r="J1126" s="292"/>
      <c r="K1126" s="291"/>
      <c r="L1126" s="293"/>
      <c r="M1126" s="287"/>
      <c r="O1126" s="286"/>
      <c r="P1126" s="269"/>
      <c r="Q1126" s="269"/>
      <c r="R1126" s="269"/>
    </row>
    <row r="1127" spans="1:18" s="285" customFormat="1" ht="39.6" customHeight="1" x14ac:dyDescent="0.25">
      <c r="A1127" s="276"/>
      <c r="B1127" s="276"/>
      <c r="C1127" s="276"/>
      <c r="D1127" s="288"/>
      <c r="E1127" s="290"/>
      <c r="F1127" s="266"/>
      <c r="G1127" s="288"/>
      <c r="H1127" s="291"/>
      <c r="I1127" s="292"/>
      <c r="J1127" s="292"/>
      <c r="K1127" s="291"/>
      <c r="L1127" s="293"/>
      <c r="M1127" s="287"/>
      <c r="O1127" s="286"/>
      <c r="P1127" s="269"/>
      <c r="Q1127" s="269"/>
      <c r="R1127" s="269"/>
    </row>
    <row r="1128" spans="1:18" s="285" customFormat="1" ht="39.6" customHeight="1" x14ac:dyDescent="0.25">
      <c r="A1128" s="276"/>
      <c r="B1128" s="276"/>
      <c r="C1128" s="276"/>
      <c r="D1128" s="288"/>
      <c r="E1128" s="290"/>
      <c r="F1128" s="266"/>
      <c r="G1128" s="288"/>
      <c r="H1128" s="291"/>
      <c r="I1128" s="292"/>
      <c r="J1128" s="292"/>
      <c r="K1128" s="291"/>
      <c r="L1128" s="293"/>
      <c r="M1128" s="287"/>
      <c r="O1128" s="286"/>
      <c r="P1128" s="269"/>
      <c r="Q1128" s="269"/>
      <c r="R1128" s="269"/>
    </row>
    <row r="1129" spans="1:18" s="285" customFormat="1" ht="39.6" customHeight="1" x14ac:dyDescent="0.25">
      <c r="A1129" s="276"/>
      <c r="B1129" s="276"/>
      <c r="C1129" s="276"/>
      <c r="D1129" s="288"/>
      <c r="E1129" s="290"/>
      <c r="F1129" s="266"/>
      <c r="G1129" s="288"/>
      <c r="H1129" s="291"/>
      <c r="I1129" s="292"/>
      <c r="J1129" s="292"/>
      <c r="K1129" s="291"/>
      <c r="L1129" s="293"/>
      <c r="M1129" s="287"/>
      <c r="O1129" s="286"/>
      <c r="P1129" s="269"/>
      <c r="Q1129" s="269"/>
      <c r="R1129" s="269"/>
    </row>
    <row r="1130" spans="1:18" s="285" customFormat="1" ht="39.6" customHeight="1" x14ac:dyDescent="0.25">
      <c r="A1130" s="276"/>
      <c r="B1130" s="276"/>
      <c r="C1130" s="276"/>
      <c r="D1130" s="288"/>
      <c r="E1130" s="290"/>
      <c r="F1130" s="266"/>
      <c r="G1130" s="288"/>
      <c r="H1130" s="291"/>
      <c r="I1130" s="292"/>
      <c r="J1130" s="292"/>
      <c r="K1130" s="291"/>
      <c r="L1130" s="293"/>
      <c r="M1130" s="287"/>
      <c r="O1130" s="286"/>
      <c r="P1130" s="269"/>
      <c r="Q1130" s="269"/>
      <c r="R1130" s="269"/>
    </row>
    <row r="1131" spans="1:18" s="285" customFormat="1" ht="39.6" customHeight="1" x14ac:dyDescent="0.25">
      <c r="A1131" s="276"/>
      <c r="B1131" s="276"/>
      <c r="C1131" s="276"/>
      <c r="D1131" s="288"/>
      <c r="E1131" s="290"/>
      <c r="F1131" s="266"/>
      <c r="G1131" s="288"/>
      <c r="H1131" s="291"/>
      <c r="I1131" s="292"/>
      <c r="J1131" s="292"/>
      <c r="K1131" s="291"/>
      <c r="L1131" s="293"/>
      <c r="M1131" s="287"/>
      <c r="O1131" s="286"/>
      <c r="P1131" s="269"/>
      <c r="Q1131" s="269"/>
      <c r="R1131" s="269"/>
    </row>
    <row r="1132" spans="1:18" s="285" customFormat="1" ht="39.6" customHeight="1" x14ac:dyDescent="0.25">
      <c r="A1132" s="276"/>
      <c r="B1132" s="276"/>
      <c r="C1132" s="276"/>
      <c r="D1132" s="288"/>
      <c r="E1132" s="290"/>
      <c r="F1132" s="266"/>
      <c r="G1132" s="288"/>
      <c r="H1132" s="291"/>
      <c r="I1132" s="292"/>
      <c r="J1132" s="292"/>
      <c r="K1132" s="291"/>
      <c r="L1132" s="293"/>
      <c r="M1132" s="287"/>
      <c r="O1132" s="286"/>
      <c r="P1132" s="269"/>
      <c r="Q1132" s="269"/>
      <c r="R1132" s="269"/>
    </row>
    <row r="1133" spans="1:18" s="285" customFormat="1" ht="39.6" customHeight="1" x14ac:dyDescent="0.25">
      <c r="A1133" s="276"/>
      <c r="B1133" s="276"/>
      <c r="C1133" s="276"/>
      <c r="D1133" s="288"/>
      <c r="E1133" s="290"/>
      <c r="F1133" s="266"/>
      <c r="G1133" s="288"/>
      <c r="H1133" s="291"/>
      <c r="I1133" s="292"/>
      <c r="J1133" s="292"/>
      <c r="K1133" s="291"/>
      <c r="L1133" s="293"/>
      <c r="M1133" s="287"/>
      <c r="O1133" s="286"/>
      <c r="P1133" s="269"/>
      <c r="Q1133" s="269"/>
      <c r="R1133" s="269"/>
    </row>
    <row r="1134" spans="1:18" s="285" customFormat="1" ht="39.6" customHeight="1" x14ac:dyDescent="0.25">
      <c r="A1134" s="276"/>
      <c r="B1134" s="276"/>
      <c r="C1134" s="276"/>
      <c r="D1134" s="288"/>
      <c r="E1134" s="290"/>
      <c r="F1134" s="266"/>
      <c r="G1134" s="288"/>
      <c r="H1134" s="291"/>
      <c r="I1134" s="292"/>
      <c r="J1134" s="292"/>
      <c r="K1134" s="291"/>
      <c r="L1134" s="293"/>
      <c r="M1134" s="287"/>
      <c r="O1134" s="286"/>
      <c r="P1134" s="269"/>
      <c r="Q1134" s="269"/>
      <c r="R1134" s="269"/>
    </row>
    <row r="1135" spans="1:18" s="285" customFormat="1" ht="39.6" customHeight="1" x14ac:dyDescent="0.25">
      <c r="A1135" s="276"/>
      <c r="B1135" s="276"/>
      <c r="C1135" s="276"/>
      <c r="D1135" s="288"/>
      <c r="E1135" s="290"/>
      <c r="F1135" s="266"/>
      <c r="G1135" s="288"/>
      <c r="H1135" s="291"/>
      <c r="I1135" s="292"/>
      <c r="J1135" s="292"/>
      <c r="K1135" s="291"/>
      <c r="L1135" s="293"/>
      <c r="M1135" s="287"/>
      <c r="O1135" s="286"/>
      <c r="P1135" s="269"/>
      <c r="Q1135" s="269"/>
      <c r="R1135" s="269"/>
    </row>
    <row r="1136" spans="1:18" s="285" customFormat="1" ht="39.6" customHeight="1" x14ac:dyDescent="0.25">
      <c r="A1136" s="276"/>
      <c r="B1136" s="276"/>
      <c r="C1136" s="276"/>
      <c r="D1136" s="288"/>
      <c r="E1136" s="290"/>
      <c r="F1136" s="266"/>
      <c r="G1136" s="288"/>
      <c r="H1136" s="291"/>
      <c r="I1136" s="292"/>
      <c r="J1136" s="292"/>
      <c r="K1136" s="291"/>
      <c r="L1136" s="293"/>
      <c r="M1136" s="287"/>
      <c r="O1136" s="286"/>
      <c r="P1136" s="269"/>
      <c r="Q1136" s="269"/>
      <c r="R1136" s="269"/>
    </row>
    <row r="1137" spans="1:18" s="285" customFormat="1" ht="39.6" customHeight="1" x14ac:dyDescent="0.25">
      <c r="A1137" s="276"/>
      <c r="B1137" s="276"/>
      <c r="C1137" s="276"/>
      <c r="D1137" s="288"/>
      <c r="E1137" s="290"/>
      <c r="F1137" s="266"/>
      <c r="G1137" s="288"/>
      <c r="H1137" s="291"/>
      <c r="I1137" s="292"/>
      <c r="J1137" s="292"/>
      <c r="K1137" s="291"/>
      <c r="L1137" s="293"/>
      <c r="M1137" s="287"/>
      <c r="O1137" s="286"/>
      <c r="P1137" s="269"/>
      <c r="Q1137" s="269"/>
      <c r="R1137" s="269"/>
    </row>
    <row r="1138" spans="1:18" s="285" customFormat="1" ht="39.6" customHeight="1" x14ac:dyDescent="0.25">
      <c r="A1138" s="276"/>
      <c r="B1138" s="276"/>
      <c r="C1138" s="276"/>
      <c r="D1138" s="288"/>
      <c r="E1138" s="290"/>
      <c r="F1138" s="266"/>
      <c r="G1138" s="288"/>
      <c r="H1138" s="291"/>
      <c r="I1138" s="292"/>
      <c r="J1138" s="292"/>
      <c r="K1138" s="291"/>
      <c r="L1138" s="293"/>
      <c r="M1138" s="287"/>
      <c r="O1138" s="286"/>
      <c r="P1138" s="269"/>
      <c r="Q1138" s="269"/>
      <c r="R1138" s="269"/>
    </row>
    <row r="1139" spans="1:18" s="285" customFormat="1" ht="39.6" customHeight="1" x14ac:dyDescent="0.25">
      <c r="A1139" s="276"/>
      <c r="B1139" s="276"/>
      <c r="C1139" s="276"/>
      <c r="D1139" s="288"/>
      <c r="E1139" s="290"/>
      <c r="F1139" s="266"/>
      <c r="G1139" s="288"/>
      <c r="H1139" s="291"/>
      <c r="I1139" s="292"/>
      <c r="J1139" s="292"/>
      <c r="K1139" s="291"/>
      <c r="L1139" s="293"/>
      <c r="M1139" s="287"/>
      <c r="O1139" s="286"/>
      <c r="P1139" s="269"/>
      <c r="Q1139" s="269"/>
      <c r="R1139" s="269"/>
    </row>
    <row r="1140" spans="1:18" s="285" customFormat="1" ht="39.6" customHeight="1" x14ac:dyDescent="0.25">
      <c r="A1140" s="276"/>
      <c r="B1140" s="276"/>
      <c r="C1140" s="276"/>
      <c r="D1140" s="288"/>
      <c r="E1140" s="290"/>
      <c r="F1140" s="266"/>
      <c r="G1140" s="288"/>
      <c r="H1140" s="291"/>
      <c r="I1140" s="292"/>
      <c r="J1140" s="292"/>
      <c r="K1140" s="291"/>
      <c r="L1140" s="293"/>
      <c r="M1140" s="287"/>
      <c r="O1140" s="286"/>
      <c r="P1140" s="269"/>
      <c r="Q1140" s="269"/>
      <c r="R1140" s="269"/>
    </row>
    <row r="1141" spans="1:18" s="285" customFormat="1" ht="39.6" customHeight="1" x14ac:dyDescent="0.25">
      <c r="A1141" s="276"/>
      <c r="B1141" s="276"/>
      <c r="C1141" s="276"/>
      <c r="D1141" s="288"/>
      <c r="E1141" s="290"/>
      <c r="F1141" s="266"/>
      <c r="G1141" s="288"/>
      <c r="H1141" s="291"/>
      <c r="I1141" s="292"/>
      <c r="J1141" s="292"/>
      <c r="K1141" s="291"/>
      <c r="L1141" s="293"/>
      <c r="M1141" s="287"/>
      <c r="O1141" s="286"/>
      <c r="P1141" s="269"/>
      <c r="Q1141" s="269"/>
      <c r="R1141" s="269"/>
    </row>
    <row r="1142" spans="1:18" s="285" customFormat="1" ht="39.6" customHeight="1" x14ac:dyDescent="0.25">
      <c r="A1142" s="276"/>
      <c r="B1142" s="276"/>
      <c r="C1142" s="276"/>
      <c r="D1142" s="288"/>
      <c r="E1142" s="290"/>
      <c r="F1142" s="266"/>
      <c r="G1142" s="288"/>
      <c r="H1142" s="291"/>
      <c r="I1142" s="292"/>
      <c r="J1142" s="292"/>
      <c r="K1142" s="291"/>
      <c r="L1142" s="293"/>
      <c r="M1142" s="287"/>
      <c r="O1142" s="286"/>
      <c r="P1142" s="269"/>
      <c r="Q1142" s="269"/>
      <c r="R1142" s="269"/>
    </row>
    <row r="1143" spans="1:18" s="285" customFormat="1" ht="39.6" customHeight="1" x14ac:dyDescent="0.25">
      <c r="A1143" s="276"/>
      <c r="B1143" s="276"/>
      <c r="C1143" s="276"/>
      <c r="D1143" s="288"/>
      <c r="E1143" s="290"/>
      <c r="F1143" s="266"/>
      <c r="G1143" s="288"/>
      <c r="H1143" s="291"/>
      <c r="I1143" s="292"/>
      <c r="J1143" s="292"/>
      <c r="K1143" s="291"/>
      <c r="L1143" s="293"/>
      <c r="M1143" s="287"/>
      <c r="O1143" s="286"/>
      <c r="P1143" s="269"/>
      <c r="Q1143" s="269"/>
      <c r="R1143" s="269"/>
    </row>
    <row r="1144" spans="1:18" s="285" customFormat="1" ht="39.6" customHeight="1" x14ac:dyDescent="0.25">
      <c r="A1144" s="276"/>
      <c r="B1144" s="276"/>
      <c r="C1144" s="276"/>
      <c r="D1144" s="288"/>
      <c r="E1144" s="290"/>
      <c r="F1144" s="266"/>
      <c r="G1144" s="288"/>
      <c r="H1144" s="291"/>
      <c r="I1144" s="292"/>
      <c r="J1144" s="292"/>
      <c r="K1144" s="291"/>
      <c r="L1144" s="293"/>
      <c r="M1144" s="287"/>
      <c r="O1144" s="286"/>
      <c r="P1144" s="269"/>
      <c r="Q1144" s="269"/>
      <c r="R1144" s="269"/>
    </row>
    <row r="1145" spans="1:18" s="285" customFormat="1" ht="39.6" customHeight="1" x14ac:dyDescent="0.25">
      <c r="A1145" s="276"/>
      <c r="B1145" s="276"/>
      <c r="C1145" s="276"/>
      <c r="D1145" s="288"/>
      <c r="E1145" s="290"/>
      <c r="F1145" s="266"/>
      <c r="G1145" s="288"/>
      <c r="H1145" s="291"/>
      <c r="I1145" s="292"/>
      <c r="J1145" s="292"/>
      <c r="K1145" s="291"/>
      <c r="L1145" s="293"/>
      <c r="M1145" s="287"/>
      <c r="O1145" s="286"/>
      <c r="P1145" s="269"/>
      <c r="Q1145" s="269"/>
      <c r="R1145" s="269"/>
    </row>
    <row r="1146" spans="1:18" s="285" customFormat="1" ht="39.6" customHeight="1" x14ac:dyDescent="0.25">
      <c r="A1146" s="276"/>
      <c r="B1146" s="276"/>
      <c r="C1146" s="276"/>
      <c r="D1146" s="288"/>
      <c r="E1146" s="290"/>
      <c r="F1146" s="266"/>
      <c r="G1146" s="288"/>
      <c r="H1146" s="291"/>
      <c r="I1146" s="292"/>
      <c r="J1146" s="292"/>
      <c r="K1146" s="291"/>
      <c r="L1146" s="293"/>
      <c r="M1146" s="287"/>
      <c r="O1146" s="286"/>
      <c r="P1146" s="269"/>
      <c r="Q1146" s="269"/>
      <c r="R1146" s="269"/>
    </row>
    <row r="1147" spans="1:18" s="285" customFormat="1" ht="39.6" customHeight="1" x14ac:dyDescent="0.25">
      <c r="A1147" s="276"/>
      <c r="B1147" s="276"/>
      <c r="C1147" s="276"/>
      <c r="D1147" s="288"/>
      <c r="E1147" s="290"/>
      <c r="F1147" s="266"/>
      <c r="G1147" s="288"/>
      <c r="H1147" s="291"/>
      <c r="I1147" s="292"/>
      <c r="J1147" s="292"/>
      <c r="K1147" s="291"/>
      <c r="L1147" s="293"/>
      <c r="M1147" s="287"/>
      <c r="O1147" s="286"/>
      <c r="P1147" s="269"/>
      <c r="Q1147" s="269"/>
      <c r="R1147" s="269"/>
    </row>
    <row r="1148" spans="1:18" s="285" customFormat="1" ht="39.6" customHeight="1" x14ac:dyDescent="0.25">
      <c r="A1148" s="276"/>
      <c r="B1148" s="276"/>
      <c r="C1148" s="276"/>
      <c r="D1148" s="288"/>
      <c r="E1148" s="290"/>
      <c r="F1148" s="266"/>
      <c r="G1148" s="288"/>
      <c r="H1148" s="291"/>
      <c r="I1148" s="292"/>
      <c r="J1148" s="292"/>
      <c r="K1148" s="291"/>
      <c r="L1148" s="293"/>
      <c r="M1148" s="287"/>
      <c r="O1148" s="286"/>
      <c r="P1148" s="269"/>
      <c r="Q1148" s="269"/>
      <c r="R1148" s="269"/>
    </row>
    <row r="1149" spans="1:18" s="285" customFormat="1" ht="39.6" customHeight="1" x14ac:dyDescent="0.25">
      <c r="A1149" s="276"/>
      <c r="B1149" s="276"/>
      <c r="C1149" s="276"/>
      <c r="D1149" s="288"/>
      <c r="E1149" s="290"/>
      <c r="F1149" s="266"/>
      <c r="G1149" s="288"/>
      <c r="H1149" s="291"/>
      <c r="I1149" s="292"/>
      <c r="J1149" s="292"/>
      <c r="K1149" s="291"/>
      <c r="L1149" s="293"/>
      <c r="M1149" s="287"/>
      <c r="O1149" s="286"/>
      <c r="P1149" s="269"/>
      <c r="Q1149" s="269"/>
      <c r="R1149" s="269"/>
    </row>
    <row r="1150" spans="1:18" s="285" customFormat="1" ht="39.6" customHeight="1" x14ac:dyDescent="0.25">
      <c r="A1150" s="276"/>
      <c r="B1150" s="276"/>
      <c r="C1150" s="276"/>
      <c r="D1150" s="288"/>
      <c r="E1150" s="290"/>
      <c r="F1150" s="266"/>
      <c r="G1150" s="288"/>
      <c r="H1150" s="291"/>
      <c r="I1150" s="292"/>
      <c r="J1150" s="292"/>
      <c r="K1150" s="291"/>
      <c r="L1150" s="293"/>
      <c r="M1150" s="287"/>
      <c r="O1150" s="286"/>
      <c r="P1150" s="269"/>
      <c r="Q1150" s="269"/>
      <c r="R1150" s="269"/>
    </row>
    <row r="1151" spans="1:18" s="285" customFormat="1" ht="39.6" customHeight="1" x14ac:dyDescent="0.25">
      <c r="A1151" s="276"/>
      <c r="B1151" s="276"/>
      <c r="C1151" s="276"/>
      <c r="D1151" s="288"/>
      <c r="E1151" s="290"/>
      <c r="F1151" s="266"/>
      <c r="G1151" s="288"/>
      <c r="H1151" s="291"/>
      <c r="I1151" s="292"/>
      <c r="J1151" s="292"/>
      <c r="K1151" s="291"/>
      <c r="L1151" s="293"/>
      <c r="M1151" s="287"/>
      <c r="O1151" s="286"/>
      <c r="P1151" s="269"/>
      <c r="Q1151" s="269"/>
      <c r="R1151" s="269"/>
    </row>
    <row r="1152" spans="1:18" s="285" customFormat="1" ht="39.6" customHeight="1" x14ac:dyDescent="0.25">
      <c r="A1152" s="276"/>
      <c r="B1152" s="276"/>
      <c r="C1152" s="276"/>
      <c r="D1152" s="288"/>
      <c r="E1152" s="290"/>
      <c r="F1152" s="266"/>
      <c r="G1152" s="288"/>
      <c r="H1152" s="291"/>
      <c r="I1152" s="292"/>
      <c r="J1152" s="292"/>
      <c r="K1152" s="291"/>
      <c r="L1152" s="293"/>
      <c r="M1152" s="287"/>
      <c r="O1152" s="286"/>
      <c r="P1152" s="269"/>
      <c r="Q1152" s="269"/>
      <c r="R1152" s="269"/>
    </row>
    <row r="1153" spans="1:18" s="285" customFormat="1" ht="39.6" customHeight="1" x14ac:dyDescent="0.25">
      <c r="A1153" s="276"/>
      <c r="B1153" s="276"/>
      <c r="C1153" s="276"/>
      <c r="D1153" s="288"/>
      <c r="E1153" s="290"/>
      <c r="F1153" s="266"/>
      <c r="G1153" s="288"/>
      <c r="H1153" s="291"/>
      <c r="I1153" s="292"/>
      <c r="J1153" s="292"/>
      <c r="K1153" s="291"/>
      <c r="L1153" s="293"/>
      <c r="M1153" s="287"/>
      <c r="O1153" s="286"/>
      <c r="P1153" s="269"/>
      <c r="Q1153" s="269"/>
      <c r="R1153" s="269"/>
    </row>
    <row r="1154" spans="1:18" s="285" customFormat="1" ht="39.6" customHeight="1" x14ac:dyDescent="0.25">
      <c r="A1154" s="276"/>
      <c r="B1154" s="276"/>
      <c r="C1154" s="276"/>
      <c r="D1154" s="288"/>
      <c r="E1154" s="290"/>
      <c r="F1154" s="266"/>
      <c r="G1154" s="288"/>
      <c r="H1154" s="291"/>
      <c r="I1154" s="292"/>
      <c r="J1154" s="292"/>
      <c r="K1154" s="291"/>
      <c r="L1154" s="293"/>
      <c r="M1154" s="287"/>
      <c r="O1154" s="286"/>
      <c r="P1154" s="269"/>
      <c r="Q1154" s="269"/>
      <c r="R1154" s="269"/>
    </row>
    <row r="1155" spans="1:18" s="285" customFormat="1" ht="39.6" customHeight="1" x14ac:dyDescent="0.25">
      <c r="A1155" s="276"/>
      <c r="B1155" s="276"/>
      <c r="C1155" s="276"/>
      <c r="D1155" s="288"/>
      <c r="E1155" s="290"/>
      <c r="F1155" s="266"/>
      <c r="G1155" s="288"/>
      <c r="H1155" s="291"/>
      <c r="I1155" s="292"/>
      <c r="J1155" s="292"/>
      <c r="K1155" s="291"/>
      <c r="L1155" s="293"/>
      <c r="M1155" s="287"/>
      <c r="O1155" s="286"/>
      <c r="P1155" s="269"/>
      <c r="Q1155" s="269"/>
      <c r="R1155" s="269"/>
    </row>
    <row r="1156" spans="1:18" s="285" customFormat="1" ht="39.6" customHeight="1" x14ac:dyDescent="0.25">
      <c r="A1156" s="276"/>
      <c r="B1156" s="276"/>
      <c r="C1156" s="276"/>
      <c r="D1156" s="288"/>
      <c r="E1156" s="290"/>
      <c r="F1156" s="266"/>
      <c r="G1156" s="288"/>
      <c r="H1156" s="291"/>
      <c r="I1156" s="292"/>
      <c r="J1156" s="292"/>
      <c r="K1156" s="291"/>
      <c r="L1156" s="293"/>
      <c r="M1156" s="287"/>
      <c r="O1156" s="286"/>
      <c r="P1156" s="269"/>
      <c r="Q1156" s="269"/>
      <c r="R1156" s="269"/>
    </row>
    <row r="1157" spans="1:18" s="285" customFormat="1" ht="39.6" customHeight="1" x14ac:dyDescent="0.25">
      <c r="A1157" s="276"/>
      <c r="B1157" s="276"/>
      <c r="C1157" s="276"/>
      <c r="D1157" s="288"/>
      <c r="E1157" s="290"/>
      <c r="F1157" s="266"/>
      <c r="G1157" s="288"/>
      <c r="H1157" s="291"/>
      <c r="I1157" s="292"/>
      <c r="J1157" s="292"/>
      <c r="K1157" s="291"/>
      <c r="L1157" s="293"/>
      <c r="M1157" s="287"/>
      <c r="O1157" s="286"/>
      <c r="P1157" s="269"/>
      <c r="Q1157" s="269"/>
      <c r="R1157" s="269"/>
    </row>
    <row r="1158" spans="1:18" s="285" customFormat="1" ht="39.6" customHeight="1" x14ac:dyDescent="0.25">
      <c r="A1158" s="276"/>
      <c r="B1158" s="276"/>
      <c r="C1158" s="276"/>
      <c r="D1158" s="288"/>
      <c r="E1158" s="290"/>
      <c r="F1158" s="266"/>
      <c r="G1158" s="288"/>
      <c r="H1158" s="291"/>
      <c r="I1158" s="292"/>
      <c r="J1158" s="292"/>
      <c r="K1158" s="291"/>
      <c r="L1158" s="293"/>
      <c r="M1158" s="287"/>
      <c r="O1158" s="286"/>
      <c r="P1158" s="269"/>
      <c r="Q1158" s="269"/>
      <c r="R1158" s="269"/>
    </row>
    <row r="1159" spans="1:18" s="285" customFormat="1" ht="39.6" customHeight="1" x14ac:dyDescent="0.25">
      <c r="A1159" s="276"/>
      <c r="B1159" s="276"/>
      <c r="C1159" s="276"/>
      <c r="D1159" s="288"/>
      <c r="E1159" s="290"/>
      <c r="F1159" s="266"/>
      <c r="G1159" s="288"/>
      <c r="H1159" s="291"/>
      <c r="I1159" s="292"/>
      <c r="J1159" s="292"/>
      <c r="K1159" s="291"/>
      <c r="L1159" s="293"/>
      <c r="M1159" s="287"/>
      <c r="O1159" s="286"/>
      <c r="P1159" s="269"/>
      <c r="Q1159" s="269"/>
      <c r="R1159" s="269"/>
    </row>
    <row r="1160" spans="1:18" s="285" customFormat="1" ht="39.6" customHeight="1" x14ac:dyDescent="0.25">
      <c r="A1160" s="276"/>
      <c r="B1160" s="276"/>
      <c r="C1160" s="276"/>
      <c r="D1160" s="288"/>
      <c r="E1160" s="290"/>
      <c r="F1160" s="266"/>
      <c r="G1160" s="288"/>
      <c r="H1160" s="291"/>
      <c r="I1160" s="292"/>
      <c r="J1160" s="292"/>
      <c r="K1160" s="291"/>
      <c r="L1160" s="293"/>
      <c r="M1160" s="287"/>
      <c r="O1160" s="286"/>
      <c r="P1160" s="269"/>
      <c r="Q1160" s="269"/>
      <c r="R1160" s="269"/>
    </row>
    <row r="1161" spans="1:18" s="285" customFormat="1" ht="39.6" customHeight="1" x14ac:dyDescent="0.25">
      <c r="A1161" s="276"/>
      <c r="B1161" s="276"/>
      <c r="C1161" s="276"/>
      <c r="D1161" s="288"/>
      <c r="E1161" s="290"/>
      <c r="F1161" s="266"/>
      <c r="G1161" s="288"/>
      <c r="H1161" s="291"/>
      <c r="I1161" s="292"/>
      <c r="J1161" s="292"/>
      <c r="K1161" s="291"/>
      <c r="L1161" s="293"/>
      <c r="M1161" s="287"/>
      <c r="O1161" s="286"/>
      <c r="P1161" s="269"/>
      <c r="Q1161" s="269"/>
      <c r="R1161" s="269"/>
    </row>
    <row r="1162" spans="1:18" s="285" customFormat="1" ht="39.6" customHeight="1" x14ac:dyDescent="0.25">
      <c r="A1162" s="276"/>
      <c r="B1162" s="276"/>
      <c r="C1162" s="276"/>
      <c r="D1162" s="288"/>
      <c r="E1162" s="290"/>
      <c r="F1162" s="266"/>
      <c r="G1162" s="288"/>
      <c r="H1162" s="291"/>
      <c r="I1162" s="292"/>
      <c r="J1162" s="292"/>
      <c r="K1162" s="291"/>
      <c r="L1162" s="293"/>
      <c r="M1162" s="287"/>
      <c r="O1162" s="286"/>
      <c r="P1162" s="269"/>
      <c r="Q1162" s="269"/>
      <c r="R1162" s="269"/>
    </row>
    <row r="1163" spans="1:18" s="285" customFormat="1" ht="39.6" customHeight="1" x14ac:dyDescent="0.25">
      <c r="A1163" s="276"/>
      <c r="B1163" s="276"/>
      <c r="C1163" s="276"/>
      <c r="D1163" s="288"/>
      <c r="E1163" s="290"/>
      <c r="F1163" s="266"/>
      <c r="G1163" s="288"/>
      <c r="H1163" s="291"/>
      <c r="I1163" s="292"/>
      <c r="J1163" s="292"/>
      <c r="K1163" s="291"/>
      <c r="L1163" s="293"/>
      <c r="M1163" s="287"/>
      <c r="O1163" s="286"/>
      <c r="P1163" s="269"/>
      <c r="Q1163" s="269"/>
      <c r="R1163" s="269"/>
    </row>
    <row r="1164" spans="1:18" s="285" customFormat="1" ht="39.6" customHeight="1" x14ac:dyDescent="0.25">
      <c r="A1164" s="276"/>
      <c r="B1164" s="276"/>
      <c r="C1164" s="276"/>
      <c r="D1164" s="288"/>
      <c r="E1164" s="290"/>
      <c r="F1164" s="266"/>
      <c r="G1164" s="288"/>
      <c r="H1164" s="291"/>
      <c r="I1164" s="292"/>
      <c r="J1164" s="292"/>
      <c r="K1164" s="291"/>
      <c r="L1164" s="293"/>
      <c r="M1164" s="287"/>
      <c r="O1164" s="286"/>
      <c r="P1164" s="269"/>
      <c r="Q1164" s="269"/>
      <c r="R1164" s="269"/>
    </row>
    <row r="1165" spans="1:18" s="285" customFormat="1" ht="39.6" customHeight="1" x14ac:dyDescent="0.25">
      <c r="A1165" s="276"/>
      <c r="B1165" s="276"/>
      <c r="C1165" s="276"/>
      <c r="D1165" s="288"/>
      <c r="E1165" s="290"/>
      <c r="F1165" s="266"/>
      <c r="G1165" s="288"/>
      <c r="H1165" s="291"/>
      <c r="I1165" s="292"/>
      <c r="J1165" s="292"/>
      <c r="K1165" s="291"/>
      <c r="L1165" s="293"/>
      <c r="M1165" s="287"/>
      <c r="O1165" s="286"/>
      <c r="P1165" s="269"/>
      <c r="Q1165" s="269"/>
      <c r="R1165" s="269"/>
    </row>
    <row r="1166" spans="1:18" s="285" customFormat="1" ht="39.6" customHeight="1" x14ac:dyDescent="0.25">
      <c r="A1166" s="276"/>
      <c r="B1166" s="276"/>
      <c r="C1166" s="276"/>
      <c r="D1166" s="288"/>
      <c r="E1166" s="290"/>
      <c r="F1166" s="266"/>
      <c r="G1166" s="288"/>
      <c r="H1166" s="291"/>
      <c r="I1166" s="292"/>
      <c r="J1166" s="292"/>
      <c r="K1166" s="291"/>
      <c r="L1166" s="293"/>
      <c r="M1166" s="287"/>
      <c r="O1166" s="286"/>
      <c r="P1166" s="269"/>
      <c r="Q1166" s="269"/>
      <c r="R1166" s="269"/>
    </row>
    <row r="1167" spans="1:18" s="285" customFormat="1" ht="39.6" customHeight="1" x14ac:dyDescent="0.25">
      <c r="A1167" s="276"/>
      <c r="B1167" s="276"/>
      <c r="C1167" s="276"/>
      <c r="D1167" s="288"/>
      <c r="E1167" s="290"/>
      <c r="F1167" s="266"/>
      <c r="G1167" s="288"/>
      <c r="H1167" s="291"/>
      <c r="I1167" s="292"/>
      <c r="J1167" s="292"/>
      <c r="K1167" s="291"/>
      <c r="L1167" s="293"/>
      <c r="M1167" s="287"/>
      <c r="O1167" s="286"/>
      <c r="P1167" s="269"/>
      <c r="Q1167" s="269"/>
      <c r="R1167" s="269"/>
    </row>
    <row r="1168" spans="1:18" s="285" customFormat="1" ht="39.6" customHeight="1" x14ac:dyDescent="0.25">
      <c r="A1168" s="276"/>
      <c r="B1168" s="276"/>
      <c r="C1168" s="276"/>
      <c r="D1168" s="288"/>
      <c r="E1168" s="290"/>
      <c r="F1168" s="266"/>
      <c r="G1168" s="288"/>
      <c r="H1168" s="291"/>
      <c r="I1168" s="292"/>
      <c r="J1168" s="292"/>
      <c r="K1168" s="291"/>
      <c r="L1168" s="293"/>
      <c r="M1168" s="287"/>
      <c r="O1168" s="286"/>
      <c r="P1168" s="269"/>
      <c r="Q1168" s="269"/>
      <c r="R1168" s="269"/>
    </row>
    <row r="1169" spans="1:18" s="285" customFormat="1" ht="39.6" customHeight="1" x14ac:dyDescent="0.25">
      <c r="A1169" s="276"/>
      <c r="B1169" s="276"/>
      <c r="C1169" s="276"/>
      <c r="D1169" s="288"/>
      <c r="E1169" s="290"/>
      <c r="F1169" s="266"/>
      <c r="G1169" s="288"/>
      <c r="H1169" s="291"/>
      <c r="I1169" s="292"/>
      <c r="J1169" s="292"/>
      <c r="K1169" s="291"/>
      <c r="L1169" s="293"/>
      <c r="M1169" s="287"/>
      <c r="O1169" s="286"/>
      <c r="P1169" s="269"/>
      <c r="Q1169" s="269"/>
      <c r="R1169" s="269"/>
    </row>
    <row r="1170" spans="1:18" s="285" customFormat="1" ht="39.6" customHeight="1" x14ac:dyDescent="0.25">
      <c r="A1170" s="276"/>
      <c r="B1170" s="276"/>
      <c r="C1170" s="276"/>
      <c r="D1170" s="288"/>
      <c r="E1170" s="290"/>
      <c r="F1170" s="266"/>
      <c r="G1170" s="288"/>
      <c r="H1170" s="291"/>
      <c r="I1170" s="292"/>
      <c r="J1170" s="292"/>
      <c r="K1170" s="291"/>
      <c r="L1170" s="293"/>
      <c r="M1170" s="287"/>
      <c r="O1170" s="286"/>
      <c r="P1170" s="269"/>
      <c r="Q1170" s="269"/>
      <c r="R1170" s="269"/>
    </row>
    <row r="1171" spans="1:18" s="285" customFormat="1" ht="39.6" customHeight="1" x14ac:dyDescent="0.25">
      <c r="A1171" s="276"/>
      <c r="B1171" s="276"/>
      <c r="C1171" s="276"/>
      <c r="D1171" s="288"/>
      <c r="E1171" s="290"/>
      <c r="F1171" s="266"/>
      <c r="G1171" s="288"/>
      <c r="H1171" s="291"/>
      <c r="I1171" s="292"/>
      <c r="J1171" s="292"/>
      <c r="K1171" s="291"/>
      <c r="L1171" s="293"/>
      <c r="M1171" s="287"/>
      <c r="O1171" s="286"/>
      <c r="P1171" s="269"/>
      <c r="Q1171" s="269"/>
      <c r="R1171" s="269"/>
    </row>
    <row r="1172" spans="1:18" s="285" customFormat="1" ht="39.6" customHeight="1" x14ac:dyDescent="0.25">
      <c r="A1172" s="276"/>
      <c r="B1172" s="276"/>
      <c r="C1172" s="276"/>
      <c r="D1172" s="288"/>
      <c r="E1172" s="290"/>
      <c r="F1172" s="266"/>
      <c r="G1172" s="288"/>
      <c r="H1172" s="291"/>
      <c r="I1172" s="292"/>
      <c r="J1172" s="292"/>
      <c r="K1172" s="291"/>
      <c r="L1172" s="293"/>
      <c r="M1172" s="287"/>
      <c r="O1172" s="286"/>
      <c r="P1172" s="269"/>
      <c r="Q1172" s="269"/>
      <c r="R1172" s="269"/>
    </row>
    <row r="1173" spans="1:18" s="285" customFormat="1" ht="39.6" customHeight="1" x14ac:dyDescent="0.25">
      <c r="A1173" s="276"/>
      <c r="B1173" s="276"/>
      <c r="C1173" s="276"/>
      <c r="D1173" s="288"/>
      <c r="E1173" s="290"/>
      <c r="F1173" s="266"/>
      <c r="G1173" s="288"/>
      <c r="H1173" s="291"/>
      <c r="I1173" s="292"/>
      <c r="J1173" s="292"/>
      <c r="K1173" s="291"/>
      <c r="L1173" s="293"/>
      <c r="M1173" s="287"/>
      <c r="O1173" s="286"/>
      <c r="P1173" s="269"/>
      <c r="Q1173" s="269"/>
      <c r="R1173" s="269"/>
    </row>
    <row r="1174" spans="1:18" s="285" customFormat="1" ht="39.6" customHeight="1" x14ac:dyDescent="0.25">
      <c r="A1174" s="276"/>
      <c r="B1174" s="276"/>
      <c r="C1174" s="276"/>
      <c r="D1174" s="288"/>
      <c r="E1174" s="290"/>
      <c r="F1174" s="266"/>
      <c r="G1174" s="288"/>
      <c r="H1174" s="291"/>
      <c r="I1174" s="292"/>
      <c r="J1174" s="292"/>
      <c r="K1174" s="291"/>
      <c r="L1174" s="293"/>
      <c r="M1174" s="287"/>
      <c r="O1174" s="286"/>
      <c r="P1174" s="269"/>
      <c r="Q1174" s="269"/>
      <c r="R1174" s="269"/>
    </row>
    <row r="1175" spans="1:18" s="285" customFormat="1" ht="39.6" customHeight="1" x14ac:dyDescent="0.25">
      <c r="A1175" s="276"/>
      <c r="B1175" s="276"/>
      <c r="C1175" s="276"/>
      <c r="D1175" s="288"/>
      <c r="E1175" s="290"/>
      <c r="F1175" s="266"/>
      <c r="G1175" s="288"/>
      <c r="H1175" s="291"/>
      <c r="I1175" s="292"/>
      <c r="J1175" s="292"/>
      <c r="K1175" s="291"/>
      <c r="L1175" s="293"/>
      <c r="M1175" s="287"/>
      <c r="O1175" s="286"/>
      <c r="P1175" s="269"/>
      <c r="Q1175" s="269"/>
      <c r="R1175" s="269"/>
    </row>
    <row r="1176" spans="1:18" s="285" customFormat="1" ht="39.6" customHeight="1" x14ac:dyDescent="0.25">
      <c r="A1176" s="276"/>
      <c r="B1176" s="276"/>
      <c r="C1176" s="276"/>
      <c r="D1176" s="288"/>
      <c r="E1176" s="290"/>
      <c r="F1176" s="266"/>
      <c r="G1176" s="288"/>
      <c r="H1176" s="291"/>
      <c r="I1176" s="292"/>
      <c r="J1176" s="292"/>
      <c r="K1176" s="291"/>
      <c r="L1176" s="293"/>
      <c r="M1176" s="287"/>
      <c r="O1176" s="286"/>
      <c r="P1176" s="269"/>
      <c r="Q1176" s="269"/>
      <c r="R1176" s="269"/>
    </row>
    <row r="1177" spans="1:18" s="285" customFormat="1" ht="39.6" customHeight="1" x14ac:dyDescent="0.25">
      <c r="A1177" s="276"/>
      <c r="B1177" s="276"/>
      <c r="C1177" s="276"/>
      <c r="D1177" s="288"/>
      <c r="E1177" s="290"/>
      <c r="F1177" s="266"/>
      <c r="G1177" s="288"/>
      <c r="H1177" s="291"/>
      <c r="I1177" s="292"/>
      <c r="J1177" s="292"/>
      <c r="K1177" s="291"/>
      <c r="L1177" s="293"/>
      <c r="M1177" s="287"/>
      <c r="O1177" s="286"/>
      <c r="P1177" s="269"/>
      <c r="Q1177" s="269"/>
      <c r="R1177" s="269"/>
    </row>
    <row r="1178" spans="1:18" s="285" customFormat="1" ht="39.6" customHeight="1" x14ac:dyDescent="0.25">
      <c r="A1178" s="276"/>
      <c r="B1178" s="276"/>
      <c r="C1178" s="276"/>
      <c r="D1178" s="288"/>
      <c r="E1178" s="290"/>
      <c r="F1178" s="266"/>
      <c r="G1178" s="288"/>
      <c r="H1178" s="291"/>
      <c r="I1178" s="292"/>
      <c r="J1178" s="292"/>
      <c r="K1178" s="291"/>
      <c r="L1178" s="293"/>
      <c r="M1178" s="287"/>
      <c r="O1178" s="286"/>
      <c r="P1178" s="269"/>
      <c r="Q1178" s="269"/>
      <c r="R1178" s="269"/>
    </row>
    <row r="1179" spans="1:18" s="285" customFormat="1" ht="39.6" customHeight="1" x14ac:dyDescent="0.25">
      <c r="A1179" s="276"/>
      <c r="B1179" s="276"/>
      <c r="C1179" s="276"/>
      <c r="D1179" s="288"/>
      <c r="E1179" s="290"/>
      <c r="F1179" s="266"/>
      <c r="G1179" s="288"/>
      <c r="H1179" s="291"/>
      <c r="I1179" s="292"/>
      <c r="J1179" s="292"/>
      <c r="K1179" s="291"/>
      <c r="L1179" s="293"/>
      <c r="M1179" s="287"/>
      <c r="O1179" s="286"/>
      <c r="P1179" s="269"/>
      <c r="Q1179" s="269"/>
      <c r="R1179" s="269"/>
    </row>
    <row r="1180" spans="1:18" s="285" customFormat="1" ht="39.6" customHeight="1" x14ac:dyDescent="0.25">
      <c r="A1180" s="276"/>
      <c r="B1180" s="276"/>
      <c r="C1180" s="276"/>
      <c r="D1180" s="288"/>
      <c r="E1180" s="290"/>
      <c r="F1180" s="266"/>
      <c r="G1180" s="288"/>
      <c r="H1180" s="291"/>
      <c r="I1180" s="292"/>
      <c r="J1180" s="292"/>
      <c r="K1180" s="291"/>
      <c r="L1180" s="293"/>
      <c r="M1180" s="287"/>
      <c r="O1180" s="286"/>
      <c r="P1180" s="269"/>
      <c r="Q1180" s="269"/>
      <c r="R1180" s="269"/>
    </row>
    <row r="1181" spans="1:18" s="285" customFormat="1" ht="39.6" customHeight="1" x14ac:dyDescent="0.25">
      <c r="A1181" s="276"/>
      <c r="B1181" s="276"/>
      <c r="C1181" s="276"/>
      <c r="D1181" s="288"/>
      <c r="E1181" s="290"/>
      <c r="F1181" s="266"/>
      <c r="G1181" s="288"/>
      <c r="H1181" s="291"/>
      <c r="I1181" s="292"/>
      <c r="J1181" s="292"/>
      <c r="K1181" s="291"/>
      <c r="L1181" s="293"/>
      <c r="M1181" s="287"/>
      <c r="O1181" s="286"/>
      <c r="P1181" s="269"/>
      <c r="Q1181" s="269"/>
      <c r="R1181" s="269"/>
    </row>
    <row r="1182" spans="1:18" s="285" customFormat="1" ht="39.6" customHeight="1" x14ac:dyDescent="0.25">
      <c r="A1182" s="276"/>
      <c r="B1182" s="276"/>
      <c r="C1182" s="276"/>
      <c r="D1182" s="288"/>
      <c r="E1182" s="290"/>
      <c r="F1182" s="266"/>
      <c r="G1182" s="288"/>
      <c r="H1182" s="291"/>
      <c r="I1182" s="292"/>
      <c r="J1182" s="292"/>
      <c r="K1182" s="291"/>
      <c r="L1182" s="293"/>
      <c r="M1182" s="287"/>
      <c r="O1182" s="286"/>
      <c r="P1182" s="269"/>
      <c r="Q1182" s="269"/>
      <c r="R1182" s="269"/>
    </row>
    <row r="1183" spans="1:18" s="285" customFormat="1" ht="39.6" customHeight="1" x14ac:dyDescent="0.25">
      <c r="A1183" s="276"/>
      <c r="B1183" s="276"/>
      <c r="C1183" s="276"/>
      <c r="D1183" s="288"/>
      <c r="E1183" s="290"/>
      <c r="F1183" s="266"/>
      <c r="G1183" s="288"/>
      <c r="H1183" s="291"/>
      <c r="I1183" s="292"/>
      <c r="J1183" s="292"/>
      <c r="K1183" s="291"/>
      <c r="L1183" s="293"/>
      <c r="M1183" s="287"/>
      <c r="O1183" s="286"/>
      <c r="P1183" s="269"/>
      <c r="Q1183" s="269"/>
      <c r="R1183" s="269"/>
    </row>
    <row r="1184" spans="1:18" s="285" customFormat="1" ht="39.6" customHeight="1" x14ac:dyDescent="0.25">
      <c r="A1184" s="276"/>
      <c r="B1184" s="276"/>
      <c r="C1184" s="276"/>
      <c r="D1184" s="288"/>
      <c r="E1184" s="290"/>
      <c r="F1184" s="266"/>
      <c r="G1184" s="288"/>
      <c r="H1184" s="291"/>
      <c r="I1184" s="292"/>
      <c r="J1184" s="292"/>
      <c r="K1184" s="291"/>
      <c r="L1184" s="293"/>
      <c r="M1184" s="287"/>
      <c r="O1184" s="286"/>
      <c r="P1184" s="269"/>
      <c r="Q1184" s="269"/>
      <c r="R1184" s="269"/>
    </row>
    <row r="1185" spans="1:18" s="285" customFormat="1" ht="39.6" customHeight="1" x14ac:dyDescent="0.25">
      <c r="A1185" s="276"/>
      <c r="B1185" s="276"/>
      <c r="C1185" s="276"/>
      <c r="D1185" s="288"/>
      <c r="E1185" s="290"/>
      <c r="F1185" s="266"/>
      <c r="G1185" s="288"/>
      <c r="H1185" s="291"/>
      <c r="I1185" s="292"/>
      <c r="J1185" s="292"/>
      <c r="K1185" s="291"/>
      <c r="L1185" s="293"/>
      <c r="M1185" s="287"/>
      <c r="O1185" s="286"/>
      <c r="P1185" s="269"/>
      <c r="Q1185" s="269"/>
      <c r="R1185" s="269"/>
    </row>
    <row r="1186" spans="1:18" s="285" customFormat="1" ht="39.6" customHeight="1" x14ac:dyDescent="0.25">
      <c r="A1186" s="276"/>
      <c r="B1186" s="276"/>
      <c r="C1186" s="276"/>
      <c r="D1186" s="288"/>
      <c r="E1186" s="290"/>
      <c r="F1186" s="266"/>
      <c r="G1186" s="288"/>
      <c r="H1186" s="291"/>
      <c r="I1186" s="292"/>
      <c r="J1186" s="292"/>
      <c r="K1186" s="291"/>
      <c r="L1186" s="293"/>
      <c r="M1186" s="287"/>
      <c r="O1186" s="286"/>
      <c r="P1186" s="269"/>
      <c r="Q1186" s="269"/>
      <c r="R1186" s="269"/>
    </row>
    <row r="1187" spans="1:18" s="285" customFormat="1" ht="39.6" customHeight="1" x14ac:dyDescent="0.25">
      <c r="A1187" s="276"/>
      <c r="B1187" s="276"/>
      <c r="C1187" s="276"/>
      <c r="D1187" s="288"/>
      <c r="E1187" s="290"/>
      <c r="F1187" s="266"/>
      <c r="G1187" s="288"/>
      <c r="H1187" s="291"/>
      <c r="I1187" s="292"/>
      <c r="J1187" s="292"/>
      <c r="K1187" s="291"/>
      <c r="L1187" s="293"/>
      <c r="M1187" s="287"/>
      <c r="O1187" s="286"/>
      <c r="P1187" s="269"/>
      <c r="Q1187" s="269"/>
      <c r="R1187" s="269"/>
    </row>
    <row r="1188" spans="1:18" s="285" customFormat="1" ht="39.6" customHeight="1" x14ac:dyDescent="0.25">
      <c r="A1188" s="276"/>
      <c r="B1188" s="276"/>
      <c r="C1188" s="276"/>
      <c r="D1188" s="288"/>
      <c r="E1188" s="290"/>
      <c r="F1188" s="266"/>
      <c r="G1188" s="288"/>
      <c r="H1188" s="291"/>
      <c r="I1188" s="292"/>
      <c r="J1188" s="292"/>
      <c r="K1188" s="291"/>
      <c r="L1188" s="293"/>
      <c r="M1188" s="287"/>
      <c r="O1188" s="286"/>
      <c r="P1188" s="269"/>
      <c r="Q1188" s="269"/>
      <c r="R1188" s="269"/>
    </row>
    <row r="1189" spans="1:18" s="285" customFormat="1" ht="39.6" customHeight="1" x14ac:dyDescent="0.25">
      <c r="A1189" s="276"/>
      <c r="B1189" s="276"/>
      <c r="C1189" s="276"/>
      <c r="D1189" s="288"/>
      <c r="E1189" s="290"/>
      <c r="F1189" s="266"/>
      <c r="G1189" s="288"/>
      <c r="H1189" s="291"/>
      <c r="I1189" s="292"/>
      <c r="J1189" s="292"/>
      <c r="K1189" s="291"/>
      <c r="L1189" s="293"/>
      <c r="M1189" s="287"/>
      <c r="O1189" s="286"/>
      <c r="P1189" s="269"/>
      <c r="Q1189" s="269"/>
      <c r="R1189" s="269"/>
    </row>
    <row r="1190" spans="1:18" s="285" customFormat="1" ht="39.6" customHeight="1" x14ac:dyDescent="0.25">
      <c r="A1190" s="276"/>
      <c r="B1190" s="276"/>
      <c r="C1190" s="276"/>
      <c r="D1190" s="288"/>
      <c r="E1190" s="290"/>
      <c r="F1190" s="266"/>
      <c r="G1190" s="288"/>
      <c r="H1190" s="291"/>
      <c r="I1190" s="292"/>
      <c r="J1190" s="292"/>
      <c r="K1190" s="291"/>
      <c r="L1190" s="293"/>
      <c r="M1190" s="287"/>
      <c r="O1190" s="286"/>
      <c r="P1190" s="269"/>
      <c r="Q1190" s="269"/>
      <c r="R1190" s="269"/>
    </row>
    <row r="1191" spans="1:18" s="285" customFormat="1" ht="39.6" customHeight="1" x14ac:dyDescent="0.25">
      <c r="A1191" s="276"/>
      <c r="B1191" s="276"/>
      <c r="C1191" s="276"/>
      <c r="D1191" s="288"/>
      <c r="E1191" s="290"/>
      <c r="F1191" s="266"/>
      <c r="G1191" s="288"/>
      <c r="H1191" s="291"/>
      <c r="I1191" s="292"/>
      <c r="J1191" s="292"/>
      <c r="K1191" s="291"/>
      <c r="L1191" s="293"/>
      <c r="M1191" s="287"/>
      <c r="O1191" s="286"/>
      <c r="P1191" s="269"/>
      <c r="Q1191" s="269"/>
      <c r="R1191" s="269"/>
    </row>
    <row r="1192" spans="1:18" s="285" customFormat="1" ht="39.6" customHeight="1" x14ac:dyDescent="0.25">
      <c r="A1192" s="276"/>
      <c r="B1192" s="276"/>
      <c r="C1192" s="276"/>
      <c r="D1192" s="288"/>
      <c r="E1192" s="290"/>
      <c r="F1192" s="266"/>
      <c r="G1192" s="288"/>
      <c r="H1192" s="291"/>
      <c r="I1192" s="292"/>
      <c r="J1192" s="292"/>
      <c r="K1192" s="291"/>
      <c r="L1192" s="293"/>
      <c r="M1192" s="287"/>
      <c r="O1192" s="286"/>
      <c r="P1192" s="269"/>
      <c r="Q1192" s="269"/>
      <c r="R1192" s="269"/>
    </row>
    <row r="1193" spans="1:18" s="285" customFormat="1" ht="39.6" customHeight="1" x14ac:dyDescent="0.25">
      <c r="A1193" s="276"/>
      <c r="B1193" s="276"/>
      <c r="C1193" s="276"/>
      <c r="D1193" s="288"/>
      <c r="E1193" s="290"/>
      <c r="F1193" s="266"/>
      <c r="G1193" s="288"/>
      <c r="H1193" s="291"/>
      <c r="I1193" s="292"/>
      <c r="J1193" s="292"/>
      <c r="K1193" s="291"/>
      <c r="L1193" s="293"/>
      <c r="M1193" s="287"/>
      <c r="O1193" s="286"/>
      <c r="P1193" s="269"/>
      <c r="Q1193" s="269"/>
      <c r="R1193" s="269"/>
    </row>
    <row r="1194" spans="1:18" s="285" customFormat="1" ht="39.6" customHeight="1" x14ac:dyDescent="0.25">
      <c r="A1194" s="276"/>
      <c r="B1194" s="276"/>
      <c r="C1194" s="276"/>
      <c r="D1194" s="288"/>
      <c r="E1194" s="290"/>
      <c r="F1194" s="266"/>
      <c r="G1194" s="288"/>
      <c r="H1194" s="291"/>
      <c r="I1194" s="292"/>
      <c r="J1194" s="292"/>
      <c r="K1194" s="291"/>
      <c r="L1194" s="293"/>
      <c r="M1194" s="287"/>
      <c r="O1194" s="286"/>
      <c r="P1194" s="269"/>
      <c r="Q1194" s="269"/>
      <c r="R1194" s="269"/>
    </row>
    <row r="1195" spans="1:18" s="285" customFormat="1" ht="39.6" customHeight="1" x14ac:dyDescent="0.25">
      <c r="A1195" s="276"/>
      <c r="B1195" s="276"/>
      <c r="C1195" s="276"/>
      <c r="D1195" s="288"/>
      <c r="E1195" s="290"/>
      <c r="F1195" s="266"/>
      <c r="G1195" s="288"/>
      <c r="H1195" s="291"/>
      <c r="I1195" s="292"/>
      <c r="J1195" s="292"/>
      <c r="K1195" s="291"/>
      <c r="L1195" s="293"/>
      <c r="M1195" s="287"/>
      <c r="O1195" s="286"/>
      <c r="P1195" s="269"/>
      <c r="Q1195" s="269"/>
      <c r="R1195" s="269"/>
    </row>
    <row r="1196" spans="1:18" s="285" customFormat="1" ht="39.6" customHeight="1" x14ac:dyDescent="0.25">
      <c r="A1196" s="276"/>
      <c r="B1196" s="276"/>
      <c r="C1196" s="276"/>
      <c r="D1196" s="288"/>
      <c r="E1196" s="290"/>
      <c r="F1196" s="266"/>
      <c r="G1196" s="288"/>
      <c r="H1196" s="291"/>
      <c r="I1196" s="292"/>
      <c r="J1196" s="292"/>
      <c r="K1196" s="291"/>
      <c r="L1196" s="293"/>
      <c r="M1196" s="287"/>
      <c r="O1196" s="286"/>
      <c r="P1196" s="269"/>
      <c r="Q1196" s="269"/>
      <c r="R1196" s="269"/>
    </row>
    <row r="1197" spans="1:18" s="285" customFormat="1" ht="39.6" customHeight="1" x14ac:dyDescent="0.25">
      <c r="A1197" s="276"/>
      <c r="B1197" s="276"/>
      <c r="C1197" s="276"/>
      <c r="D1197" s="288"/>
      <c r="E1197" s="290"/>
      <c r="F1197" s="266"/>
      <c r="G1197" s="288"/>
      <c r="H1197" s="291"/>
      <c r="I1197" s="292"/>
      <c r="J1197" s="292"/>
      <c r="K1197" s="291"/>
      <c r="L1197" s="293"/>
      <c r="M1197" s="287"/>
      <c r="O1197" s="286"/>
      <c r="P1197" s="269"/>
      <c r="Q1197" s="269"/>
      <c r="R1197" s="269"/>
    </row>
    <row r="1198" spans="1:18" s="285" customFormat="1" ht="39.6" customHeight="1" x14ac:dyDescent="0.25">
      <c r="A1198" s="276"/>
      <c r="B1198" s="276"/>
      <c r="C1198" s="276"/>
      <c r="D1198" s="288"/>
      <c r="E1198" s="290"/>
      <c r="F1198" s="266"/>
      <c r="G1198" s="288"/>
      <c r="H1198" s="291"/>
      <c r="I1198" s="292"/>
      <c r="J1198" s="292"/>
      <c r="K1198" s="291"/>
      <c r="L1198" s="293"/>
      <c r="M1198" s="287"/>
      <c r="O1198" s="286"/>
      <c r="P1198" s="269"/>
      <c r="Q1198" s="269"/>
      <c r="R1198" s="269"/>
    </row>
    <row r="1199" spans="1:18" s="285" customFormat="1" ht="39.6" customHeight="1" x14ac:dyDescent="0.25">
      <c r="A1199" s="276"/>
      <c r="B1199" s="276"/>
      <c r="C1199" s="276"/>
      <c r="D1199" s="288"/>
      <c r="E1199" s="290"/>
      <c r="F1199" s="266"/>
      <c r="G1199" s="288"/>
      <c r="H1199" s="291"/>
      <c r="I1199" s="292"/>
      <c r="J1199" s="292"/>
      <c r="K1199" s="291"/>
      <c r="L1199" s="293"/>
      <c r="M1199" s="287"/>
      <c r="O1199" s="286"/>
      <c r="P1199" s="269"/>
      <c r="Q1199" s="269"/>
      <c r="R1199" s="269"/>
    </row>
    <row r="1200" spans="1:18" s="285" customFormat="1" ht="39.6" customHeight="1" x14ac:dyDescent="0.25">
      <c r="A1200" s="276"/>
      <c r="B1200" s="276"/>
      <c r="C1200" s="276"/>
      <c r="D1200" s="288"/>
      <c r="E1200" s="290"/>
      <c r="F1200" s="266"/>
      <c r="G1200" s="288"/>
      <c r="H1200" s="291"/>
      <c r="I1200" s="292"/>
      <c r="J1200" s="292"/>
      <c r="K1200" s="291"/>
      <c r="L1200" s="293"/>
      <c r="M1200" s="287"/>
      <c r="O1200" s="286"/>
      <c r="P1200" s="269"/>
      <c r="Q1200" s="269"/>
      <c r="R1200" s="269"/>
    </row>
    <row r="1201" spans="1:18" s="285" customFormat="1" ht="39.6" customHeight="1" x14ac:dyDescent="0.25">
      <c r="A1201" s="276"/>
      <c r="B1201" s="276"/>
      <c r="C1201" s="276"/>
      <c r="D1201" s="288"/>
      <c r="E1201" s="290"/>
      <c r="F1201" s="266"/>
      <c r="G1201" s="288"/>
      <c r="H1201" s="291"/>
      <c r="I1201" s="292"/>
      <c r="J1201" s="292"/>
      <c r="K1201" s="291"/>
      <c r="L1201" s="293"/>
      <c r="M1201" s="287"/>
      <c r="O1201" s="286"/>
      <c r="P1201" s="269"/>
      <c r="Q1201" s="269"/>
      <c r="R1201" s="269"/>
    </row>
    <row r="1202" spans="1:18" s="285" customFormat="1" ht="39.6" customHeight="1" x14ac:dyDescent="0.25">
      <c r="A1202" s="276"/>
      <c r="B1202" s="276"/>
      <c r="C1202" s="276"/>
      <c r="D1202" s="288"/>
      <c r="E1202" s="290"/>
      <c r="F1202" s="266"/>
      <c r="G1202" s="288"/>
      <c r="H1202" s="291"/>
      <c r="I1202" s="292"/>
      <c r="J1202" s="292"/>
      <c r="K1202" s="291"/>
      <c r="L1202" s="293"/>
      <c r="M1202" s="287"/>
      <c r="O1202" s="286"/>
      <c r="P1202" s="269"/>
      <c r="Q1202" s="269"/>
      <c r="R1202" s="269"/>
    </row>
    <row r="1203" spans="1:18" s="285" customFormat="1" ht="39.6" customHeight="1" x14ac:dyDescent="0.25">
      <c r="A1203" s="276"/>
      <c r="B1203" s="276"/>
      <c r="C1203" s="276"/>
      <c r="D1203" s="288"/>
      <c r="E1203" s="290"/>
      <c r="F1203" s="266"/>
      <c r="G1203" s="288"/>
      <c r="H1203" s="291"/>
      <c r="I1203" s="292"/>
      <c r="J1203" s="292"/>
      <c r="K1203" s="291"/>
      <c r="L1203" s="293"/>
      <c r="M1203" s="287"/>
      <c r="O1203" s="286"/>
      <c r="P1203" s="269"/>
      <c r="Q1203" s="269"/>
      <c r="R1203" s="269"/>
    </row>
    <row r="1204" spans="1:18" s="285" customFormat="1" ht="39.6" customHeight="1" x14ac:dyDescent="0.25">
      <c r="A1204" s="276"/>
      <c r="B1204" s="276"/>
      <c r="C1204" s="276"/>
      <c r="D1204" s="288"/>
      <c r="E1204" s="290"/>
      <c r="F1204" s="266"/>
      <c r="G1204" s="288"/>
      <c r="H1204" s="291"/>
      <c r="I1204" s="292"/>
      <c r="J1204" s="292"/>
      <c r="K1204" s="291"/>
      <c r="L1204" s="293"/>
      <c r="M1204" s="287"/>
      <c r="O1204" s="286"/>
      <c r="P1204" s="269"/>
      <c r="Q1204" s="269"/>
      <c r="R1204" s="269"/>
    </row>
    <row r="1205" spans="1:18" s="285" customFormat="1" ht="39.6" customHeight="1" x14ac:dyDescent="0.25">
      <c r="A1205" s="276"/>
      <c r="B1205" s="276"/>
      <c r="C1205" s="276"/>
      <c r="D1205" s="288"/>
      <c r="E1205" s="290"/>
      <c r="F1205" s="266"/>
      <c r="G1205" s="288"/>
      <c r="H1205" s="291"/>
      <c r="I1205" s="292"/>
      <c r="J1205" s="292"/>
      <c r="K1205" s="291"/>
      <c r="L1205" s="293"/>
      <c r="M1205" s="287"/>
      <c r="O1205" s="286"/>
      <c r="P1205" s="269"/>
      <c r="Q1205" s="269"/>
      <c r="R1205" s="269"/>
    </row>
    <row r="1206" spans="1:18" s="285" customFormat="1" ht="39.6" customHeight="1" x14ac:dyDescent="0.25">
      <c r="A1206" s="276"/>
      <c r="B1206" s="276"/>
      <c r="C1206" s="276"/>
      <c r="D1206" s="288"/>
      <c r="E1206" s="290"/>
      <c r="F1206" s="266"/>
      <c r="G1206" s="288"/>
      <c r="H1206" s="291"/>
      <c r="I1206" s="292"/>
      <c r="J1206" s="292"/>
      <c r="K1206" s="291"/>
      <c r="L1206" s="293"/>
      <c r="M1206" s="287"/>
      <c r="O1206" s="286"/>
      <c r="P1206" s="269"/>
      <c r="Q1206" s="269"/>
      <c r="R1206" s="269"/>
    </row>
    <row r="1207" spans="1:18" s="285" customFormat="1" ht="39.6" customHeight="1" x14ac:dyDescent="0.25">
      <c r="A1207" s="276"/>
      <c r="B1207" s="276"/>
      <c r="C1207" s="276"/>
      <c r="D1207" s="288"/>
      <c r="E1207" s="290"/>
      <c r="F1207" s="266"/>
      <c r="G1207" s="288"/>
      <c r="H1207" s="291"/>
      <c r="I1207" s="292"/>
      <c r="J1207" s="292"/>
      <c r="K1207" s="291"/>
      <c r="L1207" s="293"/>
      <c r="M1207" s="287"/>
      <c r="O1207" s="286"/>
      <c r="P1207" s="269"/>
      <c r="Q1207" s="269"/>
      <c r="R1207" s="269"/>
    </row>
    <row r="1208" spans="1:18" s="285" customFormat="1" ht="39.6" customHeight="1" x14ac:dyDescent="0.25">
      <c r="A1208" s="276"/>
      <c r="B1208" s="276"/>
      <c r="C1208" s="276"/>
      <c r="D1208" s="288"/>
      <c r="E1208" s="290"/>
      <c r="F1208" s="266"/>
      <c r="G1208" s="288"/>
      <c r="H1208" s="291"/>
      <c r="I1208" s="292"/>
      <c r="J1208" s="292"/>
      <c r="K1208" s="291"/>
      <c r="L1208" s="293"/>
      <c r="M1208" s="287"/>
      <c r="O1208" s="286"/>
      <c r="P1208" s="269"/>
      <c r="Q1208" s="269"/>
      <c r="R1208" s="269"/>
    </row>
    <row r="1209" spans="1:18" s="285" customFormat="1" ht="39.6" customHeight="1" x14ac:dyDescent="0.25">
      <c r="A1209" s="276"/>
      <c r="B1209" s="276"/>
      <c r="C1209" s="276"/>
      <c r="D1209" s="288"/>
      <c r="E1209" s="290"/>
      <c r="F1209" s="266"/>
      <c r="G1209" s="288"/>
      <c r="H1209" s="291"/>
      <c r="I1209" s="292"/>
      <c r="J1209" s="292"/>
      <c r="K1209" s="291"/>
      <c r="L1209" s="293"/>
      <c r="M1209" s="287"/>
      <c r="O1209" s="286"/>
      <c r="P1209" s="269"/>
      <c r="Q1209" s="269"/>
      <c r="R1209" s="269"/>
    </row>
    <row r="1210" spans="1:18" s="285" customFormat="1" ht="39.6" customHeight="1" x14ac:dyDescent="0.25">
      <c r="A1210" s="276"/>
      <c r="B1210" s="276"/>
      <c r="C1210" s="276"/>
      <c r="D1210" s="288"/>
      <c r="E1210" s="290"/>
      <c r="F1210" s="266"/>
      <c r="G1210" s="288"/>
      <c r="H1210" s="291"/>
      <c r="I1210" s="292"/>
      <c r="J1210" s="292"/>
      <c r="K1210" s="291"/>
      <c r="L1210" s="293"/>
      <c r="M1210" s="287"/>
      <c r="O1210" s="286"/>
      <c r="P1210" s="269"/>
      <c r="Q1210" s="269"/>
      <c r="R1210" s="269"/>
    </row>
    <row r="1211" spans="1:18" s="285" customFormat="1" ht="39.6" customHeight="1" x14ac:dyDescent="0.25">
      <c r="A1211" s="276"/>
      <c r="B1211" s="276"/>
      <c r="C1211" s="276"/>
      <c r="D1211" s="288"/>
      <c r="E1211" s="290"/>
      <c r="F1211" s="266"/>
      <c r="G1211" s="288"/>
      <c r="H1211" s="291"/>
      <c r="I1211" s="292"/>
      <c r="J1211" s="292"/>
      <c r="K1211" s="291"/>
      <c r="L1211" s="293"/>
      <c r="M1211" s="287"/>
      <c r="O1211" s="286"/>
      <c r="P1211" s="269"/>
      <c r="Q1211" s="269"/>
      <c r="R1211" s="269"/>
    </row>
    <row r="1212" spans="1:18" s="285" customFormat="1" ht="39.6" customHeight="1" x14ac:dyDescent="0.25">
      <c r="A1212" s="276"/>
      <c r="B1212" s="276"/>
      <c r="C1212" s="276"/>
      <c r="D1212" s="288"/>
      <c r="E1212" s="290"/>
      <c r="F1212" s="266"/>
      <c r="G1212" s="288"/>
      <c r="H1212" s="291"/>
      <c r="I1212" s="292"/>
      <c r="J1212" s="292"/>
      <c r="K1212" s="291"/>
      <c r="L1212" s="293"/>
      <c r="M1212" s="287"/>
      <c r="O1212" s="286"/>
      <c r="P1212" s="269"/>
      <c r="Q1212" s="269"/>
      <c r="R1212" s="269"/>
    </row>
    <row r="1213" spans="1:18" s="285" customFormat="1" ht="39.6" customHeight="1" x14ac:dyDescent="0.25">
      <c r="A1213" s="276"/>
      <c r="B1213" s="276"/>
      <c r="C1213" s="276"/>
      <c r="D1213" s="288"/>
      <c r="E1213" s="290"/>
      <c r="F1213" s="266"/>
      <c r="G1213" s="288"/>
      <c r="H1213" s="291"/>
      <c r="I1213" s="292"/>
      <c r="J1213" s="292"/>
      <c r="K1213" s="291"/>
      <c r="L1213" s="293"/>
      <c r="M1213" s="287"/>
      <c r="O1213" s="286"/>
      <c r="P1213" s="269"/>
      <c r="Q1213" s="269"/>
      <c r="R1213" s="269"/>
    </row>
    <row r="1214" spans="1:18" s="285" customFormat="1" ht="39.6" customHeight="1" x14ac:dyDescent="0.25">
      <c r="A1214" s="276"/>
      <c r="B1214" s="276"/>
      <c r="C1214" s="276"/>
      <c r="D1214" s="288"/>
      <c r="E1214" s="290"/>
      <c r="F1214" s="266"/>
      <c r="G1214" s="288"/>
      <c r="H1214" s="291"/>
      <c r="I1214" s="292"/>
      <c r="J1214" s="292"/>
      <c r="K1214" s="291"/>
      <c r="L1214" s="293"/>
      <c r="M1214" s="287"/>
      <c r="O1214" s="286"/>
      <c r="P1214" s="269"/>
      <c r="Q1214" s="269"/>
      <c r="R1214" s="269"/>
    </row>
    <row r="1215" spans="1:18" s="285" customFormat="1" ht="39.6" customHeight="1" x14ac:dyDescent="0.25">
      <c r="A1215" s="276"/>
      <c r="B1215" s="276"/>
      <c r="C1215" s="276"/>
      <c r="D1215" s="288"/>
      <c r="E1215" s="290"/>
      <c r="F1215" s="266"/>
      <c r="G1215" s="288"/>
      <c r="H1215" s="291"/>
      <c r="I1215" s="292"/>
      <c r="J1215" s="292"/>
      <c r="K1215" s="291"/>
      <c r="L1215" s="293"/>
      <c r="M1215" s="287"/>
      <c r="O1215" s="286"/>
      <c r="P1215" s="269"/>
      <c r="Q1215" s="269"/>
      <c r="R1215" s="269"/>
    </row>
    <row r="1216" spans="1:18" s="285" customFormat="1" ht="39.6" customHeight="1" x14ac:dyDescent="0.25">
      <c r="A1216" s="276"/>
      <c r="B1216" s="276"/>
      <c r="C1216" s="276"/>
      <c r="D1216" s="288"/>
      <c r="E1216" s="290"/>
      <c r="F1216" s="266"/>
      <c r="G1216" s="288"/>
      <c r="H1216" s="291"/>
      <c r="I1216" s="292"/>
      <c r="J1216" s="292"/>
      <c r="K1216" s="291"/>
      <c r="L1216" s="293"/>
      <c r="M1216" s="287"/>
      <c r="O1216" s="286"/>
      <c r="P1216" s="269"/>
      <c r="Q1216" s="269"/>
      <c r="R1216" s="269"/>
    </row>
    <row r="1217" spans="1:18" s="285" customFormat="1" ht="39.6" customHeight="1" x14ac:dyDescent="0.25">
      <c r="A1217" s="276"/>
      <c r="B1217" s="276"/>
      <c r="C1217" s="276"/>
      <c r="D1217" s="288"/>
      <c r="E1217" s="290"/>
      <c r="F1217" s="266"/>
      <c r="G1217" s="288"/>
      <c r="H1217" s="291"/>
      <c r="I1217" s="292"/>
      <c r="J1217" s="292"/>
      <c r="K1217" s="291"/>
      <c r="L1217" s="293"/>
      <c r="M1217" s="287"/>
      <c r="O1217" s="286"/>
      <c r="P1217" s="269"/>
      <c r="Q1217" s="269"/>
      <c r="R1217" s="269"/>
    </row>
    <row r="1218" spans="1:18" s="285" customFormat="1" ht="39.6" customHeight="1" x14ac:dyDescent="0.25">
      <c r="A1218" s="276"/>
      <c r="B1218" s="276"/>
      <c r="C1218" s="276"/>
      <c r="D1218" s="288"/>
      <c r="E1218" s="290"/>
      <c r="F1218" s="266"/>
      <c r="G1218" s="288"/>
      <c r="H1218" s="291"/>
      <c r="I1218" s="292"/>
      <c r="J1218" s="292"/>
      <c r="K1218" s="291"/>
      <c r="L1218" s="293"/>
      <c r="M1218" s="287"/>
      <c r="O1218" s="286"/>
      <c r="P1218" s="269"/>
      <c r="Q1218" s="269"/>
      <c r="R1218" s="269"/>
    </row>
    <row r="1219" spans="1:18" s="285" customFormat="1" ht="39.6" customHeight="1" x14ac:dyDescent="0.25">
      <c r="A1219" s="276"/>
      <c r="B1219" s="276"/>
      <c r="C1219" s="276"/>
      <c r="D1219" s="288"/>
      <c r="E1219" s="290"/>
      <c r="F1219" s="266"/>
      <c r="G1219" s="288"/>
      <c r="H1219" s="291"/>
      <c r="I1219" s="292"/>
      <c r="J1219" s="292"/>
      <c r="K1219" s="291"/>
      <c r="L1219" s="293"/>
      <c r="M1219" s="287"/>
      <c r="O1219" s="286"/>
      <c r="P1219" s="269"/>
      <c r="Q1219" s="269"/>
      <c r="R1219" s="269"/>
    </row>
    <row r="1220" spans="1:18" s="285" customFormat="1" ht="39.6" customHeight="1" x14ac:dyDescent="0.25">
      <c r="A1220" s="276"/>
      <c r="B1220" s="276"/>
      <c r="C1220" s="276"/>
      <c r="D1220" s="288"/>
      <c r="E1220" s="290"/>
      <c r="F1220" s="266"/>
      <c r="G1220" s="288"/>
      <c r="H1220" s="291"/>
      <c r="I1220" s="292"/>
      <c r="J1220" s="292"/>
      <c r="K1220" s="291"/>
      <c r="L1220" s="293"/>
      <c r="M1220" s="287"/>
      <c r="O1220" s="286"/>
      <c r="P1220" s="269"/>
      <c r="Q1220" s="269"/>
      <c r="R1220" s="269"/>
    </row>
    <row r="1221" spans="1:18" s="285" customFormat="1" ht="39.6" customHeight="1" x14ac:dyDescent="0.25">
      <c r="A1221" s="276"/>
      <c r="B1221" s="276"/>
      <c r="C1221" s="276"/>
      <c r="D1221" s="288"/>
      <c r="E1221" s="290"/>
      <c r="F1221" s="266"/>
      <c r="G1221" s="288"/>
      <c r="H1221" s="291"/>
      <c r="I1221" s="292"/>
      <c r="J1221" s="292"/>
      <c r="K1221" s="291"/>
      <c r="L1221" s="293"/>
      <c r="M1221" s="287"/>
      <c r="O1221" s="286"/>
      <c r="P1221" s="269"/>
      <c r="Q1221" s="269"/>
      <c r="R1221" s="269"/>
    </row>
    <row r="1222" spans="1:18" s="285" customFormat="1" ht="39.6" customHeight="1" x14ac:dyDescent="0.25">
      <c r="A1222" s="276"/>
      <c r="B1222" s="276"/>
      <c r="C1222" s="276"/>
      <c r="D1222" s="288"/>
      <c r="E1222" s="290"/>
      <c r="F1222" s="266"/>
      <c r="G1222" s="288"/>
      <c r="H1222" s="291"/>
      <c r="I1222" s="292"/>
      <c r="J1222" s="292"/>
      <c r="K1222" s="291"/>
      <c r="L1222" s="293"/>
      <c r="M1222" s="287"/>
      <c r="O1222" s="286"/>
      <c r="P1222" s="269"/>
      <c r="Q1222" s="269"/>
      <c r="R1222" s="269"/>
    </row>
    <row r="1223" spans="1:18" s="285" customFormat="1" ht="39.6" customHeight="1" x14ac:dyDescent="0.25">
      <c r="A1223" s="276"/>
      <c r="B1223" s="276"/>
      <c r="C1223" s="276"/>
      <c r="D1223" s="288"/>
      <c r="E1223" s="290"/>
      <c r="F1223" s="266"/>
      <c r="G1223" s="288"/>
      <c r="H1223" s="291"/>
      <c r="I1223" s="292"/>
      <c r="J1223" s="292"/>
      <c r="K1223" s="291"/>
      <c r="L1223" s="293"/>
      <c r="M1223" s="287"/>
      <c r="O1223" s="286"/>
      <c r="P1223" s="269"/>
      <c r="Q1223" s="269"/>
      <c r="R1223" s="269"/>
    </row>
    <row r="1224" spans="1:18" s="285" customFormat="1" ht="39.6" customHeight="1" x14ac:dyDescent="0.25">
      <c r="A1224" s="276"/>
      <c r="B1224" s="276"/>
      <c r="C1224" s="276"/>
      <c r="D1224" s="288"/>
      <c r="E1224" s="290"/>
      <c r="F1224" s="266"/>
      <c r="G1224" s="288"/>
      <c r="H1224" s="291"/>
      <c r="I1224" s="292"/>
      <c r="J1224" s="292"/>
      <c r="K1224" s="291"/>
      <c r="L1224" s="293"/>
      <c r="M1224" s="287"/>
      <c r="O1224" s="286"/>
      <c r="P1224" s="269"/>
      <c r="Q1224" s="269"/>
      <c r="R1224" s="269"/>
    </row>
    <row r="1225" spans="1:18" s="285" customFormat="1" ht="39.6" customHeight="1" x14ac:dyDescent="0.25">
      <c r="A1225" s="276"/>
      <c r="B1225" s="276"/>
      <c r="C1225" s="276"/>
      <c r="D1225" s="288"/>
      <c r="E1225" s="290"/>
      <c r="F1225" s="266"/>
      <c r="G1225" s="288"/>
      <c r="H1225" s="291"/>
      <c r="I1225" s="292"/>
      <c r="J1225" s="292"/>
      <c r="K1225" s="291"/>
      <c r="L1225" s="293"/>
      <c r="M1225" s="287"/>
      <c r="O1225" s="286"/>
      <c r="P1225" s="269"/>
      <c r="Q1225" s="269"/>
      <c r="R1225" s="269"/>
    </row>
    <row r="1226" spans="1:18" s="285" customFormat="1" ht="39.6" customHeight="1" x14ac:dyDescent="0.25">
      <c r="A1226" s="276"/>
      <c r="B1226" s="276"/>
      <c r="C1226" s="276"/>
      <c r="D1226" s="288"/>
      <c r="E1226" s="290"/>
      <c r="F1226" s="266"/>
      <c r="G1226" s="288"/>
      <c r="H1226" s="291"/>
      <c r="I1226" s="292"/>
      <c r="J1226" s="292"/>
      <c r="K1226" s="291"/>
      <c r="L1226" s="293"/>
      <c r="M1226" s="287"/>
      <c r="O1226" s="286"/>
      <c r="P1226" s="269"/>
      <c r="Q1226" s="269"/>
      <c r="R1226" s="269"/>
    </row>
    <row r="1227" spans="1:18" s="285" customFormat="1" ht="39.6" customHeight="1" x14ac:dyDescent="0.25">
      <c r="A1227" s="276"/>
      <c r="B1227" s="276"/>
      <c r="C1227" s="276"/>
      <c r="D1227" s="288"/>
      <c r="E1227" s="290"/>
      <c r="F1227" s="266"/>
      <c r="G1227" s="288"/>
      <c r="H1227" s="291"/>
      <c r="I1227" s="292"/>
      <c r="J1227" s="292"/>
      <c r="K1227" s="291"/>
      <c r="L1227" s="293"/>
      <c r="M1227" s="287"/>
      <c r="O1227" s="286"/>
      <c r="P1227" s="269"/>
      <c r="Q1227" s="269"/>
      <c r="R1227" s="269"/>
    </row>
    <row r="1228" spans="1:18" s="285" customFormat="1" ht="39.6" customHeight="1" x14ac:dyDescent="0.25">
      <c r="A1228" s="276"/>
      <c r="B1228" s="276"/>
      <c r="C1228" s="276"/>
      <c r="D1228" s="288"/>
      <c r="E1228" s="290"/>
      <c r="F1228" s="266"/>
      <c r="G1228" s="288"/>
      <c r="H1228" s="291"/>
      <c r="I1228" s="292"/>
      <c r="J1228" s="292"/>
      <c r="K1228" s="291"/>
      <c r="L1228" s="293"/>
      <c r="M1228" s="287"/>
      <c r="O1228" s="286"/>
      <c r="P1228" s="269"/>
      <c r="Q1228" s="269"/>
      <c r="R1228" s="269"/>
    </row>
    <row r="1229" spans="1:18" s="285" customFormat="1" ht="39.6" customHeight="1" x14ac:dyDescent="0.25">
      <c r="A1229" s="276"/>
      <c r="B1229" s="276"/>
      <c r="C1229" s="276"/>
      <c r="D1229" s="288"/>
      <c r="E1229" s="290"/>
      <c r="F1229" s="266"/>
      <c r="G1229" s="288"/>
      <c r="H1229" s="291"/>
      <c r="I1229" s="292"/>
      <c r="J1229" s="292"/>
      <c r="K1229" s="291"/>
      <c r="L1229" s="293"/>
      <c r="M1229" s="287"/>
      <c r="O1229" s="286"/>
      <c r="P1229" s="269"/>
      <c r="Q1229" s="269"/>
      <c r="R1229" s="269"/>
    </row>
    <row r="1230" spans="1:18" s="285" customFormat="1" ht="39.6" customHeight="1" x14ac:dyDescent="0.25">
      <c r="A1230" s="276"/>
      <c r="B1230" s="276"/>
      <c r="C1230" s="276"/>
      <c r="D1230" s="288"/>
      <c r="E1230" s="290"/>
      <c r="F1230" s="266"/>
      <c r="G1230" s="288"/>
      <c r="H1230" s="291"/>
      <c r="I1230" s="292"/>
      <c r="J1230" s="292"/>
      <c r="K1230" s="291"/>
      <c r="L1230" s="293"/>
      <c r="M1230" s="287"/>
      <c r="O1230" s="286"/>
      <c r="P1230" s="269"/>
      <c r="Q1230" s="269"/>
      <c r="R1230" s="269"/>
    </row>
    <row r="1231" spans="1:18" s="285" customFormat="1" ht="39.6" customHeight="1" x14ac:dyDescent="0.25">
      <c r="A1231" s="276"/>
      <c r="B1231" s="276"/>
      <c r="C1231" s="276"/>
      <c r="D1231" s="288"/>
      <c r="E1231" s="290"/>
      <c r="F1231" s="266"/>
      <c r="G1231" s="288"/>
      <c r="H1231" s="291"/>
      <c r="I1231" s="292"/>
      <c r="J1231" s="292"/>
      <c r="K1231" s="291"/>
      <c r="L1231" s="293"/>
      <c r="M1231" s="287"/>
      <c r="O1231" s="286"/>
      <c r="P1231" s="269"/>
      <c r="Q1231" s="269"/>
      <c r="R1231" s="269"/>
    </row>
    <row r="1232" spans="1:18" s="285" customFormat="1" ht="39.6" customHeight="1" x14ac:dyDescent="0.25">
      <c r="A1232" s="276"/>
      <c r="B1232" s="276"/>
      <c r="C1232" s="276"/>
      <c r="D1232" s="288"/>
      <c r="E1232" s="290"/>
      <c r="F1232" s="266"/>
      <c r="G1232" s="288"/>
      <c r="H1232" s="291"/>
      <c r="I1232" s="292"/>
      <c r="J1232" s="292"/>
      <c r="K1232" s="291"/>
      <c r="L1232" s="293"/>
      <c r="M1232" s="287"/>
      <c r="O1232" s="286"/>
      <c r="P1232" s="269"/>
      <c r="Q1232" s="269"/>
      <c r="R1232" s="269"/>
    </row>
    <row r="1233" spans="1:18" s="285" customFormat="1" ht="39.6" customHeight="1" x14ac:dyDescent="0.25">
      <c r="A1233" s="276"/>
      <c r="B1233" s="276"/>
      <c r="C1233" s="276"/>
      <c r="D1233" s="288"/>
      <c r="E1233" s="290"/>
      <c r="F1233" s="266"/>
      <c r="G1233" s="288"/>
      <c r="H1233" s="291"/>
      <c r="I1233" s="292"/>
      <c r="J1233" s="292"/>
      <c r="K1233" s="291"/>
      <c r="L1233" s="293"/>
      <c r="M1233" s="287"/>
      <c r="O1233" s="286"/>
      <c r="P1233" s="269"/>
      <c r="Q1233" s="269"/>
      <c r="R1233" s="269"/>
    </row>
    <row r="1234" spans="1:18" s="285" customFormat="1" ht="39.6" customHeight="1" x14ac:dyDescent="0.25">
      <c r="A1234" s="276"/>
      <c r="B1234" s="276"/>
      <c r="C1234" s="276"/>
      <c r="D1234" s="288"/>
      <c r="E1234" s="290"/>
      <c r="F1234" s="266"/>
      <c r="G1234" s="288"/>
      <c r="H1234" s="291"/>
      <c r="I1234" s="292"/>
      <c r="J1234" s="292"/>
      <c r="K1234" s="291"/>
      <c r="L1234" s="293"/>
      <c r="M1234" s="287"/>
      <c r="O1234" s="286"/>
      <c r="P1234" s="269"/>
      <c r="Q1234" s="269"/>
      <c r="R1234" s="269"/>
    </row>
    <row r="1235" spans="1:18" s="285" customFormat="1" ht="39.6" customHeight="1" x14ac:dyDescent="0.25">
      <c r="A1235" s="276"/>
      <c r="B1235" s="276"/>
      <c r="C1235" s="276"/>
      <c r="D1235" s="288"/>
      <c r="E1235" s="290"/>
      <c r="F1235" s="266"/>
      <c r="G1235" s="288"/>
      <c r="H1235" s="291"/>
      <c r="I1235" s="292"/>
      <c r="J1235" s="292"/>
      <c r="K1235" s="291"/>
      <c r="L1235" s="293"/>
      <c r="M1235" s="287"/>
      <c r="O1235" s="286"/>
      <c r="P1235" s="269"/>
      <c r="Q1235" s="269"/>
      <c r="R1235" s="269"/>
    </row>
    <row r="1236" spans="1:18" s="285" customFormat="1" ht="39.6" customHeight="1" x14ac:dyDescent="0.25">
      <c r="A1236" s="276"/>
      <c r="B1236" s="276"/>
      <c r="C1236" s="276"/>
      <c r="D1236" s="288"/>
      <c r="E1236" s="290"/>
      <c r="F1236" s="266"/>
      <c r="G1236" s="288"/>
      <c r="H1236" s="291"/>
      <c r="I1236" s="292"/>
      <c r="J1236" s="292"/>
      <c r="K1236" s="291"/>
      <c r="L1236" s="293"/>
      <c r="M1236" s="287"/>
      <c r="O1236" s="286"/>
      <c r="P1236" s="269"/>
      <c r="Q1236" s="269"/>
      <c r="R1236" s="269"/>
    </row>
    <row r="1237" spans="1:18" s="285" customFormat="1" ht="39.6" customHeight="1" x14ac:dyDescent="0.25">
      <c r="A1237" s="276"/>
      <c r="B1237" s="276"/>
      <c r="C1237" s="276"/>
      <c r="D1237" s="288"/>
      <c r="E1237" s="290"/>
      <c r="F1237" s="266"/>
      <c r="G1237" s="288"/>
      <c r="H1237" s="291"/>
      <c r="I1237" s="292"/>
      <c r="J1237" s="292"/>
      <c r="K1237" s="291"/>
      <c r="L1237" s="293"/>
      <c r="M1237" s="287"/>
      <c r="O1237" s="286"/>
      <c r="P1237" s="269"/>
      <c r="Q1237" s="269"/>
      <c r="R1237" s="269"/>
    </row>
    <row r="1238" spans="1:18" s="285" customFormat="1" ht="39.6" customHeight="1" x14ac:dyDescent="0.25">
      <c r="A1238" s="276"/>
      <c r="B1238" s="276"/>
      <c r="C1238" s="276"/>
      <c r="D1238" s="288"/>
      <c r="E1238" s="290"/>
      <c r="F1238" s="266"/>
      <c r="G1238" s="288"/>
      <c r="H1238" s="291"/>
      <c r="I1238" s="292"/>
      <c r="J1238" s="292"/>
      <c r="K1238" s="291"/>
      <c r="L1238" s="293"/>
      <c r="M1238" s="287"/>
      <c r="O1238" s="286"/>
      <c r="P1238" s="269"/>
      <c r="Q1238" s="269"/>
      <c r="R1238" s="269"/>
    </row>
    <row r="1239" spans="1:18" s="285" customFormat="1" ht="39.6" customHeight="1" x14ac:dyDescent="0.25">
      <c r="A1239" s="276"/>
      <c r="B1239" s="276"/>
      <c r="C1239" s="276"/>
      <c r="D1239" s="288"/>
      <c r="E1239" s="290"/>
      <c r="F1239" s="266"/>
      <c r="G1239" s="288"/>
      <c r="H1239" s="291"/>
      <c r="I1239" s="292"/>
      <c r="J1239" s="292"/>
      <c r="K1239" s="291"/>
      <c r="L1239" s="293"/>
      <c r="M1239" s="287"/>
      <c r="O1239" s="286"/>
      <c r="P1239" s="269"/>
      <c r="Q1239" s="269"/>
      <c r="R1239" s="269"/>
    </row>
    <row r="1240" spans="1:18" s="285" customFormat="1" ht="39.6" customHeight="1" x14ac:dyDescent="0.25">
      <c r="A1240" s="276"/>
      <c r="B1240" s="276"/>
      <c r="C1240" s="276"/>
      <c r="D1240" s="288"/>
      <c r="E1240" s="290"/>
      <c r="F1240" s="266"/>
      <c r="G1240" s="288"/>
      <c r="H1240" s="291"/>
      <c r="I1240" s="292"/>
      <c r="J1240" s="292"/>
      <c r="K1240" s="291"/>
      <c r="L1240" s="293"/>
      <c r="M1240" s="287"/>
      <c r="O1240" s="286"/>
      <c r="P1240" s="269"/>
      <c r="Q1240" s="269"/>
      <c r="R1240" s="269"/>
    </row>
    <row r="1241" spans="1:18" s="285" customFormat="1" ht="39.6" customHeight="1" x14ac:dyDescent="0.25">
      <c r="A1241" s="276"/>
      <c r="B1241" s="276"/>
      <c r="C1241" s="276"/>
      <c r="D1241" s="288"/>
      <c r="E1241" s="290"/>
      <c r="F1241" s="266"/>
      <c r="G1241" s="288"/>
      <c r="H1241" s="291"/>
      <c r="I1241" s="292"/>
      <c r="J1241" s="292"/>
      <c r="K1241" s="291"/>
      <c r="L1241" s="293"/>
      <c r="M1241" s="287"/>
      <c r="O1241" s="286"/>
      <c r="P1241" s="269"/>
      <c r="Q1241" s="269"/>
      <c r="R1241" s="269"/>
    </row>
    <row r="1242" spans="1:18" s="285" customFormat="1" ht="39.6" customHeight="1" x14ac:dyDescent="0.25">
      <c r="A1242" s="276"/>
      <c r="B1242" s="276"/>
      <c r="C1242" s="276"/>
      <c r="D1242" s="288"/>
      <c r="E1242" s="290"/>
      <c r="F1242" s="266"/>
      <c r="G1242" s="288"/>
      <c r="H1242" s="291"/>
      <c r="I1242" s="292"/>
      <c r="J1242" s="292"/>
      <c r="K1242" s="291"/>
      <c r="L1242" s="293"/>
      <c r="M1242" s="287"/>
      <c r="O1242" s="286"/>
      <c r="P1242" s="269"/>
      <c r="Q1242" s="269"/>
      <c r="R1242" s="269"/>
    </row>
    <row r="1243" spans="1:18" s="285" customFormat="1" ht="39.6" customHeight="1" x14ac:dyDescent="0.25">
      <c r="A1243" s="276"/>
      <c r="B1243" s="276"/>
      <c r="C1243" s="276"/>
      <c r="D1243" s="288"/>
      <c r="E1243" s="290"/>
      <c r="F1243" s="266"/>
      <c r="G1243" s="288"/>
      <c r="H1243" s="291"/>
      <c r="I1243" s="292"/>
      <c r="J1243" s="292"/>
      <c r="K1243" s="291"/>
      <c r="L1243" s="293"/>
      <c r="M1243" s="287"/>
      <c r="O1243" s="286"/>
      <c r="P1243" s="269"/>
      <c r="Q1243" s="269"/>
      <c r="R1243" s="269"/>
    </row>
    <row r="1244" spans="1:18" s="285" customFormat="1" ht="39.6" customHeight="1" x14ac:dyDescent="0.25">
      <c r="A1244" s="276"/>
      <c r="B1244" s="276"/>
      <c r="C1244" s="276"/>
      <c r="D1244" s="288"/>
      <c r="E1244" s="290"/>
      <c r="F1244" s="266"/>
      <c r="G1244" s="288"/>
      <c r="H1244" s="291"/>
      <c r="I1244" s="292"/>
      <c r="J1244" s="292"/>
      <c r="K1244" s="291"/>
      <c r="L1244" s="293"/>
      <c r="M1244" s="287"/>
      <c r="O1244" s="286"/>
      <c r="P1244" s="269"/>
      <c r="Q1244" s="269"/>
      <c r="R1244" s="269"/>
    </row>
    <row r="1245" spans="1:18" s="285" customFormat="1" ht="39.6" customHeight="1" x14ac:dyDescent="0.25">
      <c r="A1245" s="276"/>
      <c r="B1245" s="276"/>
      <c r="C1245" s="276"/>
      <c r="D1245" s="288"/>
      <c r="E1245" s="290"/>
      <c r="F1245" s="266"/>
      <c r="G1245" s="288"/>
      <c r="H1245" s="291"/>
      <c r="I1245" s="292"/>
      <c r="J1245" s="292"/>
      <c r="K1245" s="291"/>
      <c r="L1245" s="293"/>
      <c r="M1245" s="287"/>
      <c r="O1245" s="286"/>
      <c r="P1245" s="269"/>
      <c r="Q1245" s="269"/>
      <c r="R1245" s="269"/>
    </row>
    <row r="1246" spans="1:18" s="285" customFormat="1" ht="39.6" customHeight="1" x14ac:dyDescent="0.25">
      <c r="A1246" s="276"/>
      <c r="B1246" s="276"/>
      <c r="C1246" s="276"/>
      <c r="D1246" s="288"/>
      <c r="E1246" s="290"/>
      <c r="F1246" s="266"/>
      <c r="G1246" s="288"/>
      <c r="H1246" s="291"/>
      <c r="I1246" s="292"/>
      <c r="J1246" s="292"/>
      <c r="K1246" s="291"/>
      <c r="L1246" s="293"/>
      <c r="M1246" s="287"/>
      <c r="O1246" s="286"/>
      <c r="P1246" s="269"/>
      <c r="Q1246" s="269"/>
      <c r="R1246" s="269"/>
    </row>
    <row r="1247" spans="1:18" s="285" customFormat="1" ht="39.6" customHeight="1" x14ac:dyDescent="0.25">
      <c r="A1247" s="276"/>
      <c r="B1247" s="276"/>
      <c r="C1247" s="276"/>
      <c r="D1247" s="288"/>
      <c r="E1247" s="290"/>
      <c r="F1247" s="266"/>
      <c r="G1247" s="288"/>
      <c r="H1247" s="291"/>
      <c r="I1247" s="292"/>
      <c r="J1247" s="292"/>
      <c r="K1247" s="291"/>
      <c r="L1247" s="293"/>
      <c r="M1247" s="287"/>
      <c r="O1247" s="286"/>
      <c r="P1247" s="269"/>
      <c r="Q1247" s="269"/>
      <c r="R1247" s="269"/>
    </row>
    <row r="1248" spans="1:18" s="285" customFormat="1" ht="39.6" customHeight="1" x14ac:dyDescent="0.25">
      <c r="A1248" s="276"/>
      <c r="B1248" s="276"/>
      <c r="C1248" s="276"/>
      <c r="D1248" s="288"/>
      <c r="E1248" s="290"/>
      <c r="F1248" s="266"/>
      <c r="G1248" s="288"/>
      <c r="H1248" s="291"/>
      <c r="I1248" s="292"/>
      <c r="J1248" s="292"/>
      <c r="K1248" s="291"/>
      <c r="L1248" s="293"/>
      <c r="M1248" s="287"/>
      <c r="O1248" s="286"/>
      <c r="P1248" s="269"/>
      <c r="Q1248" s="269"/>
      <c r="R1248" s="269"/>
    </row>
    <row r="1249" spans="1:18" s="285" customFormat="1" ht="39.6" customHeight="1" x14ac:dyDescent="0.25">
      <c r="A1249" s="276"/>
      <c r="B1249" s="276"/>
      <c r="C1249" s="276"/>
      <c r="D1249" s="288"/>
      <c r="E1249" s="290"/>
      <c r="F1249" s="266"/>
      <c r="G1249" s="288"/>
      <c r="H1249" s="291"/>
      <c r="I1249" s="292"/>
      <c r="J1249" s="292"/>
      <c r="K1249" s="291"/>
      <c r="L1249" s="293"/>
      <c r="M1249" s="287"/>
      <c r="O1249" s="286"/>
      <c r="P1249" s="269"/>
      <c r="Q1249" s="269"/>
      <c r="R1249" s="269"/>
    </row>
    <row r="1250" spans="1:18" s="285" customFormat="1" ht="39.6" customHeight="1" x14ac:dyDescent="0.25">
      <c r="A1250" s="276"/>
      <c r="B1250" s="276"/>
      <c r="C1250" s="276"/>
      <c r="D1250" s="288"/>
      <c r="E1250" s="290"/>
      <c r="F1250" s="266"/>
      <c r="G1250" s="288"/>
      <c r="H1250" s="291"/>
      <c r="I1250" s="292"/>
      <c r="J1250" s="292"/>
      <c r="K1250" s="291"/>
      <c r="L1250" s="293"/>
      <c r="M1250" s="287"/>
      <c r="O1250" s="286"/>
      <c r="P1250" s="269"/>
      <c r="Q1250" s="269"/>
      <c r="R1250" s="269"/>
    </row>
    <row r="1251" spans="1:18" s="285" customFormat="1" ht="39.6" customHeight="1" x14ac:dyDescent="0.25">
      <c r="A1251" s="276"/>
      <c r="B1251" s="276"/>
      <c r="C1251" s="276"/>
      <c r="D1251" s="288"/>
      <c r="E1251" s="290"/>
      <c r="F1251" s="266"/>
      <c r="G1251" s="288"/>
      <c r="H1251" s="291"/>
      <c r="I1251" s="292"/>
      <c r="J1251" s="292"/>
      <c r="K1251" s="291"/>
      <c r="L1251" s="293"/>
      <c r="M1251" s="287"/>
      <c r="O1251" s="286"/>
      <c r="P1251" s="269"/>
      <c r="Q1251" s="269"/>
      <c r="R1251" s="269"/>
    </row>
    <row r="1252" spans="1:18" s="285" customFormat="1" ht="39.6" customHeight="1" x14ac:dyDescent="0.25">
      <c r="A1252" s="276"/>
      <c r="B1252" s="276"/>
      <c r="C1252" s="276"/>
      <c r="D1252" s="288"/>
      <c r="E1252" s="290"/>
      <c r="F1252" s="266"/>
      <c r="G1252" s="288"/>
      <c r="H1252" s="291"/>
      <c r="I1252" s="292"/>
      <c r="J1252" s="292"/>
      <c r="K1252" s="291"/>
      <c r="L1252" s="293"/>
      <c r="M1252" s="287"/>
      <c r="O1252" s="286"/>
      <c r="P1252" s="269"/>
      <c r="Q1252" s="269"/>
      <c r="R1252" s="269"/>
    </row>
    <row r="1253" spans="1:18" s="285" customFormat="1" ht="39.6" customHeight="1" x14ac:dyDescent="0.25">
      <c r="A1253" s="276"/>
      <c r="B1253" s="276"/>
      <c r="C1253" s="276"/>
      <c r="D1253" s="288"/>
      <c r="E1253" s="290"/>
      <c r="F1253" s="266"/>
      <c r="G1253" s="288"/>
      <c r="H1253" s="291"/>
      <c r="I1253" s="292"/>
      <c r="J1253" s="292"/>
      <c r="K1253" s="291"/>
      <c r="L1253" s="293"/>
      <c r="M1253" s="287"/>
      <c r="O1253" s="286"/>
      <c r="P1253" s="269"/>
      <c r="Q1253" s="269"/>
      <c r="R1253" s="269"/>
    </row>
    <row r="1254" spans="1:18" s="285" customFormat="1" ht="39.6" customHeight="1" x14ac:dyDescent="0.25">
      <c r="A1254" s="276"/>
      <c r="B1254" s="276"/>
      <c r="C1254" s="276"/>
      <c r="D1254" s="288"/>
      <c r="E1254" s="290"/>
      <c r="F1254" s="266"/>
      <c r="G1254" s="288"/>
      <c r="H1254" s="291"/>
      <c r="I1254" s="292"/>
      <c r="J1254" s="292"/>
      <c r="K1254" s="291"/>
      <c r="L1254" s="293"/>
      <c r="M1254" s="287"/>
      <c r="O1254" s="286"/>
      <c r="P1254" s="269"/>
      <c r="Q1254" s="269"/>
      <c r="R1254" s="269"/>
    </row>
    <row r="1255" spans="1:18" s="285" customFormat="1" ht="39.6" customHeight="1" x14ac:dyDescent="0.25">
      <c r="A1255" s="276"/>
      <c r="B1255" s="276"/>
      <c r="C1255" s="276"/>
      <c r="D1255" s="288"/>
      <c r="E1255" s="290"/>
      <c r="F1255" s="266"/>
      <c r="G1255" s="288"/>
      <c r="H1255" s="291"/>
      <c r="I1255" s="292"/>
      <c r="J1255" s="292"/>
      <c r="K1255" s="291"/>
      <c r="L1255" s="293"/>
      <c r="M1255" s="287"/>
      <c r="O1255" s="286"/>
      <c r="P1255" s="269"/>
      <c r="Q1255" s="269"/>
      <c r="R1255" s="269"/>
    </row>
    <row r="1256" spans="1:18" s="285" customFormat="1" ht="39.6" customHeight="1" x14ac:dyDescent="0.25">
      <c r="A1256" s="276"/>
      <c r="B1256" s="276"/>
      <c r="C1256" s="276"/>
      <c r="D1256" s="288"/>
      <c r="E1256" s="290"/>
      <c r="F1256" s="266"/>
      <c r="G1256" s="288"/>
      <c r="H1256" s="291"/>
      <c r="I1256" s="292"/>
      <c r="J1256" s="292"/>
      <c r="K1256" s="291"/>
      <c r="L1256" s="293"/>
      <c r="M1256" s="287"/>
      <c r="O1256" s="286"/>
      <c r="P1256" s="269"/>
      <c r="Q1256" s="269"/>
      <c r="R1256" s="269"/>
    </row>
    <row r="1257" spans="1:18" s="285" customFormat="1" ht="39.6" customHeight="1" x14ac:dyDescent="0.25">
      <c r="A1257" s="276"/>
      <c r="B1257" s="276"/>
      <c r="C1257" s="276"/>
      <c r="D1257" s="288"/>
      <c r="E1257" s="290"/>
      <c r="F1257" s="266"/>
      <c r="G1257" s="288"/>
      <c r="H1257" s="291"/>
      <c r="I1257" s="292"/>
      <c r="J1257" s="292"/>
      <c r="K1257" s="291"/>
      <c r="L1257" s="293"/>
      <c r="M1257" s="287"/>
      <c r="O1257" s="286"/>
      <c r="P1257" s="269"/>
      <c r="Q1257" s="269"/>
      <c r="R1257" s="269"/>
    </row>
    <row r="1258" spans="1:18" s="285" customFormat="1" ht="39.6" customHeight="1" x14ac:dyDescent="0.25">
      <c r="A1258" s="276"/>
      <c r="B1258" s="276"/>
      <c r="C1258" s="276"/>
      <c r="D1258" s="288"/>
      <c r="E1258" s="290"/>
      <c r="F1258" s="266"/>
      <c r="G1258" s="288"/>
      <c r="H1258" s="291"/>
      <c r="I1258" s="292"/>
      <c r="J1258" s="292"/>
      <c r="K1258" s="291"/>
      <c r="L1258" s="293"/>
      <c r="M1258" s="287"/>
      <c r="O1258" s="286"/>
      <c r="P1258" s="269"/>
      <c r="Q1258" s="269"/>
      <c r="R1258" s="269"/>
    </row>
    <row r="1259" spans="1:18" s="285" customFormat="1" ht="39.6" customHeight="1" x14ac:dyDescent="0.25">
      <c r="A1259" s="276"/>
      <c r="B1259" s="276"/>
      <c r="C1259" s="276"/>
      <c r="D1259" s="288"/>
      <c r="E1259" s="290"/>
      <c r="F1259" s="266"/>
      <c r="G1259" s="288"/>
      <c r="H1259" s="291"/>
      <c r="I1259" s="292"/>
      <c r="J1259" s="292"/>
      <c r="K1259" s="291"/>
      <c r="L1259" s="293"/>
      <c r="M1259" s="287"/>
      <c r="O1259" s="286"/>
      <c r="P1259" s="269"/>
      <c r="Q1259" s="269"/>
      <c r="R1259" s="269"/>
    </row>
    <row r="1260" spans="1:18" s="285" customFormat="1" ht="39.6" customHeight="1" x14ac:dyDescent="0.25">
      <c r="A1260" s="276"/>
      <c r="B1260" s="276"/>
      <c r="C1260" s="276"/>
      <c r="D1260" s="288"/>
      <c r="E1260" s="290"/>
      <c r="F1260" s="266"/>
      <c r="G1260" s="288"/>
      <c r="H1260" s="291"/>
      <c r="I1260" s="292"/>
      <c r="J1260" s="292"/>
      <c r="K1260" s="291"/>
      <c r="L1260" s="293"/>
      <c r="M1260" s="287"/>
      <c r="O1260" s="286"/>
      <c r="P1260" s="269"/>
      <c r="Q1260" s="269"/>
      <c r="R1260" s="269"/>
    </row>
    <row r="1261" spans="1:18" s="285" customFormat="1" ht="39.6" customHeight="1" x14ac:dyDescent="0.25">
      <c r="A1261" s="276"/>
      <c r="B1261" s="276"/>
      <c r="C1261" s="276"/>
      <c r="D1261" s="288"/>
      <c r="E1261" s="290"/>
      <c r="F1261" s="266"/>
      <c r="G1261" s="288"/>
      <c r="H1261" s="291"/>
      <c r="I1261" s="292"/>
      <c r="J1261" s="292"/>
      <c r="K1261" s="291"/>
      <c r="L1261" s="293"/>
      <c r="M1261" s="287"/>
      <c r="O1261" s="286"/>
      <c r="P1261" s="269"/>
      <c r="Q1261" s="269"/>
      <c r="R1261" s="269"/>
    </row>
    <row r="1262" spans="1:18" s="285" customFormat="1" ht="39.6" customHeight="1" x14ac:dyDescent="0.25">
      <c r="A1262" s="276"/>
      <c r="B1262" s="276"/>
      <c r="C1262" s="276"/>
      <c r="D1262" s="288"/>
      <c r="E1262" s="290"/>
      <c r="F1262" s="266"/>
      <c r="G1262" s="288"/>
      <c r="H1262" s="291"/>
      <c r="I1262" s="292"/>
      <c r="J1262" s="292"/>
      <c r="K1262" s="291"/>
      <c r="L1262" s="293"/>
      <c r="M1262" s="287"/>
      <c r="O1262" s="286"/>
      <c r="P1262" s="269"/>
      <c r="Q1262" s="269"/>
      <c r="R1262" s="269"/>
    </row>
    <row r="1263" spans="1:18" s="285" customFormat="1" ht="39.6" customHeight="1" x14ac:dyDescent="0.25">
      <c r="A1263" s="276"/>
      <c r="B1263" s="276"/>
      <c r="C1263" s="276"/>
      <c r="D1263" s="288"/>
      <c r="E1263" s="290"/>
      <c r="F1263" s="266"/>
      <c r="G1263" s="288"/>
      <c r="H1263" s="291"/>
      <c r="I1263" s="292"/>
      <c r="J1263" s="292"/>
      <c r="K1263" s="291"/>
      <c r="L1263" s="293"/>
      <c r="M1263" s="287"/>
      <c r="O1263" s="286"/>
      <c r="P1263" s="269"/>
      <c r="Q1263" s="269"/>
      <c r="R1263" s="269"/>
    </row>
    <row r="1264" spans="1:18" s="285" customFormat="1" ht="39.6" customHeight="1" x14ac:dyDescent="0.25">
      <c r="A1264" s="276"/>
      <c r="B1264" s="276"/>
      <c r="C1264" s="276"/>
      <c r="D1264" s="288"/>
      <c r="E1264" s="290"/>
      <c r="F1264" s="266"/>
      <c r="G1264" s="288"/>
      <c r="H1264" s="291"/>
      <c r="I1264" s="292"/>
      <c r="J1264" s="292"/>
      <c r="K1264" s="291"/>
      <c r="L1264" s="293"/>
      <c r="M1264" s="287"/>
      <c r="O1264" s="286"/>
      <c r="P1264" s="269"/>
      <c r="Q1264" s="269"/>
      <c r="R1264" s="269"/>
    </row>
    <row r="1265" spans="1:18" s="285" customFormat="1" ht="39.6" customHeight="1" x14ac:dyDescent="0.25">
      <c r="A1265" s="276"/>
      <c r="B1265" s="276"/>
      <c r="C1265" s="276"/>
      <c r="D1265" s="288"/>
      <c r="E1265" s="290"/>
      <c r="F1265" s="266"/>
      <c r="G1265" s="288"/>
      <c r="H1265" s="291"/>
      <c r="I1265" s="292"/>
      <c r="J1265" s="292"/>
      <c r="K1265" s="291"/>
      <c r="L1265" s="293"/>
      <c r="M1265" s="287"/>
      <c r="O1265" s="286"/>
      <c r="P1265" s="269"/>
      <c r="Q1265" s="269"/>
      <c r="R1265" s="269"/>
    </row>
    <row r="1266" spans="1:18" s="285" customFormat="1" ht="39.6" customHeight="1" x14ac:dyDescent="0.25">
      <c r="A1266" s="276"/>
      <c r="B1266" s="276"/>
      <c r="C1266" s="276"/>
      <c r="D1266" s="288"/>
      <c r="E1266" s="290"/>
      <c r="F1266" s="266"/>
      <c r="G1266" s="288"/>
      <c r="H1266" s="291"/>
      <c r="I1266" s="292"/>
      <c r="J1266" s="292"/>
      <c r="K1266" s="291"/>
      <c r="L1266" s="293"/>
      <c r="M1266" s="287"/>
      <c r="O1266" s="286"/>
      <c r="P1266" s="269"/>
      <c r="Q1266" s="269"/>
      <c r="R1266" s="269"/>
    </row>
    <row r="1267" spans="1:18" s="285" customFormat="1" ht="39.6" customHeight="1" x14ac:dyDescent="0.25">
      <c r="A1267" s="276"/>
      <c r="B1267" s="276"/>
      <c r="C1267" s="276"/>
      <c r="D1267" s="288"/>
      <c r="E1267" s="290"/>
      <c r="F1267" s="266"/>
      <c r="G1267" s="288"/>
      <c r="H1267" s="291"/>
      <c r="I1267" s="292"/>
      <c r="J1267" s="292"/>
      <c r="K1267" s="291"/>
      <c r="L1267" s="293"/>
      <c r="M1267" s="287"/>
      <c r="O1267" s="286"/>
      <c r="P1267" s="269"/>
      <c r="Q1267" s="269"/>
      <c r="R1267" s="269"/>
    </row>
    <row r="1268" spans="1:18" s="285" customFormat="1" ht="39.6" customHeight="1" x14ac:dyDescent="0.25">
      <c r="A1268" s="276"/>
      <c r="B1268" s="276"/>
      <c r="C1268" s="276"/>
      <c r="D1268" s="288"/>
      <c r="E1268" s="290"/>
      <c r="F1268" s="266"/>
      <c r="G1268" s="288"/>
      <c r="H1268" s="291"/>
      <c r="I1268" s="292"/>
      <c r="J1268" s="292"/>
      <c r="K1268" s="291"/>
      <c r="L1268" s="293"/>
      <c r="M1268" s="287"/>
      <c r="O1268" s="286"/>
      <c r="P1268" s="269"/>
      <c r="Q1268" s="269"/>
      <c r="R1268" s="269"/>
    </row>
    <row r="1269" spans="1:18" s="285" customFormat="1" ht="39.6" customHeight="1" x14ac:dyDescent="0.25">
      <c r="A1269" s="276"/>
      <c r="B1269" s="276"/>
      <c r="C1269" s="276"/>
      <c r="D1269" s="288"/>
      <c r="E1269" s="290"/>
      <c r="F1269" s="266"/>
      <c r="G1269" s="288"/>
      <c r="H1269" s="291"/>
      <c r="I1269" s="292"/>
      <c r="J1269" s="292"/>
      <c r="K1269" s="291"/>
      <c r="L1269" s="293"/>
      <c r="M1269" s="287"/>
      <c r="O1269" s="286"/>
      <c r="P1269" s="269"/>
      <c r="Q1269" s="269"/>
      <c r="R1269" s="269"/>
    </row>
    <row r="1270" spans="1:18" s="285" customFormat="1" ht="39.6" customHeight="1" x14ac:dyDescent="0.25">
      <c r="A1270" s="276"/>
      <c r="B1270" s="276"/>
      <c r="C1270" s="276"/>
      <c r="D1270" s="288"/>
      <c r="E1270" s="290"/>
      <c r="F1270" s="266"/>
      <c r="G1270" s="288"/>
      <c r="H1270" s="291"/>
      <c r="I1270" s="292"/>
      <c r="J1270" s="292"/>
      <c r="K1270" s="291"/>
      <c r="L1270" s="293"/>
      <c r="M1270" s="287"/>
      <c r="O1270" s="286"/>
      <c r="P1270" s="269"/>
      <c r="Q1270" s="269"/>
      <c r="R1270" s="269"/>
    </row>
    <row r="1271" spans="1:18" s="285" customFormat="1" ht="39.6" customHeight="1" x14ac:dyDescent="0.25">
      <c r="A1271" s="276"/>
      <c r="B1271" s="276"/>
      <c r="C1271" s="276"/>
      <c r="D1271" s="288"/>
      <c r="E1271" s="290"/>
      <c r="F1271" s="266"/>
      <c r="G1271" s="288"/>
      <c r="H1271" s="291"/>
      <c r="I1271" s="292"/>
      <c r="J1271" s="292"/>
      <c r="K1271" s="291"/>
      <c r="L1271" s="293"/>
      <c r="M1271" s="287"/>
      <c r="O1271" s="286"/>
      <c r="P1271" s="269"/>
      <c r="Q1271" s="269"/>
      <c r="R1271" s="269"/>
    </row>
    <row r="1272" spans="1:18" s="285" customFormat="1" ht="39.6" customHeight="1" x14ac:dyDescent="0.25">
      <c r="A1272" s="276"/>
      <c r="B1272" s="276"/>
      <c r="C1272" s="276"/>
      <c r="D1272" s="288"/>
      <c r="E1272" s="290"/>
      <c r="F1272" s="266"/>
      <c r="G1272" s="288"/>
      <c r="H1272" s="291"/>
      <c r="I1272" s="292"/>
      <c r="J1272" s="292"/>
      <c r="K1272" s="291"/>
      <c r="L1272" s="293"/>
      <c r="M1272" s="287"/>
      <c r="O1272" s="286"/>
      <c r="P1272" s="269"/>
      <c r="Q1272" s="269"/>
      <c r="R1272" s="269"/>
    </row>
    <row r="1273" spans="1:18" s="285" customFormat="1" ht="39.6" customHeight="1" x14ac:dyDescent="0.25">
      <c r="A1273" s="276"/>
      <c r="B1273" s="276"/>
      <c r="C1273" s="276"/>
      <c r="D1273" s="288"/>
      <c r="E1273" s="290"/>
      <c r="F1273" s="266"/>
      <c r="G1273" s="288"/>
      <c r="H1273" s="291"/>
      <c r="I1273" s="292"/>
      <c r="J1273" s="292"/>
      <c r="K1273" s="291"/>
      <c r="L1273" s="293"/>
      <c r="M1273" s="287"/>
      <c r="O1273" s="286"/>
      <c r="P1273" s="269"/>
      <c r="Q1273" s="269"/>
      <c r="R1273" s="269"/>
    </row>
    <row r="1274" spans="1:18" s="285" customFormat="1" ht="39.6" customHeight="1" x14ac:dyDescent="0.25">
      <c r="A1274" s="276"/>
      <c r="B1274" s="276"/>
      <c r="C1274" s="276"/>
      <c r="D1274" s="288"/>
      <c r="E1274" s="290"/>
      <c r="F1274" s="266"/>
      <c r="G1274" s="288"/>
      <c r="H1274" s="291"/>
      <c r="I1274" s="292"/>
      <c r="J1274" s="292"/>
      <c r="K1274" s="291"/>
      <c r="L1274" s="293"/>
      <c r="M1274" s="287"/>
      <c r="O1274" s="286"/>
      <c r="P1274" s="269"/>
      <c r="Q1274" s="269"/>
      <c r="R1274" s="269"/>
    </row>
    <row r="1275" spans="1:18" s="285" customFormat="1" ht="39.6" customHeight="1" x14ac:dyDescent="0.25">
      <c r="A1275" s="276"/>
      <c r="B1275" s="276"/>
      <c r="C1275" s="276"/>
      <c r="D1275" s="288"/>
      <c r="E1275" s="290"/>
      <c r="F1275" s="266"/>
      <c r="G1275" s="288"/>
      <c r="H1275" s="291"/>
      <c r="I1275" s="292"/>
      <c r="J1275" s="292"/>
      <c r="K1275" s="291"/>
      <c r="L1275" s="293"/>
      <c r="M1275" s="287"/>
      <c r="O1275" s="286"/>
      <c r="P1275" s="269"/>
      <c r="Q1275" s="269"/>
      <c r="R1275" s="269"/>
    </row>
    <row r="1276" spans="1:18" s="285" customFormat="1" ht="39.6" customHeight="1" x14ac:dyDescent="0.25">
      <c r="A1276" s="276"/>
      <c r="B1276" s="276"/>
      <c r="C1276" s="276"/>
      <c r="D1276" s="288"/>
      <c r="E1276" s="290"/>
      <c r="F1276" s="266"/>
      <c r="G1276" s="288"/>
      <c r="H1276" s="291"/>
      <c r="I1276" s="292"/>
      <c r="J1276" s="292"/>
      <c r="K1276" s="291"/>
      <c r="L1276" s="293"/>
      <c r="M1276" s="287"/>
      <c r="O1276" s="286"/>
      <c r="P1276" s="269"/>
      <c r="Q1276" s="269"/>
      <c r="R1276" s="269"/>
    </row>
    <row r="1277" spans="1:18" s="285" customFormat="1" ht="39.6" customHeight="1" x14ac:dyDescent="0.25">
      <c r="A1277" s="276"/>
      <c r="B1277" s="276"/>
      <c r="C1277" s="276"/>
      <c r="D1277" s="288"/>
      <c r="E1277" s="290"/>
      <c r="F1277" s="266"/>
      <c r="G1277" s="288"/>
      <c r="H1277" s="291"/>
      <c r="I1277" s="292"/>
      <c r="J1277" s="292"/>
      <c r="K1277" s="291"/>
      <c r="L1277" s="293"/>
      <c r="M1277" s="287"/>
      <c r="O1277" s="286"/>
      <c r="P1277" s="269"/>
      <c r="Q1277" s="269"/>
      <c r="R1277" s="269"/>
    </row>
    <row r="1278" spans="1:18" s="285" customFormat="1" ht="39.6" customHeight="1" x14ac:dyDescent="0.25">
      <c r="A1278" s="276"/>
      <c r="B1278" s="276"/>
      <c r="C1278" s="276"/>
      <c r="D1278" s="288"/>
      <c r="E1278" s="290"/>
      <c r="F1278" s="266"/>
      <c r="G1278" s="288"/>
      <c r="H1278" s="291"/>
      <c r="I1278" s="292"/>
      <c r="J1278" s="292"/>
      <c r="K1278" s="291"/>
      <c r="L1278" s="293"/>
      <c r="M1278" s="287"/>
      <c r="O1278" s="286"/>
      <c r="P1278" s="269"/>
      <c r="Q1278" s="269"/>
      <c r="R1278" s="269"/>
    </row>
    <row r="1279" spans="1:18" s="285" customFormat="1" ht="39.6" customHeight="1" x14ac:dyDescent="0.25">
      <c r="A1279" s="276"/>
      <c r="B1279" s="276"/>
      <c r="C1279" s="276"/>
      <c r="D1279" s="288"/>
      <c r="E1279" s="290"/>
      <c r="F1279" s="266"/>
      <c r="G1279" s="288"/>
      <c r="H1279" s="291"/>
      <c r="I1279" s="292"/>
      <c r="J1279" s="292"/>
      <c r="K1279" s="291"/>
      <c r="L1279" s="293"/>
      <c r="M1279" s="287"/>
      <c r="O1279" s="286"/>
      <c r="P1279" s="269"/>
      <c r="Q1279" s="269"/>
      <c r="R1279" s="269"/>
    </row>
    <row r="1280" spans="1:18" s="285" customFormat="1" ht="39.6" customHeight="1" x14ac:dyDescent="0.25">
      <c r="A1280" s="276"/>
      <c r="B1280" s="276"/>
      <c r="C1280" s="276"/>
      <c r="D1280" s="288"/>
      <c r="E1280" s="290"/>
      <c r="F1280" s="266"/>
      <c r="G1280" s="288"/>
      <c r="H1280" s="291"/>
      <c r="I1280" s="292"/>
      <c r="J1280" s="292"/>
      <c r="K1280" s="291"/>
      <c r="L1280" s="293"/>
      <c r="M1280" s="287"/>
      <c r="O1280" s="286"/>
      <c r="P1280" s="269"/>
      <c r="Q1280" s="269"/>
      <c r="R1280" s="269"/>
    </row>
    <row r="1281" spans="1:18" s="285" customFormat="1" ht="39.6" customHeight="1" x14ac:dyDescent="0.25">
      <c r="A1281" s="276"/>
      <c r="B1281" s="276"/>
      <c r="C1281" s="276"/>
      <c r="D1281" s="288"/>
      <c r="E1281" s="290"/>
      <c r="F1281" s="266"/>
      <c r="G1281" s="288"/>
      <c r="H1281" s="291"/>
      <c r="I1281" s="292"/>
      <c r="J1281" s="292"/>
      <c r="K1281" s="291"/>
      <c r="L1281" s="293"/>
      <c r="M1281" s="287"/>
      <c r="O1281" s="286"/>
      <c r="P1281" s="269"/>
      <c r="Q1281" s="269"/>
      <c r="R1281" s="269"/>
    </row>
    <row r="1282" spans="1:18" s="285" customFormat="1" ht="39.6" customHeight="1" x14ac:dyDescent="0.25">
      <c r="A1282" s="276"/>
      <c r="B1282" s="276"/>
      <c r="C1282" s="276"/>
      <c r="D1282" s="288"/>
      <c r="E1282" s="290"/>
      <c r="F1282" s="266"/>
      <c r="G1282" s="288"/>
      <c r="H1282" s="291"/>
      <c r="I1282" s="292"/>
      <c r="J1282" s="292"/>
      <c r="K1282" s="291"/>
      <c r="L1282" s="293"/>
      <c r="M1282" s="287"/>
      <c r="O1282" s="286"/>
      <c r="P1282" s="269"/>
      <c r="Q1282" s="269"/>
      <c r="R1282" s="269"/>
    </row>
    <row r="1283" spans="1:18" s="285" customFormat="1" ht="39.6" customHeight="1" x14ac:dyDescent="0.25">
      <c r="A1283" s="276"/>
      <c r="B1283" s="276"/>
      <c r="C1283" s="276"/>
      <c r="D1283" s="288"/>
      <c r="E1283" s="290"/>
      <c r="F1283" s="266"/>
      <c r="G1283" s="288"/>
      <c r="H1283" s="291"/>
      <c r="I1283" s="292"/>
      <c r="J1283" s="292"/>
      <c r="K1283" s="291"/>
      <c r="L1283" s="293"/>
      <c r="M1283" s="287"/>
      <c r="O1283" s="286"/>
      <c r="P1283" s="269"/>
      <c r="Q1283" s="269"/>
      <c r="R1283" s="269"/>
    </row>
    <row r="1284" spans="1:18" s="285" customFormat="1" ht="39.6" customHeight="1" x14ac:dyDescent="0.25">
      <c r="A1284" s="276"/>
      <c r="B1284" s="276"/>
      <c r="C1284" s="276"/>
      <c r="D1284" s="288"/>
      <c r="E1284" s="290"/>
      <c r="F1284" s="266"/>
      <c r="G1284" s="288"/>
      <c r="H1284" s="291"/>
      <c r="I1284" s="292"/>
      <c r="J1284" s="292"/>
      <c r="K1284" s="291"/>
      <c r="L1284" s="293"/>
      <c r="M1284" s="287"/>
      <c r="O1284" s="286"/>
      <c r="P1284" s="269"/>
      <c r="Q1284" s="269"/>
      <c r="R1284" s="269"/>
    </row>
    <row r="1285" spans="1:18" s="285" customFormat="1" ht="39.6" customHeight="1" x14ac:dyDescent="0.25">
      <c r="A1285" s="276"/>
      <c r="B1285" s="276"/>
      <c r="C1285" s="276"/>
      <c r="D1285" s="288"/>
      <c r="E1285" s="290"/>
      <c r="F1285" s="266"/>
      <c r="G1285" s="288"/>
      <c r="H1285" s="291"/>
      <c r="I1285" s="292"/>
      <c r="J1285" s="292"/>
      <c r="K1285" s="291"/>
      <c r="L1285" s="293"/>
      <c r="M1285" s="287"/>
      <c r="O1285" s="286"/>
      <c r="P1285" s="269"/>
      <c r="Q1285" s="269"/>
      <c r="R1285" s="269"/>
    </row>
    <row r="1286" spans="1:18" s="285" customFormat="1" ht="39.6" customHeight="1" x14ac:dyDescent="0.25">
      <c r="A1286" s="276"/>
      <c r="B1286" s="276"/>
      <c r="C1286" s="276"/>
      <c r="D1286" s="288"/>
      <c r="E1286" s="290"/>
      <c r="F1286" s="266"/>
      <c r="G1286" s="288"/>
      <c r="H1286" s="291"/>
      <c r="I1286" s="292"/>
      <c r="J1286" s="292"/>
      <c r="K1286" s="291"/>
      <c r="L1286" s="293"/>
      <c r="M1286" s="287"/>
      <c r="O1286" s="286"/>
      <c r="P1286" s="269"/>
      <c r="Q1286" s="269"/>
      <c r="R1286" s="269"/>
    </row>
    <row r="1287" spans="1:18" s="285" customFormat="1" ht="39.6" customHeight="1" x14ac:dyDescent="0.25">
      <c r="A1287" s="276"/>
      <c r="B1287" s="276"/>
      <c r="C1287" s="276"/>
      <c r="D1287" s="288"/>
      <c r="E1287" s="290"/>
      <c r="F1287" s="266"/>
      <c r="G1287" s="288"/>
      <c r="H1287" s="291"/>
      <c r="I1287" s="292"/>
      <c r="J1287" s="292"/>
      <c r="K1287" s="291"/>
      <c r="L1287" s="293"/>
      <c r="M1287" s="287"/>
      <c r="O1287" s="286"/>
      <c r="P1287" s="269"/>
      <c r="Q1287" s="269"/>
      <c r="R1287" s="269"/>
    </row>
    <row r="1288" spans="1:18" s="285" customFormat="1" ht="39.6" customHeight="1" x14ac:dyDescent="0.25">
      <c r="A1288" s="276"/>
      <c r="B1288" s="276"/>
      <c r="C1288" s="276"/>
      <c r="D1288" s="288"/>
      <c r="E1288" s="290"/>
      <c r="F1288" s="266"/>
      <c r="G1288" s="288"/>
      <c r="H1288" s="291"/>
      <c r="I1288" s="292"/>
      <c r="J1288" s="292"/>
      <c r="K1288" s="291"/>
      <c r="L1288" s="293"/>
      <c r="M1288" s="287"/>
      <c r="O1288" s="286"/>
      <c r="P1288" s="269"/>
      <c r="Q1288" s="269"/>
      <c r="R1288" s="269"/>
    </row>
    <row r="1289" spans="1:18" s="285" customFormat="1" ht="39.6" customHeight="1" x14ac:dyDescent="0.25">
      <c r="A1289" s="276"/>
      <c r="B1289" s="276"/>
      <c r="C1289" s="276"/>
      <c r="D1289" s="288"/>
      <c r="E1289" s="290"/>
      <c r="F1289" s="266"/>
      <c r="G1289" s="288"/>
      <c r="H1289" s="291"/>
      <c r="I1289" s="292"/>
      <c r="J1289" s="292"/>
      <c r="K1289" s="291"/>
      <c r="L1289" s="293"/>
      <c r="M1289" s="287"/>
      <c r="O1289" s="286"/>
      <c r="P1289" s="269"/>
      <c r="Q1289" s="269"/>
      <c r="R1289" s="269"/>
    </row>
    <row r="1290" spans="1:18" s="285" customFormat="1" ht="39.6" customHeight="1" x14ac:dyDescent="0.25">
      <c r="A1290" s="276"/>
      <c r="B1290" s="276"/>
      <c r="C1290" s="276"/>
      <c r="D1290" s="288"/>
      <c r="E1290" s="290"/>
      <c r="F1290" s="266"/>
      <c r="G1290" s="288"/>
      <c r="H1290" s="291"/>
      <c r="I1290" s="292"/>
      <c r="J1290" s="292"/>
      <c r="K1290" s="291"/>
      <c r="L1290" s="293"/>
      <c r="M1290" s="287"/>
      <c r="O1290" s="286"/>
      <c r="P1290" s="269"/>
      <c r="Q1290" s="269"/>
      <c r="R1290" s="269"/>
    </row>
    <row r="1291" spans="1:18" s="285" customFormat="1" ht="39.6" customHeight="1" x14ac:dyDescent="0.25">
      <c r="A1291" s="276"/>
      <c r="B1291" s="276"/>
      <c r="C1291" s="276"/>
      <c r="D1291" s="288"/>
      <c r="E1291" s="290"/>
      <c r="F1291" s="266"/>
      <c r="G1291" s="288"/>
      <c r="H1291" s="291"/>
      <c r="I1291" s="292"/>
      <c r="J1291" s="292"/>
      <c r="K1291" s="291"/>
      <c r="L1291" s="293"/>
      <c r="M1291" s="287"/>
      <c r="O1291" s="286"/>
      <c r="P1291" s="269"/>
      <c r="Q1291" s="269"/>
      <c r="R1291" s="269"/>
    </row>
    <row r="1292" spans="1:18" s="285" customFormat="1" ht="39.6" customHeight="1" x14ac:dyDescent="0.25">
      <c r="A1292" s="276"/>
      <c r="B1292" s="276"/>
      <c r="C1292" s="276"/>
      <c r="D1292" s="288"/>
      <c r="E1292" s="290"/>
      <c r="F1292" s="266"/>
      <c r="G1292" s="288"/>
      <c r="H1292" s="291"/>
      <c r="I1292" s="292"/>
      <c r="J1292" s="292"/>
      <c r="K1292" s="291"/>
      <c r="L1292" s="293"/>
      <c r="M1292" s="287"/>
      <c r="O1292" s="286"/>
      <c r="P1292" s="269"/>
      <c r="Q1292" s="269"/>
      <c r="R1292" s="269"/>
    </row>
    <row r="1293" spans="1:18" s="285" customFormat="1" ht="39.6" customHeight="1" x14ac:dyDescent="0.25">
      <c r="A1293" s="276"/>
      <c r="B1293" s="276"/>
      <c r="C1293" s="276"/>
      <c r="D1293" s="288"/>
      <c r="E1293" s="290"/>
      <c r="F1293" s="266"/>
      <c r="G1293" s="288"/>
      <c r="H1293" s="291"/>
      <c r="I1293" s="292"/>
      <c r="J1293" s="292"/>
      <c r="K1293" s="291"/>
      <c r="L1293" s="293"/>
      <c r="M1293" s="287"/>
      <c r="O1293" s="286"/>
      <c r="P1293" s="269"/>
      <c r="Q1293" s="269"/>
      <c r="R1293" s="269"/>
    </row>
    <row r="1294" spans="1:18" s="285" customFormat="1" ht="39.6" customHeight="1" x14ac:dyDescent="0.25">
      <c r="A1294" s="276"/>
      <c r="B1294" s="276"/>
      <c r="C1294" s="276"/>
      <c r="D1294" s="288"/>
      <c r="E1294" s="290"/>
      <c r="F1294" s="266"/>
      <c r="G1294" s="288"/>
      <c r="H1294" s="291"/>
      <c r="I1294" s="292"/>
      <c r="J1294" s="292"/>
      <c r="K1294" s="291"/>
      <c r="L1294" s="293"/>
      <c r="M1294" s="287"/>
      <c r="O1294" s="286"/>
      <c r="P1294" s="269"/>
      <c r="Q1294" s="269"/>
      <c r="R1294" s="269"/>
    </row>
    <row r="1295" spans="1:18" s="285" customFormat="1" ht="39.6" customHeight="1" x14ac:dyDescent="0.25">
      <c r="A1295" s="276"/>
      <c r="B1295" s="276"/>
      <c r="C1295" s="276"/>
      <c r="D1295" s="288"/>
      <c r="E1295" s="290"/>
      <c r="F1295" s="266"/>
      <c r="G1295" s="288"/>
      <c r="H1295" s="291"/>
      <c r="I1295" s="292"/>
      <c r="J1295" s="292"/>
      <c r="K1295" s="291"/>
      <c r="L1295" s="293"/>
      <c r="M1295" s="287"/>
      <c r="O1295" s="286"/>
      <c r="P1295" s="269"/>
      <c r="Q1295" s="269"/>
      <c r="R1295" s="269"/>
    </row>
    <row r="1296" spans="1:18" s="285" customFormat="1" ht="39.6" customHeight="1" x14ac:dyDescent="0.25">
      <c r="A1296" s="276"/>
      <c r="B1296" s="276"/>
      <c r="C1296" s="276"/>
      <c r="D1296" s="288"/>
      <c r="E1296" s="290"/>
      <c r="F1296" s="266"/>
      <c r="G1296" s="288"/>
      <c r="H1296" s="291"/>
      <c r="I1296" s="292"/>
      <c r="J1296" s="292"/>
      <c r="K1296" s="291"/>
      <c r="L1296" s="293"/>
      <c r="M1296" s="287"/>
      <c r="O1296" s="286"/>
      <c r="P1296" s="269"/>
      <c r="Q1296" s="269"/>
      <c r="R1296" s="269"/>
    </row>
    <row r="1297" spans="1:18" s="285" customFormat="1" ht="39.6" customHeight="1" x14ac:dyDescent="0.25">
      <c r="A1297" s="276"/>
      <c r="B1297" s="276"/>
      <c r="C1297" s="276"/>
      <c r="D1297" s="288"/>
      <c r="E1297" s="290"/>
      <c r="F1297" s="266"/>
      <c r="G1297" s="288"/>
      <c r="H1297" s="291"/>
      <c r="I1297" s="292"/>
      <c r="J1297" s="292"/>
      <c r="K1297" s="291"/>
      <c r="L1297" s="293"/>
      <c r="M1297" s="287"/>
      <c r="O1297" s="286"/>
      <c r="P1297" s="269"/>
      <c r="Q1297" s="269"/>
      <c r="R1297" s="269"/>
    </row>
    <row r="1298" spans="1:18" s="285" customFormat="1" ht="39.6" customHeight="1" x14ac:dyDescent="0.25">
      <c r="A1298" s="276"/>
      <c r="B1298" s="276"/>
      <c r="C1298" s="276"/>
      <c r="D1298" s="288"/>
      <c r="E1298" s="290"/>
      <c r="F1298" s="266"/>
      <c r="G1298" s="288"/>
      <c r="H1298" s="291"/>
      <c r="I1298" s="292"/>
      <c r="J1298" s="292"/>
      <c r="K1298" s="291"/>
      <c r="L1298" s="293"/>
      <c r="M1298" s="287"/>
      <c r="O1298" s="286"/>
      <c r="P1298" s="269"/>
      <c r="Q1298" s="269"/>
      <c r="R1298" s="269"/>
    </row>
    <row r="1299" spans="1:18" s="285" customFormat="1" ht="39.6" customHeight="1" x14ac:dyDescent="0.25">
      <c r="A1299" s="276"/>
      <c r="B1299" s="276"/>
      <c r="C1299" s="276"/>
      <c r="D1299" s="288"/>
      <c r="E1299" s="290"/>
      <c r="F1299" s="266"/>
      <c r="G1299" s="288"/>
      <c r="H1299" s="291"/>
      <c r="I1299" s="292"/>
      <c r="J1299" s="292"/>
      <c r="K1299" s="291"/>
      <c r="L1299" s="293"/>
      <c r="M1299" s="287"/>
      <c r="O1299" s="286"/>
      <c r="P1299" s="269"/>
      <c r="Q1299" s="269"/>
      <c r="R1299" s="269"/>
    </row>
    <row r="1300" spans="1:18" s="285" customFormat="1" ht="39.6" customHeight="1" x14ac:dyDescent="0.25">
      <c r="A1300" s="276"/>
      <c r="B1300" s="276"/>
      <c r="C1300" s="276"/>
      <c r="D1300" s="288"/>
      <c r="E1300" s="290"/>
      <c r="F1300" s="266"/>
      <c r="G1300" s="288"/>
      <c r="H1300" s="291"/>
      <c r="I1300" s="292"/>
      <c r="J1300" s="292"/>
      <c r="K1300" s="291"/>
      <c r="L1300" s="293"/>
      <c r="M1300" s="287"/>
      <c r="O1300" s="286"/>
      <c r="P1300" s="269"/>
      <c r="Q1300" s="269"/>
      <c r="R1300" s="269"/>
    </row>
    <row r="1301" spans="1:18" s="285" customFormat="1" ht="39.6" customHeight="1" x14ac:dyDescent="0.25">
      <c r="A1301" s="276"/>
      <c r="B1301" s="276"/>
      <c r="C1301" s="276"/>
      <c r="D1301" s="288"/>
      <c r="E1301" s="290"/>
      <c r="F1301" s="266"/>
      <c r="G1301" s="288"/>
      <c r="H1301" s="291"/>
      <c r="I1301" s="292"/>
      <c r="J1301" s="292"/>
      <c r="K1301" s="291"/>
      <c r="L1301" s="293"/>
      <c r="M1301" s="287"/>
      <c r="O1301" s="286"/>
      <c r="P1301" s="269"/>
      <c r="Q1301" s="269"/>
      <c r="R1301" s="269"/>
    </row>
    <row r="1302" spans="1:18" s="285" customFormat="1" ht="39.6" customHeight="1" x14ac:dyDescent="0.25">
      <c r="A1302" s="276"/>
      <c r="B1302" s="276"/>
      <c r="C1302" s="276"/>
      <c r="D1302" s="288"/>
      <c r="E1302" s="290"/>
      <c r="F1302" s="266"/>
      <c r="G1302" s="288"/>
      <c r="H1302" s="291"/>
      <c r="I1302" s="292"/>
      <c r="J1302" s="292"/>
      <c r="K1302" s="291"/>
      <c r="L1302" s="293"/>
      <c r="M1302" s="287"/>
      <c r="O1302" s="286"/>
      <c r="P1302" s="269"/>
      <c r="Q1302" s="269"/>
      <c r="R1302" s="269"/>
    </row>
    <row r="1303" spans="1:18" s="285" customFormat="1" ht="39.6" customHeight="1" x14ac:dyDescent="0.25">
      <c r="A1303" s="276"/>
      <c r="B1303" s="276"/>
      <c r="C1303" s="276"/>
      <c r="D1303" s="288"/>
      <c r="E1303" s="290"/>
      <c r="F1303" s="266"/>
      <c r="G1303" s="288"/>
      <c r="H1303" s="291"/>
      <c r="I1303" s="292"/>
      <c r="J1303" s="292"/>
      <c r="K1303" s="291"/>
      <c r="L1303" s="293"/>
      <c r="M1303" s="287"/>
      <c r="O1303" s="286"/>
      <c r="P1303" s="269"/>
      <c r="Q1303" s="269"/>
      <c r="R1303" s="269"/>
    </row>
    <row r="1304" spans="1:18" s="285" customFormat="1" ht="39.6" customHeight="1" x14ac:dyDescent="0.25">
      <c r="A1304" s="276"/>
      <c r="B1304" s="276"/>
      <c r="C1304" s="276"/>
      <c r="D1304" s="288"/>
      <c r="E1304" s="290"/>
      <c r="F1304" s="266"/>
      <c r="G1304" s="288"/>
      <c r="H1304" s="291"/>
      <c r="I1304" s="292"/>
      <c r="J1304" s="292"/>
      <c r="K1304" s="291"/>
      <c r="L1304" s="293"/>
      <c r="M1304" s="287"/>
      <c r="O1304" s="286"/>
      <c r="P1304" s="269"/>
      <c r="Q1304" s="269"/>
      <c r="R1304" s="269"/>
    </row>
    <row r="1305" spans="1:18" s="285" customFormat="1" ht="39.6" customHeight="1" x14ac:dyDescent="0.25">
      <c r="A1305" s="276"/>
      <c r="B1305" s="276"/>
      <c r="C1305" s="276"/>
      <c r="D1305" s="288"/>
      <c r="E1305" s="290"/>
      <c r="F1305" s="266"/>
      <c r="G1305" s="288"/>
      <c r="H1305" s="291"/>
      <c r="I1305" s="292"/>
      <c r="J1305" s="292"/>
      <c r="K1305" s="291"/>
      <c r="L1305" s="293"/>
      <c r="M1305" s="287"/>
      <c r="O1305" s="286"/>
      <c r="P1305" s="269"/>
      <c r="Q1305" s="269"/>
      <c r="R1305" s="269"/>
    </row>
    <row r="1306" spans="1:18" s="285" customFormat="1" ht="39.6" customHeight="1" x14ac:dyDescent="0.25">
      <c r="A1306" s="276"/>
      <c r="B1306" s="276"/>
      <c r="C1306" s="276"/>
      <c r="D1306" s="288"/>
      <c r="E1306" s="290"/>
      <c r="F1306" s="266"/>
      <c r="G1306" s="288"/>
      <c r="H1306" s="291"/>
      <c r="I1306" s="292"/>
      <c r="J1306" s="292"/>
      <c r="K1306" s="291"/>
      <c r="L1306" s="293"/>
      <c r="M1306" s="287"/>
      <c r="O1306" s="286"/>
      <c r="P1306" s="269"/>
      <c r="Q1306" s="269"/>
      <c r="R1306" s="269"/>
    </row>
    <row r="1307" spans="1:18" s="285" customFormat="1" ht="39.6" customHeight="1" x14ac:dyDescent="0.25">
      <c r="A1307" s="276"/>
      <c r="B1307" s="276"/>
      <c r="C1307" s="276"/>
      <c r="D1307" s="288"/>
      <c r="E1307" s="290"/>
      <c r="F1307" s="266"/>
      <c r="G1307" s="288"/>
      <c r="H1307" s="291"/>
      <c r="I1307" s="292"/>
      <c r="J1307" s="292"/>
      <c r="K1307" s="291"/>
      <c r="L1307" s="293"/>
      <c r="M1307" s="287"/>
      <c r="O1307" s="286"/>
      <c r="P1307" s="269"/>
      <c r="Q1307" s="269"/>
      <c r="R1307" s="269"/>
    </row>
    <row r="1308" spans="1:18" s="285" customFormat="1" ht="39.6" customHeight="1" x14ac:dyDescent="0.25">
      <c r="A1308" s="276"/>
      <c r="B1308" s="276"/>
      <c r="C1308" s="276"/>
      <c r="D1308" s="288"/>
      <c r="E1308" s="290"/>
      <c r="F1308" s="266"/>
      <c r="G1308" s="288"/>
      <c r="H1308" s="291"/>
      <c r="I1308" s="292"/>
      <c r="J1308" s="292"/>
      <c r="K1308" s="291"/>
      <c r="L1308" s="293"/>
      <c r="M1308" s="287"/>
      <c r="O1308" s="286"/>
      <c r="P1308" s="269"/>
      <c r="Q1308" s="269"/>
      <c r="R1308" s="269"/>
    </row>
    <row r="1309" spans="1:18" s="285" customFormat="1" ht="39.6" customHeight="1" x14ac:dyDescent="0.25">
      <c r="A1309" s="276"/>
      <c r="B1309" s="276"/>
      <c r="C1309" s="276"/>
      <c r="D1309" s="288"/>
      <c r="E1309" s="290"/>
      <c r="F1309" s="266"/>
      <c r="G1309" s="288"/>
      <c r="H1309" s="291"/>
      <c r="I1309" s="292"/>
      <c r="J1309" s="292"/>
      <c r="K1309" s="291"/>
      <c r="L1309" s="293"/>
      <c r="M1309" s="287"/>
      <c r="O1309" s="286"/>
      <c r="P1309" s="269"/>
      <c r="Q1309" s="269"/>
      <c r="R1309" s="269"/>
    </row>
    <row r="1310" spans="1:18" s="285" customFormat="1" ht="39.6" customHeight="1" x14ac:dyDescent="0.25">
      <c r="A1310" s="276"/>
      <c r="B1310" s="276"/>
      <c r="C1310" s="276"/>
      <c r="D1310" s="288"/>
      <c r="E1310" s="290"/>
      <c r="F1310" s="266"/>
      <c r="G1310" s="288"/>
      <c r="H1310" s="291"/>
      <c r="I1310" s="292"/>
      <c r="J1310" s="292"/>
      <c r="K1310" s="291"/>
      <c r="L1310" s="293"/>
      <c r="M1310" s="287"/>
      <c r="O1310" s="286"/>
      <c r="P1310" s="269"/>
      <c r="Q1310" s="269"/>
      <c r="R1310" s="269"/>
    </row>
    <row r="1311" spans="1:18" s="285" customFormat="1" ht="39.6" customHeight="1" x14ac:dyDescent="0.25">
      <c r="A1311" s="276"/>
      <c r="B1311" s="276"/>
      <c r="C1311" s="276"/>
      <c r="D1311" s="288"/>
      <c r="E1311" s="290"/>
      <c r="F1311" s="266"/>
      <c r="G1311" s="288"/>
      <c r="H1311" s="291"/>
      <c r="I1311" s="292"/>
      <c r="J1311" s="292"/>
      <c r="K1311" s="291"/>
      <c r="L1311" s="293"/>
      <c r="M1311" s="287"/>
      <c r="O1311" s="286"/>
      <c r="P1311" s="269"/>
      <c r="Q1311" s="269"/>
      <c r="R1311" s="269"/>
    </row>
    <row r="1312" spans="1:18" s="285" customFormat="1" ht="39.6" customHeight="1" x14ac:dyDescent="0.25">
      <c r="A1312" s="276"/>
      <c r="B1312" s="276"/>
      <c r="C1312" s="276"/>
      <c r="D1312" s="288"/>
      <c r="E1312" s="290"/>
      <c r="F1312" s="266"/>
      <c r="G1312" s="288"/>
      <c r="H1312" s="291"/>
      <c r="I1312" s="292"/>
      <c r="J1312" s="292"/>
      <c r="K1312" s="291"/>
      <c r="L1312" s="293"/>
      <c r="M1312" s="287"/>
      <c r="O1312" s="286"/>
      <c r="P1312" s="269"/>
      <c r="Q1312" s="269"/>
      <c r="R1312" s="269"/>
    </row>
    <row r="1313" spans="1:18" s="285" customFormat="1" ht="39.6" customHeight="1" x14ac:dyDescent="0.25">
      <c r="A1313" s="276"/>
      <c r="B1313" s="276"/>
      <c r="C1313" s="276"/>
      <c r="D1313" s="288"/>
      <c r="E1313" s="290"/>
      <c r="F1313" s="266"/>
      <c r="G1313" s="288"/>
      <c r="H1313" s="291"/>
      <c r="I1313" s="292"/>
      <c r="J1313" s="292"/>
      <c r="K1313" s="291"/>
      <c r="L1313" s="293"/>
      <c r="M1313" s="287"/>
      <c r="O1313" s="286"/>
      <c r="P1313" s="269"/>
      <c r="Q1313" s="269"/>
      <c r="R1313" s="269"/>
    </row>
    <row r="1314" spans="1:18" s="285" customFormat="1" ht="39.6" customHeight="1" x14ac:dyDescent="0.25">
      <c r="A1314" s="276"/>
      <c r="B1314" s="276"/>
      <c r="C1314" s="276"/>
      <c r="D1314" s="288"/>
      <c r="E1314" s="290"/>
      <c r="F1314" s="266"/>
      <c r="G1314" s="288"/>
      <c r="H1314" s="291"/>
      <c r="I1314" s="292"/>
      <c r="J1314" s="292"/>
      <c r="K1314" s="291"/>
      <c r="L1314" s="293"/>
      <c r="M1314" s="287"/>
      <c r="O1314" s="286"/>
      <c r="P1314" s="269"/>
      <c r="Q1314" s="269"/>
      <c r="R1314" s="269"/>
    </row>
    <row r="1315" spans="1:18" s="285" customFormat="1" ht="39.6" customHeight="1" x14ac:dyDescent="0.25">
      <c r="A1315" s="276"/>
      <c r="B1315" s="276"/>
      <c r="C1315" s="276"/>
      <c r="D1315" s="288"/>
      <c r="E1315" s="290"/>
      <c r="F1315" s="266"/>
      <c r="G1315" s="288"/>
      <c r="H1315" s="291"/>
      <c r="I1315" s="292"/>
      <c r="J1315" s="292"/>
      <c r="K1315" s="291"/>
      <c r="L1315" s="293"/>
      <c r="M1315" s="287"/>
      <c r="O1315" s="286"/>
      <c r="P1315" s="269"/>
      <c r="Q1315" s="269"/>
      <c r="R1315" s="269"/>
    </row>
    <row r="1316" spans="1:18" s="285" customFormat="1" ht="39.6" customHeight="1" x14ac:dyDescent="0.25">
      <c r="A1316" s="276"/>
      <c r="B1316" s="276"/>
      <c r="C1316" s="276"/>
      <c r="D1316" s="288"/>
      <c r="E1316" s="290"/>
      <c r="F1316" s="266"/>
      <c r="G1316" s="288"/>
      <c r="H1316" s="291"/>
      <c r="I1316" s="292"/>
      <c r="J1316" s="292"/>
      <c r="K1316" s="291"/>
      <c r="L1316" s="293"/>
      <c r="M1316" s="287"/>
      <c r="O1316" s="286"/>
      <c r="P1316" s="269"/>
      <c r="Q1316" s="269"/>
      <c r="R1316" s="269"/>
    </row>
    <row r="1317" spans="1:18" s="285" customFormat="1" ht="39.6" customHeight="1" x14ac:dyDescent="0.25">
      <c r="A1317" s="276"/>
      <c r="B1317" s="276"/>
      <c r="C1317" s="276"/>
      <c r="D1317" s="288"/>
      <c r="E1317" s="290"/>
      <c r="F1317" s="266"/>
      <c r="G1317" s="288"/>
      <c r="H1317" s="291"/>
      <c r="I1317" s="292"/>
      <c r="J1317" s="292"/>
      <c r="K1317" s="291"/>
      <c r="L1317" s="293"/>
      <c r="M1317" s="287"/>
      <c r="O1317" s="286"/>
      <c r="P1317" s="269"/>
      <c r="Q1317" s="269"/>
      <c r="R1317" s="269"/>
    </row>
    <row r="1318" spans="1:18" s="285" customFormat="1" ht="39.6" customHeight="1" x14ac:dyDescent="0.25">
      <c r="A1318" s="276"/>
      <c r="B1318" s="276"/>
      <c r="C1318" s="276"/>
      <c r="D1318" s="288"/>
      <c r="E1318" s="290"/>
      <c r="F1318" s="266"/>
      <c r="G1318" s="288"/>
      <c r="H1318" s="291"/>
      <c r="I1318" s="292"/>
      <c r="J1318" s="292"/>
      <c r="K1318" s="291"/>
      <c r="L1318" s="293"/>
      <c r="M1318" s="287"/>
      <c r="O1318" s="286"/>
      <c r="P1318" s="269"/>
      <c r="Q1318" s="269"/>
      <c r="R1318" s="269"/>
    </row>
    <row r="1319" spans="1:18" s="285" customFormat="1" ht="39.6" customHeight="1" x14ac:dyDescent="0.25">
      <c r="A1319" s="276"/>
      <c r="B1319" s="276"/>
      <c r="C1319" s="276"/>
      <c r="D1319" s="288"/>
      <c r="E1319" s="290"/>
      <c r="F1319" s="266"/>
      <c r="G1319" s="288"/>
      <c r="H1319" s="291"/>
      <c r="I1319" s="292"/>
      <c r="J1319" s="292"/>
      <c r="K1319" s="291"/>
      <c r="L1319" s="293"/>
      <c r="M1319" s="287"/>
      <c r="O1319" s="286"/>
      <c r="P1319" s="269"/>
      <c r="Q1319" s="269"/>
      <c r="R1319" s="269"/>
    </row>
    <row r="1320" spans="1:18" s="285" customFormat="1" ht="39.6" customHeight="1" x14ac:dyDescent="0.25">
      <c r="A1320" s="276"/>
      <c r="B1320" s="276"/>
      <c r="C1320" s="276"/>
      <c r="D1320" s="288"/>
      <c r="E1320" s="290"/>
      <c r="F1320" s="266"/>
      <c r="G1320" s="288"/>
      <c r="H1320" s="291"/>
      <c r="I1320" s="292"/>
      <c r="J1320" s="292"/>
      <c r="K1320" s="291"/>
      <c r="L1320" s="293"/>
      <c r="M1320" s="287"/>
      <c r="O1320" s="286"/>
      <c r="P1320" s="269"/>
      <c r="Q1320" s="269"/>
      <c r="R1320" s="269"/>
    </row>
    <row r="1321" spans="1:18" s="285" customFormat="1" ht="39.6" customHeight="1" x14ac:dyDescent="0.25">
      <c r="A1321" s="276"/>
      <c r="B1321" s="276"/>
      <c r="C1321" s="276"/>
      <c r="D1321" s="288"/>
      <c r="E1321" s="290"/>
      <c r="F1321" s="266"/>
      <c r="G1321" s="288"/>
      <c r="H1321" s="291"/>
      <c r="I1321" s="292"/>
      <c r="J1321" s="292"/>
      <c r="K1321" s="291"/>
      <c r="L1321" s="293"/>
      <c r="M1321" s="287"/>
      <c r="O1321" s="286"/>
      <c r="P1321" s="269"/>
      <c r="Q1321" s="269"/>
      <c r="R1321" s="269"/>
    </row>
    <row r="1322" spans="1:18" s="285" customFormat="1" ht="39.6" customHeight="1" x14ac:dyDescent="0.25">
      <c r="A1322" s="276"/>
      <c r="B1322" s="276"/>
      <c r="C1322" s="276"/>
      <c r="D1322" s="288"/>
      <c r="E1322" s="290"/>
      <c r="F1322" s="266"/>
      <c r="G1322" s="288"/>
      <c r="H1322" s="291"/>
      <c r="I1322" s="292"/>
      <c r="J1322" s="292"/>
      <c r="K1322" s="291"/>
      <c r="L1322" s="293"/>
      <c r="M1322" s="287"/>
      <c r="O1322" s="286"/>
      <c r="P1322" s="269"/>
      <c r="Q1322" s="269"/>
      <c r="R1322" s="269"/>
    </row>
    <row r="1323" spans="1:18" s="285" customFormat="1" ht="39.6" customHeight="1" x14ac:dyDescent="0.25">
      <c r="A1323" s="276"/>
      <c r="B1323" s="276"/>
      <c r="C1323" s="276"/>
      <c r="D1323" s="288"/>
      <c r="E1323" s="290"/>
      <c r="F1323" s="266"/>
      <c r="G1323" s="288"/>
      <c r="H1323" s="291"/>
      <c r="I1323" s="292"/>
      <c r="J1323" s="292"/>
      <c r="K1323" s="291"/>
      <c r="L1323" s="293"/>
      <c r="M1323" s="287"/>
      <c r="O1323" s="286"/>
      <c r="P1323" s="269"/>
      <c r="Q1323" s="269"/>
      <c r="R1323" s="269"/>
    </row>
    <row r="1324" spans="1:18" s="285" customFormat="1" ht="39.6" customHeight="1" x14ac:dyDescent="0.25">
      <c r="A1324" s="276"/>
      <c r="B1324" s="276"/>
      <c r="C1324" s="276"/>
      <c r="D1324" s="288"/>
      <c r="E1324" s="290"/>
      <c r="F1324" s="266"/>
      <c r="G1324" s="288"/>
      <c r="H1324" s="291"/>
      <c r="I1324" s="292"/>
      <c r="J1324" s="292"/>
      <c r="K1324" s="291"/>
      <c r="L1324" s="293"/>
      <c r="M1324" s="287"/>
      <c r="O1324" s="286"/>
      <c r="P1324" s="269"/>
      <c r="Q1324" s="269"/>
      <c r="R1324" s="269"/>
    </row>
    <row r="1325" spans="1:18" s="285" customFormat="1" ht="39.6" customHeight="1" x14ac:dyDescent="0.25">
      <c r="A1325" s="276"/>
      <c r="B1325" s="276"/>
      <c r="C1325" s="276"/>
      <c r="D1325" s="288"/>
      <c r="E1325" s="290"/>
      <c r="F1325" s="266"/>
      <c r="G1325" s="288"/>
      <c r="H1325" s="291"/>
      <c r="I1325" s="292"/>
      <c r="J1325" s="292"/>
      <c r="K1325" s="291"/>
      <c r="L1325" s="293"/>
      <c r="M1325" s="287"/>
      <c r="O1325" s="286"/>
      <c r="P1325" s="269"/>
      <c r="Q1325" s="269"/>
      <c r="R1325" s="269"/>
    </row>
    <row r="1326" spans="1:18" s="285" customFormat="1" ht="39.6" customHeight="1" x14ac:dyDescent="0.25">
      <c r="A1326" s="276"/>
      <c r="B1326" s="276"/>
      <c r="C1326" s="276"/>
      <c r="D1326" s="288"/>
      <c r="E1326" s="290"/>
      <c r="F1326" s="266"/>
      <c r="G1326" s="288"/>
      <c r="H1326" s="291"/>
      <c r="I1326" s="292"/>
      <c r="J1326" s="292"/>
      <c r="K1326" s="291"/>
      <c r="L1326" s="293"/>
      <c r="M1326" s="287"/>
      <c r="O1326" s="286"/>
      <c r="P1326" s="269"/>
      <c r="Q1326" s="269"/>
      <c r="R1326" s="269"/>
    </row>
    <row r="1327" spans="1:18" s="285" customFormat="1" ht="39.6" customHeight="1" x14ac:dyDescent="0.25">
      <c r="A1327" s="276"/>
      <c r="B1327" s="276"/>
      <c r="C1327" s="276"/>
      <c r="D1327" s="288"/>
      <c r="E1327" s="290"/>
      <c r="F1327" s="266"/>
      <c r="G1327" s="288"/>
      <c r="H1327" s="291"/>
      <c r="I1327" s="292"/>
      <c r="J1327" s="292"/>
      <c r="K1327" s="291"/>
      <c r="L1327" s="293"/>
      <c r="M1327" s="287"/>
      <c r="O1327" s="286"/>
      <c r="P1327" s="269"/>
      <c r="Q1327" s="269"/>
      <c r="R1327" s="269"/>
    </row>
    <row r="1328" spans="1:18" s="285" customFormat="1" ht="39.6" customHeight="1" x14ac:dyDescent="0.25">
      <c r="A1328" s="276"/>
      <c r="B1328" s="276"/>
      <c r="C1328" s="276"/>
      <c r="D1328" s="288"/>
      <c r="E1328" s="290"/>
      <c r="F1328" s="266"/>
      <c r="G1328" s="288"/>
      <c r="H1328" s="291"/>
      <c r="I1328" s="292"/>
      <c r="J1328" s="292"/>
      <c r="K1328" s="291"/>
      <c r="L1328" s="293"/>
      <c r="M1328" s="287"/>
      <c r="O1328" s="286"/>
      <c r="P1328" s="269"/>
      <c r="Q1328" s="269"/>
      <c r="R1328" s="269"/>
    </row>
    <row r="1329" spans="1:18" s="285" customFormat="1" ht="39.6" customHeight="1" x14ac:dyDescent="0.25">
      <c r="A1329" s="276"/>
      <c r="B1329" s="276"/>
      <c r="C1329" s="276"/>
      <c r="D1329" s="288"/>
      <c r="E1329" s="290"/>
      <c r="F1329" s="266"/>
      <c r="G1329" s="288"/>
      <c r="H1329" s="291"/>
      <c r="I1329" s="292"/>
      <c r="J1329" s="292"/>
      <c r="K1329" s="291"/>
      <c r="L1329" s="293"/>
      <c r="M1329" s="287"/>
      <c r="O1329" s="286"/>
      <c r="P1329" s="269"/>
      <c r="Q1329" s="269"/>
      <c r="R1329" s="269"/>
    </row>
    <row r="1330" spans="1:18" s="285" customFormat="1" ht="39.6" customHeight="1" x14ac:dyDescent="0.25">
      <c r="A1330" s="276"/>
      <c r="B1330" s="276"/>
      <c r="C1330" s="276"/>
      <c r="D1330" s="288"/>
      <c r="E1330" s="290"/>
      <c r="F1330" s="266"/>
      <c r="G1330" s="288"/>
      <c r="H1330" s="291"/>
      <c r="I1330" s="292"/>
      <c r="J1330" s="292"/>
      <c r="K1330" s="291"/>
      <c r="L1330" s="293"/>
      <c r="M1330" s="287"/>
      <c r="O1330" s="286"/>
      <c r="P1330" s="269"/>
      <c r="Q1330" s="269"/>
      <c r="R1330" s="269"/>
    </row>
    <row r="1331" spans="1:18" s="285" customFormat="1" ht="39.6" customHeight="1" x14ac:dyDescent="0.25">
      <c r="A1331" s="276"/>
      <c r="B1331" s="276"/>
      <c r="C1331" s="276"/>
      <c r="D1331" s="288"/>
      <c r="E1331" s="290"/>
      <c r="F1331" s="266"/>
      <c r="G1331" s="288"/>
      <c r="H1331" s="291"/>
      <c r="I1331" s="292"/>
      <c r="J1331" s="292"/>
      <c r="K1331" s="291"/>
      <c r="L1331" s="293"/>
      <c r="M1331" s="287"/>
      <c r="O1331" s="286"/>
      <c r="P1331" s="269"/>
      <c r="Q1331" s="269"/>
      <c r="R1331" s="269"/>
    </row>
    <row r="1332" spans="1:18" s="285" customFormat="1" ht="39.6" customHeight="1" x14ac:dyDescent="0.25">
      <c r="A1332" s="276"/>
      <c r="B1332" s="276"/>
      <c r="C1332" s="276"/>
      <c r="D1332" s="288"/>
      <c r="E1332" s="290"/>
      <c r="F1332" s="266"/>
      <c r="G1332" s="288"/>
      <c r="H1332" s="291"/>
      <c r="I1332" s="292"/>
      <c r="J1332" s="292"/>
      <c r="K1332" s="291"/>
      <c r="L1332" s="293"/>
      <c r="M1332" s="287"/>
      <c r="O1332" s="286"/>
      <c r="P1332" s="269"/>
      <c r="Q1332" s="269"/>
      <c r="R1332" s="269"/>
    </row>
    <row r="1333" spans="1:18" s="285" customFormat="1" ht="39.6" customHeight="1" x14ac:dyDescent="0.25">
      <c r="A1333" s="276"/>
      <c r="B1333" s="276"/>
      <c r="C1333" s="276"/>
      <c r="D1333" s="288"/>
      <c r="E1333" s="290"/>
      <c r="F1333" s="266"/>
      <c r="G1333" s="288"/>
      <c r="H1333" s="291"/>
      <c r="I1333" s="292"/>
      <c r="J1333" s="292"/>
      <c r="K1333" s="291"/>
      <c r="L1333" s="293"/>
      <c r="M1333" s="287"/>
      <c r="O1333" s="286"/>
      <c r="P1333" s="269"/>
      <c r="Q1333" s="269"/>
      <c r="R1333" s="269"/>
    </row>
    <row r="1334" spans="1:18" s="285" customFormat="1" ht="39.6" customHeight="1" x14ac:dyDescent="0.25">
      <c r="A1334" s="276"/>
      <c r="B1334" s="276"/>
      <c r="C1334" s="276"/>
      <c r="D1334" s="288"/>
      <c r="E1334" s="290"/>
      <c r="F1334" s="266"/>
      <c r="G1334" s="288"/>
      <c r="H1334" s="291"/>
      <c r="I1334" s="292"/>
      <c r="J1334" s="292"/>
      <c r="K1334" s="291"/>
      <c r="L1334" s="293"/>
      <c r="M1334" s="287"/>
      <c r="O1334" s="286"/>
      <c r="P1334" s="269"/>
      <c r="Q1334" s="269"/>
      <c r="R1334" s="269"/>
    </row>
    <row r="1335" spans="1:18" s="285" customFormat="1" ht="39.6" customHeight="1" x14ac:dyDescent="0.25">
      <c r="A1335" s="276"/>
      <c r="B1335" s="276"/>
      <c r="C1335" s="276"/>
      <c r="D1335" s="288"/>
      <c r="E1335" s="290"/>
      <c r="F1335" s="266"/>
      <c r="G1335" s="288"/>
      <c r="H1335" s="291"/>
      <c r="I1335" s="292"/>
      <c r="J1335" s="292"/>
      <c r="K1335" s="291"/>
      <c r="L1335" s="293"/>
      <c r="M1335" s="287"/>
      <c r="O1335" s="286"/>
      <c r="P1335" s="269"/>
      <c r="Q1335" s="269"/>
      <c r="R1335" s="269"/>
    </row>
    <row r="1336" spans="1:18" s="285" customFormat="1" ht="39.6" customHeight="1" x14ac:dyDescent="0.25">
      <c r="A1336" s="276"/>
      <c r="B1336" s="276"/>
      <c r="C1336" s="276"/>
      <c r="D1336" s="288"/>
      <c r="E1336" s="290"/>
      <c r="F1336" s="266"/>
      <c r="G1336" s="288"/>
      <c r="H1336" s="291"/>
      <c r="I1336" s="292"/>
      <c r="J1336" s="292"/>
      <c r="K1336" s="291"/>
      <c r="L1336" s="293"/>
      <c r="M1336" s="287"/>
      <c r="O1336" s="286"/>
      <c r="P1336" s="269"/>
      <c r="Q1336" s="269"/>
      <c r="R1336" s="269"/>
    </row>
    <row r="1337" spans="1:18" s="285" customFormat="1" ht="39.6" customHeight="1" x14ac:dyDescent="0.25">
      <c r="A1337" s="276"/>
      <c r="B1337" s="276"/>
      <c r="C1337" s="276"/>
      <c r="D1337" s="288"/>
      <c r="E1337" s="290"/>
      <c r="F1337" s="266"/>
      <c r="G1337" s="288"/>
      <c r="H1337" s="291"/>
      <c r="I1337" s="292"/>
      <c r="J1337" s="292"/>
      <c r="K1337" s="291"/>
      <c r="L1337" s="293"/>
      <c r="M1337" s="287"/>
      <c r="O1337" s="286"/>
      <c r="P1337" s="269"/>
      <c r="Q1337" s="269"/>
      <c r="R1337" s="269"/>
    </row>
    <row r="1338" spans="1:18" s="285" customFormat="1" ht="39.6" customHeight="1" x14ac:dyDescent="0.25">
      <c r="A1338" s="276"/>
      <c r="B1338" s="276"/>
      <c r="C1338" s="276"/>
      <c r="D1338" s="288"/>
      <c r="E1338" s="290"/>
      <c r="F1338" s="266"/>
      <c r="G1338" s="288"/>
      <c r="H1338" s="291"/>
      <c r="I1338" s="292"/>
      <c r="J1338" s="292"/>
      <c r="K1338" s="291"/>
      <c r="L1338" s="293"/>
      <c r="M1338" s="287"/>
      <c r="O1338" s="286"/>
      <c r="P1338" s="269"/>
      <c r="Q1338" s="269"/>
      <c r="R1338" s="269"/>
    </row>
    <row r="1339" spans="1:18" s="285" customFormat="1" ht="39.6" customHeight="1" x14ac:dyDescent="0.25">
      <c r="A1339" s="276"/>
      <c r="B1339" s="276"/>
      <c r="C1339" s="276"/>
      <c r="D1339" s="288"/>
      <c r="E1339" s="290"/>
      <c r="F1339" s="266"/>
      <c r="G1339" s="288"/>
      <c r="H1339" s="291"/>
      <c r="I1339" s="292"/>
      <c r="J1339" s="292"/>
      <c r="K1339" s="291"/>
      <c r="L1339" s="293"/>
      <c r="M1339" s="287"/>
      <c r="O1339" s="286"/>
      <c r="P1339" s="269"/>
      <c r="Q1339" s="269"/>
      <c r="R1339" s="269"/>
    </row>
    <row r="1340" spans="1:18" s="285" customFormat="1" ht="39.6" customHeight="1" x14ac:dyDescent="0.25">
      <c r="A1340" s="276"/>
      <c r="B1340" s="276"/>
      <c r="C1340" s="276"/>
      <c r="D1340" s="288"/>
      <c r="E1340" s="290"/>
      <c r="F1340" s="266"/>
      <c r="G1340" s="288"/>
      <c r="H1340" s="291"/>
      <c r="I1340" s="292"/>
      <c r="J1340" s="292"/>
      <c r="K1340" s="291"/>
      <c r="L1340" s="293"/>
      <c r="M1340" s="287"/>
      <c r="O1340" s="286"/>
      <c r="P1340" s="269"/>
      <c r="Q1340" s="269"/>
      <c r="R1340" s="269"/>
    </row>
    <row r="1341" spans="1:18" s="285" customFormat="1" ht="39.6" customHeight="1" x14ac:dyDescent="0.25">
      <c r="A1341" s="276"/>
      <c r="B1341" s="276"/>
      <c r="C1341" s="276"/>
      <c r="D1341" s="288"/>
      <c r="E1341" s="290"/>
      <c r="F1341" s="266"/>
      <c r="G1341" s="288"/>
      <c r="H1341" s="291"/>
      <c r="I1341" s="292"/>
      <c r="J1341" s="292"/>
      <c r="K1341" s="291"/>
      <c r="L1341" s="293"/>
      <c r="M1341" s="287"/>
      <c r="O1341" s="286"/>
      <c r="P1341" s="269"/>
      <c r="Q1341" s="269"/>
      <c r="R1341" s="269"/>
    </row>
    <row r="1342" spans="1:18" s="285" customFormat="1" ht="39.6" customHeight="1" x14ac:dyDescent="0.25">
      <c r="A1342" s="276"/>
      <c r="B1342" s="276"/>
      <c r="C1342" s="276"/>
      <c r="D1342" s="288"/>
      <c r="E1342" s="290"/>
      <c r="F1342" s="266"/>
      <c r="G1342" s="288"/>
      <c r="H1342" s="291"/>
      <c r="I1342" s="292"/>
      <c r="J1342" s="292"/>
      <c r="K1342" s="291"/>
      <c r="L1342" s="293"/>
      <c r="M1342" s="287"/>
      <c r="O1342" s="286"/>
      <c r="P1342" s="269"/>
      <c r="Q1342" s="269"/>
      <c r="R1342" s="269"/>
    </row>
    <row r="1343" spans="1:18" s="285" customFormat="1" ht="39.6" customHeight="1" x14ac:dyDescent="0.25">
      <c r="A1343" s="276"/>
      <c r="B1343" s="276"/>
      <c r="C1343" s="276"/>
      <c r="D1343" s="288"/>
      <c r="E1343" s="290"/>
      <c r="F1343" s="266"/>
      <c r="G1343" s="288"/>
      <c r="H1343" s="291"/>
      <c r="I1343" s="292"/>
      <c r="J1343" s="292"/>
      <c r="K1343" s="291"/>
      <c r="L1343" s="293"/>
      <c r="M1343" s="287"/>
      <c r="O1343" s="286"/>
      <c r="P1343" s="269"/>
      <c r="Q1343" s="269"/>
      <c r="R1343" s="269"/>
    </row>
    <row r="1344" spans="1:18" s="285" customFormat="1" ht="39.6" customHeight="1" x14ac:dyDescent="0.25">
      <c r="A1344" s="276"/>
      <c r="B1344" s="276"/>
      <c r="C1344" s="276"/>
      <c r="D1344" s="288"/>
      <c r="E1344" s="290"/>
      <c r="F1344" s="266"/>
      <c r="G1344" s="288"/>
      <c r="H1344" s="291"/>
      <c r="I1344" s="292"/>
      <c r="J1344" s="292"/>
      <c r="K1344" s="291"/>
      <c r="L1344" s="293"/>
      <c r="M1344" s="287"/>
      <c r="O1344" s="286"/>
      <c r="P1344" s="269"/>
      <c r="Q1344" s="269"/>
      <c r="R1344" s="269"/>
    </row>
    <row r="1345" spans="1:18" s="285" customFormat="1" ht="39.6" customHeight="1" x14ac:dyDescent="0.25">
      <c r="A1345" s="276"/>
      <c r="B1345" s="276"/>
      <c r="C1345" s="276"/>
      <c r="D1345" s="288"/>
      <c r="E1345" s="290"/>
      <c r="F1345" s="266"/>
      <c r="G1345" s="288"/>
      <c r="H1345" s="291"/>
      <c r="I1345" s="292"/>
      <c r="J1345" s="292"/>
      <c r="K1345" s="291"/>
      <c r="L1345" s="293"/>
      <c r="M1345" s="287"/>
      <c r="O1345" s="286"/>
      <c r="P1345" s="269"/>
      <c r="Q1345" s="269"/>
      <c r="R1345" s="269"/>
    </row>
    <row r="1346" spans="1:18" s="285" customFormat="1" ht="39.6" customHeight="1" x14ac:dyDescent="0.25">
      <c r="A1346" s="276"/>
      <c r="B1346" s="276"/>
      <c r="C1346" s="276"/>
      <c r="D1346" s="288"/>
      <c r="E1346" s="290"/>
      <c r="F1346" s="266"/>
      <c r="G1346" s="288"/>
      <c r="H1346" s="291"/>
      <c r="I1346" s="292"/>
      <c r="J1346" s="292"/>
      <c r="K1346" s="291"/>
      <c r="L1346" s="293"/>
      <c r="M1346" s="287"/>
      <c r="O1346" s="286"/>
      <c r="P1346" s="269"/>
      <c r="Q1346" s="269"/>
      <c r="R1346" s="269"/>
    </row>
    <row r="1347" spans="1:18" s="285" customFormat="1" ht="39.6" customHeight="1" x14ac:dyDescent="0.25">
      <c r="A1347" s="276"/>
      <c r="B1347" s="276"/>
      <c r="C1347" s="276"/>
      <c r="D1347" s="288"/>
      <c r="E1347" s="290"/>
      <c r="F1347" s="266"/>
      <c r="G1347" s="288"/>
      <c r="H1347" s="291"/>
      <c r="I1347" s="292"/>
      <c r="J1347" s="292"/>
      <c r="K1347" s="291"/>
      <c r="L1347" s="293"/>
      <c r="M1347" s="287"/>
      <c r="O1347" s="286"/>
      <c r="P1347" s="269"/>
      <c r="Q1347" s="269"/>
      <c r="R1347" s="269"/>
    </row>
    <row r="1348" spans="1:18" s="285" customFormat="1" ht="39.6" customHeight="1" x14ac:dyDescent="0.25">
      <c r="A1348" s="276"/>
      <c r="B1348" s="276"/>
      <c r="C1348" s="276"/>
      <c r="D1348" s="288"/>
      <c r="E1348" s="290"/>
      <c r="F1348" s="266"/>
      <c r="G1348" s="288"/>
      <c r="H1348" s="291"/>
      <c r="I1348" s="292"/>
      <c r="J1348" s="292"/>
      <c r="K1348" s="291"/>
      <c r="L1348" s="293"/>
      <c r="M1348" s="287"/>
      <c r="O1348" s="286"/>
      <c r="P1348" s="269"/>
      <c r="Q1348" s="269"/>
      <c r="R1348" s="269"/>
    </row>
    <row r="1349" spans="1:18" s="285" customFormat="1" ht="39.6" customHeight="1" x14ac:dyDescent="0.25">
      <c r="A1349" s="276"/>
      <c r="B1349" s="276"/>
      <c r="C1349" s="276"/>
      <c r="D1349" s="288"/>
      <c r="E1349" s="290"/>
      <c r="F1349" s="266"/>
      <c r="G1349" s="288"/>
      <c r="H1349" s="291"/>
      <c r="I1349" s="292"/>
      <c r="J1349" s="292"/>
      <c r="K1349" s="291"/>
      <c r="L1349" s="293"/>
      <c r="M1349" s="287"/>
      <c r="O1349" s="286"/>
      <c r="P1349" s="269"/>
      <c r="Q1349" s="269"/>
      <c r="R1349" s="269"/>
    </row>
    <row r="1350" spans="1:18" s="285" customFormat="1" ht="39.6" customHeight="1" x14ac:dyDescent="0.25">
      <c r="A1350" s="276"/>
      <c r="B1350" s="276"/>
      <c r="C1350" s="276"/>
      <c r="D1350" s="288"/>
      <c r="E1350" s="290"/>
      <c r="F1350" s="266"/>
      <c r="G1350" s="288"/>
      <c r="H1350" s="291"/>
      <c r="I1350" s="292"/>
      <c r="J1350" s="292"/>
      <c r="K1350" s="291"/>
      <c r="L1350" s="293"/>
      <c r="M1350" s="287"/>
      <c r="O1350" s="286"/>
      <c r="P1350" s="269"/>
      <c r="Q1350" s="269"/>
      <c r="R1350" s="269"/>
    </row>
    <row r="1351" spans="1:18" s="285" customFormat="1" ht="39.6" customHeight="1" x14ac:dyDescent="0.25">
      <c r="A1351" s="276"/>
      <c r="B1351" s="276"/>
      <c r="C1351" s="276"/>
      <c r="D1351" s="288"/>
      <c r="E1351" s="290"/>
      <c r="F1351" s="266"/>
      <c r="G1351" s="288"/>
      <c r="H1351" s="291"/>
      <c r="I1351" s="292"/>
      <c r="J1351" s="292"/>
      <c r="K1351" s="291"/>
      <c r="L1351" s="293"/>
      <c r="M1351" s="287"/>
      <c r="O1351" s="286"/>
      <c r="P1351" s="269"/>
      <c r="Q1351" s="269"/>
      <c r="R1351" s="269"/>
    </row>
    <row r="1352" spans="1:18" s="285" customFormat="1" ht="39.6" customHeight="1" x14ac:dyDescent="0.25">
      <c r="A1352" s="276"/>
      <c r="B1352" s="276"/>
      <c r="C1352" s="276"/>
      <c r="D1352" s="288"/>
      <c r="E1352" s="290"/>
      <c r="F1352" s="266"/>
      <c r="G1352" s="288"/>
      <c r="H1352" s="291"/>
      <c r="I1352" s="292"/>
      <c r="J1352" s="292"/>
      <c r="K1352" s="291"/>
      <c r="L1352" s="293"/>
      <c r="M1352" s="287"/>
      <c r="O1352" s="286"/>
      <c r="P1352" s="269"/>
      <c r="Q1352" s="269"/>
      <c r="R1352" s="269"/>
    </row>
    <row r="1353" spans="1:18" s="285" customFormat="1" ht="39.6" customHeight="1" x14ac:dyDescent="0.25">
      <c r="A1353" s="276"/>
      <c r="B1353" s="276"/>
      <c r="C1353" s="276"/>
      <c r="D1353" s="288"/>
      <c r="E1353" s="290"/>
      <c r="F1353" s="266"/>
      <c r="G1353" s="288"/>
      <c r="H1353" s="291"/>
      <c r="I1353" s="292"/>
      <c r="J1353" s="292"/>
      <c r="K1353" s="291"/>
      <c r="L1353" s="293"/>
      <c r="M1353" s="287"/>
      <c r="O1353" s="286"/>
      <c r="P1353" s="269"/>
      <c r="Q1353" s="269"/>
      <c r="R1353" s="269"/>
    </row>
    <row r="1354" spans="1:18" s="285" customFormat="1" ht="39.6" customHeight="1" x14ac:dyDescent="0.25">
      <c r="A1354" s="276"/>
      <c r="B1354" s="276"/>
      <c r="C1354" s="276"/>
      <c r="D1354" s="288"/>
      <c r="E1354" s="290"/>
      <c r="F1354" s="266"/>
      <c r="G1354" s="288"/>
      <c r="H1354" s="291"/>
      <c r="I1354" s="292"/>
      <c r="J1354" s="292"/>
      <c r="K1354" s="291"/>
      <c r="L1354" s="293"/>
      <c r="M1354" s="287"/>
      <c r="O1354" s="286"/>
      <c r="P1354" s="269"/>
      <c r="Q1354" s="269"/>
      <c r="R1354" s="269"/>
    </row>
    <row r="1355" spans="1:18" s="285" customFormat="1" ht="39.6" customHeight="1" x14ac:dyDescent="0.25">
      <c r="A1355" s="276"/>
      <c r="B1355" s="276"/>
      <c r="C1355" s="276"/>
      <c r="D1355" s="288"/>
      <c r="E1355" s="290"/>
      <c r="F1355" s="266"/>
      <c r="G1355" s="288"/>
      <c r="H1355" s="291"/>
      <c r="I1355" s="292"/>
      <c r="J1355" s="292"/>
      <c r="K1355" s="291"/>
      <c r="L1355" s="293"/>
      <c r="M1355" s="287"/>
      <c r="O1355" s="286"/>
      <c r="P1355" s="269"/>
      <c r="Q1355" s="269"/>
      <c r="R1355" s="269"/>
    </row>
    <row r="1356" spans="1:18" s="285" customFormat="1" ht="39.6" customHeight="1" x14ac:dyDescent="0.25">
      <c r="A1356" s="276"/>
      <c r="B1356" s="276"/>
      <c r="C1356" s="276"/>
      <c r="D1356" s="288"/>
      <c r="E1356" s="290"/>
      <c r="F1356" s="266"/>
      <c r="G1356" s="288"/>
      <c r="H1356" s="291"/>
      <c r="I1356" s="292"/>
      <c r="J1356" s="292"/>
      <c r="K1356" s="291"/>
      <c r="L1356" s="293"/>
      <c r="M1356" s="287"/>
      <c r="O1356" s="286"/>
      <c r="P1356" s="269"/>
      <c r="Q1356" s="269"/>
      <c r="R1356" s="269"/>
    </row>
    <row r="1357" spans="1:18" s="285" customFormat="1" ht="39.6" customHeight="1" x14ac:dyDescent="0.25">
      <c r="A1357" s="276"/>
      <c r="B1357" s="276"/>
      <c r="C1357" s="276"/>
      <c r="D1357" s="288"/>
      <c r="E1357" s="290"/>
      <c r="F1357" s="266"/>
      <c r="G1357" s="288"/>
      <c r="H1357" s="291"/>
      <c r="I1357" s="292"/>
      <c r="J1357" s="292"/>
      <c r="K1357" s="291"/>
      <c r="L1357" s="293"/>
      <c r="M1357" s="287"/>
      <c r="O1357" s="286"/>
      <c r="P1357" s="269"/>
      <c r="Q1357" s="269"/>
      <c r="R1357" s="269"/>
    </row>
    <row r="1358" spans="1:18" s="285" customFormat="1" ht="39.6" customHeight="1" x14ac:dyDescent="0.25">
      <c r="A1358" s="276"/>
      <c r="B1358" s="276"/>
      <c r="C1358" s="276"/>
      <c r="D1358" s="288"/>
      <c r="E1358" s="290"/>
      <c r="F1358" s="266"/>
      <c r="G1358" s="288"/>
      <c r="H1358" s="291"/>
      <c r="I1358" s="292"/>
      <c r="J1358" s="292"/>
      <c r="K1358" s="291"/>
      <c r="L1358" s="293"/>
      <c r="M1358" s="287"/>
      <c r="O1358" s="286"/>
      <c r="P1358" s="269"/>
      <c r="Q1358" s="269"/>
      <c r="R1358" s="269"/>
    </row>
    <row r="1359" spans="1:18" s="285" customFormat="1" ht="39.6" customHeight="1" x14ac:dyDescent="0.25">
      <c r="A1359" s="276"/>
      <c r="B1359" s="276"/>
      <c r="C1359" s="276"/>
      <c r="D1359" s="288"/>
      <c r="E1359" s="290"/>
      <c r="F1359" s="266"/>
      <c r="G1359" s="288"/>
      <c r="H1359" s="291"/>
      <c r="I1359" s="292"/>
      <c r="J1359" s="292"/>
      <c r="K1359" s="291"/>
      <c r="L1359" s="293"/>
      <c r="M1359" s="287"/>
      <c r="O1359" s="286"/>
      <c r="P1359" s="269"/>
      <c r="Q1359" s="269"/>
      <c r="R1359" s="269"/>
    </row>
    <row r="1360" spans="1:18" s="285" customFormat="1" ht="39.6" customHeight="1" x14ac:dyDescent="0.25">
      <c r="A1360" s="276"/>
      <c r="B1360" s="276"/>
      <c r="C1360" s="276"/>
      <c r="D1360" s="288"/>
      <c r="E1360" s="290"/>
      <c r="F1360" s="266"/>
      <c r="G1360" s="288"/>
      <c r="H1360" s="291"/>
      <c r="I1360" s="292"/>
      <c r="J1360" s="292"/>
      <c r="K1360" s="291"/>
      <c r="L1360" s="293"/>
      <c r="M1360" s="287"/>
      <c r="O1360" s="286"/>
      <c r="P1360" s="269"/>
      <c r="Q1360" s="269"/>
      <c r="R1360" s="269"/>
    </row>
    <row r="1361" spans="1:18" s="285" customFormat="1" ht="39.6" customHeight="1" x14ac:dyDescent="0.25">
      <c r="A1361" s="276"/>
      <c r="B1361" s="276"/>
      <c r="C1361" s="276"/>
      <c r="D1361" s="288"/>
      <c r="E1361" s="290"/>
      <c r="F1361" s="266"/>
      <c r="G1361" s="288"/>
      <c r="H1361" s="291"/>
      <c r="I1361" s="292"/>
      <c r="J1361" s="292"/>
      <c r="K1361" s="291"/>
      <c r="L1361" s="293"/>
      <c r="M1361" s="287"/>
      <c r="O1361" s="286"/>
      <c r="P1361" s="269"/>
      <c r="Q1361" s="269"/>
      <c r="R1361" s="269"/>
    </row>
    <row r="1362" spans="1:18" s="285" customFormat="1" ht="39.6" customHeight="1" x14ac:dyDescent="0.25">
      <c r="A1362" s="276"/>
      <c r="B1362" s="276"/>
      <c r="C1362" s="276"/>
      <c r="D1362" s="288"/>
      <c r="E1362" s="290"/>
      <c r="F1362" s="266"/>
      <c r="G1362" s="288"/>
      <c r="H1362" s="291"/>
      <c r="I1362" s="292"/>
      <c r="J1362" s="292"/>
      <c r="K1362" s="291"/>
      <c r="L1362" s="293"/>
      <c r="M1362" s="287"/>
      <c r="O1362" s="286"/>
      <c r="P1362" s="269"/>
      <c r="Q1362" s="269"/>
      <c r="R1362" s="269"/>
    </row>
    <row r="1363" spans="1:18" s="285" customFormat="1" ht="39.6" customHeight="1" x14ac:dyDescent="0.25">
      <c r="A1363" s="276"/>
      <c r="B1363" s="276"/>
      <c r="C1363" s="276"/>
      <c r="D1363" s="288"/>
      <c r="E1363" s="290"/>
      <c r="F1363" s="266"/>
      <c r="G1363" s="288"/>
      <c r="H1363" s="291"/>
      <c r="I1363" s="292"/>
      <c r="J1363" s="292"/>
      <c r="K1363" s="291"/>
      <c r="L1363" s="293"/>
      <c r="M1363" s="287"/>
      <c r="O1363" s="286"/>
      <c r="P1363" s="269"/>
      <c r="Q1363" s="269"/>
      <c r="R1363" s="269"/>
    </row>
    <row r="1364" spans="1:18" s="285" customFormat="1" ht="39.6" customHeight="1" x14ac:dyDescent="0.25">
      <c r="A1364" s="276"/>
      <c r="B1364" s="276"/>
      <c r="C1364" s="276"/>
      <c r="D1364" s="288"/>
      <c r="E1364" s="290"/>
      <c r="F1364" s="266"/>
      <c r="G1364" s="288"/>
      <c r="H1364" s="291"/>
      <c r="I1364" s="292"/>
      <c r="J1364" s="292"/>
      <c r="K1364" s="291"/>
      <c r="L1364" s="293"/>
      <c r="M1364" s="287"/>
      <c r="O1364" s="286"/>
      <c r="P1364" s="269"/>
      <c r="Q1364" s="269"/>
      <c r="R1364" s="269"/>
    </row>
    <row r="1365" spans="1:18" s="285" customFormat="1" ht="39.6" customHeight="1" x14ac:dyDescent="0.25">
      <c r="A1365" s="276"/>
      <c r="B1365" s="276"/>
      <c r="C1365" s="276"/>
      <c r="D1365" s="288"/>
      <c r="E1365" s="290"/>
      <c r="F1365" s="266"/>
      <c r="G1365" s="288"/>
      <c r="H1365" s="291"/>
      <c r="I1365" s="292"/>
      <c r="J1365" s="292"/>
      <c r="K1365" s="291"/>
      <c r="L1365" s="293"/>
      <c r="M1365" s="287"/>
      <c r="O1365" s="286"/>
      <c r="P1365" s="269"/>
      <c r="Q1365" s="269"/>
      <c r="R1365" s="269"/>
    </row>
    <row r="1366" spans="1:18" s="285" customFormat="1" ht="39.6" customHeight="1" x14ac:dyDescent="0.25">
      <c r="A1366" s="276"/>
      <c r="B1366" s="276"/>
      <c r="C1366" s="276"/>
      <c r="D1366" s="288"/>
      <c r="E1366" s="290"/>
      <c r="F1366" s="266"/>
      <c r="G1366" s="288"/>
      <c r="H1366" s="291"/>
      <c r="I1366" s="292"/>
      <c r="J1366" s="292"/>
      <c r="K1366" s="291"/>
      <c r="L1366" s="293"/>
      <c r="M1366" s="287"/>
      <c r="O1366" s="286"/>
      <c r="P1366" s="269"/>
      <c r="Q1366" s="269"/>
      <c r="R1366" s="269"/>
    </row>
    <row r="1367" spans="1:18" s="285" customFormat="1" ht="39.6" customHeight="1" x14ac:dyDescent="0.25">
      <c r="A1367" s="276"/>
      <c r="B1367" s="276"/>
      <c r="C1367" s="276"/>
      <c r="D1367" s="288"/>
      <c r="E1367" s="290"/>
      <c r="F1367" s="266"/>
      <c r="G1367" s="288"/>
      <c r="H1367" s="291"/>
      <c r="I1367" s="292"/>
      <c r="J1367" s="292"/>
      <c r="K1367" s="291"/>
      <c r="L1367" s="293"/>
      <c r="M1367" s="287"/>
      <c r="O1367" s="286"/>
      <c r="P1367" s="269"/>
      <c r="Q1367" s="269"/>
      <c r="R1367" s="269"/>
    </row>
    <row r="1368" spans="1:18" s="285" customFormat="1" ht="39.6" customHeight="1" x14ac:dyDescent="0.25">
      <c r="A1368" s="276"/>
      <c r="B1368" s="276"/>
      <c r="C1368" s="276"/>
      <c r="D1368" s="288"/>
      <c r="E1368" s="290"/>
      <c r="F1368" s="266"/>
      <c r="G1368" s="288"/>
      <c r="H1368" s="291"/>
      <c r="I1368" s="292"/>
      <c r="J1368" s="292"/>
      <c r="K1368" s="291"/>
      <c r="L1368" s="293"/>
      <c r="M1368" s="287"/>
      <c r="O1368" s="286"/>
      <c r="P1368" s="269"/>
      <c r="Q1368" s="269"/>
      <c r="R1368" s="269"/>
    </row>
    <row r="1369" spans="1:18" s="285" customFormat="1" ht="39.6" customHeight="1" x14ac:dyDescent="0.25">
      <c r="A1369" s="276"/>
      <c r="B1369" s="276"/>
      <c r="C1369" s="276"/>
      <c r="D1369" s="288"/>
      <c r="E1369" s="290"/>
      <c r="F1369" s="266"/>
      <c r="G1369" s="288"/>
      <c r="H1369" s="291"/>
      <c r="I1369" s="292"/>
      <c r="J1369" s="292"/>
      <c r="K1369" s="291"/>
      <c r="L1369" s="293"/>
      <c r="M1369" s="287"/>
      <c r="O1369" s="286"/>
      <c r="P1369" s="269"/>
      <c r="Q1369" s="269"/>
      <c r="R1369" s="269"/>
    </row>
    <row r="1370" spans="1:18" s="285" customFormat="1" ht="39.6" customHeight="1" x14ac:dyDescent="0.25">
      <c r="A1370" s="276"/>
      <c r="B1370" s="276"/>
      <c r="C1370" s="276"/>
      <c r="D1370" s="288"/>
      <c r="E1370" s="290"/>
      <c r="F1370" s="266"/>
      <c r="G1370" s="288"/>
      <c r="H1370" s="291"/>
      <c r="I1370" s="292"/>
      <c r="J1370" s="292"/>
      <c r="K1370" s="291"/>
      <c r="L1370" s="293"/>
      <c r="M1370" s="287"/>
      <c r="O1370" s="286"/>
      <c r="P1370" s="269"/>
      <c r="Q1370" s="269"/>
      <c r="R1370" s="269"/>
    </row>
    <row r="1371" spans="1:18" s="285" customFormat="1" ht="39.6" customHeight="1" x14ac:dyDescent="0.25">
      <c r="A1371" s="276"/>
      <c r="B1371" s="276"/>
      <c r="C1371" s="276"/>
      <c r="D1371" s="288"/>
      <c r="E1371" s="290"/>
      <c r="F1371" s="266"/>
      <c r="G1371" s="288"/>
      <c r="H1371" s="291"/>
      <c r="I1371" s="292"/>
      <c r="J1371" s="292"/>
      <c r="K1371" s="291"/>
      <c r="L1371" s="293"/>
      <c r="M1371" s="287"/>
      <c r="O1371" s="286"/>
      <c r="P1371" s="269"/>
      <c r="Q1371" s="269"/>
      <c r="R1371" s="269"/>
    </row>
    <row r="1372" spans="1:18" s="285" customFormat="1" ht="39.6" customHeight="1" x14ac:dyDescent="0.25">
      <c r="A1372" s="276"/>
      <c r="B1372" s="276"/>
      <c r="C1372" s="276"/>
      <c r="D1372" s="288"/>
      <c r="E1372" s="290"/>
      <c r="F1372" s="266"/>
      <c r="G1372" s="288"/>
      <c r="H1372" s="291"/>
      <c r="I1372" s="292"/>
      <c r="J1372" s="292"/>
      <c r="K1372" s="291"/>
      <c r="L1372" s="293"/>
      <c r="M1372" s="287"/>
      <c r="O1372" s="286"/>
      <c r="P1372" s="269"/>
      <c r="Q1372" s="269"/>
      <c r="R1372" s="269"/>
    </row>
    <row r="1373" spans="1:18" s="285" customFormat="1" ht="39.6" customHeight="1" x14ac:dyDescent="0.25">
      <c r="A1373" s="276"/>
      <c r="B1373" s="276"/>
      <c r="C1373" s="276"/>
      <c r="D1373" s="288"/>
      <c r="E1373" s="290"/>
      <c r="F1373" s="266"/>
      <c r="G1373" s="288"/>
      <c r="H1373" s="291"/>
      <c r="I1373" s="292"/>
      <c r="J1373" s="292"/>
      <c r="K1373" s="291"/>
      <c r="L1373" s="293"/>
      <c r="M1373" s="287"/>
      <c r="O1373" s="286"/>
      <c r="P1373" s="269"/>
      <c r="Q1373" s="269"/>
      <c r="R1373" s="269"/>
    </row>
    <row r="1374" spans="1:18" s="285" customFormat="1" ht="39.6" customHeight="1" x14ac:dyDescent="0.25">
      <c r="A1374" s="276"/>
      <c r="B1374" s="276"/>
      <c r="C1374" s="276"/>
      <c r="D1374" s="288"/>
      <c r="E1374" s="290"/>
      <c r="F1374" s="266"/>
      <c r="G1374" s="288"/>
      <c r="H1374" s="291"/>
      <c r="I1374" s="292"/>
      <c r="J1374" s="292"/>
      <c r="K1374" s="291"/>
      <c r="L1374" s="293"/>
      <c r="M1374" s="287"/>
      <c r="O1374" s="286"/>
      <c r="P1374" s="269"/>
      <c r="Q1374" s="269"/>
      <c r="R1374" s="269"/>
    </row>
    <row r="1375" spans="1:18" s="285" customFormat="1" ht="39.6" customHeight="1" x14ac:dyDescent="0.25">
      <c r="A1375" s="276"/>
      <c r="B1375" s="276"/>
      <c r="C1375" s="276"/>
      <c r="D1375" s="288"/>
      <c r="E1375" s="290"/>
      <c r="F1375" s="266"/>
      <c r="G1375" s="288"/>
      <c r="H1375" s="291"/>
      <c r="I1375" s="292"/>
      <c r="J1375" s="292"/>
      <c r="K1375" s="291"/>
      <c r="L1375" s="293"/>
      <c r="M1375" s="287"/>
      <c r="O1375" s="286"/>
      <c r="P1375" s="269"/>
      <c r="Q1375" s="269"/>
      <c r="R1375" s="269"/>
    </row>
    <row r="1376" spans="1:18" s="285" customFormat="1" ht="39.6" customHeight="1" x14ac:dyDescent="0.25">
      <c r="A1376" s="276"/>
      <c r="B1376" s="276"/>
      <c r="C1376" s="276"/>
      <c r="D1376" s="288"/>
      <c r="E1376" s="290"/>
      <c r="F1376" s="266"/>
      <c r="G1376" s="288"/>
      <c r="H1376" s="291"/>
      <c r="I1376" s="292"/>
      <c r="J1376" s="292"/>
      <c r="K1376" s="291"/>
      <c r="L1376" s="293"/>
      <c r="M1376" s="287"/>
      <c r="O1376" s="286"/>
      <c r="P1376" s="269"/>
      <c r="Q1376" s="269"/>
      <c r="R1376" s="269"/>
    </row>
    <row r="1377" spans="1:18" s="285" customFormat="1" ht="39.6" customHeight="1" x14ac:dyDescent="0.25">
      <c r="A1377" s="276"/>
      <c r="B1377" s="276"/>
      <c r="C1377" s="276"/>
      <c r="D1377" s="288"/>
      <c r="E1377" s="290"/>
      <c r="F1377" s="266"/>
      <c r="G1377" s="288"/>
      <c r="H1377" s="291"/>
      <c r="I1377" s="292"/>
      <c r="J1377" s="292"/>
      <c r="K1377" s="291"/>
      <c r="L1377" s="293"/>
      <c r="M1377" s="287"/>
      <c r="O1377" s="286"/>
      <c r="P1377" s="269"/>
      <c r="Q1377" s="269"/>
      <c r="R1377" s="269"/>
    </row>
    <row r="1378" spans="1:18" s="285" customFormat="1" ht="39.6" customHeight="1" x14ac:dyDescent="0.25">
      <c r="A1378" s="276"/>
      <c r="B1378" s="276"/>
      <c r="C1378" s="276"/>
      <c r="D1378" s="288"/>
      <c r="E1378" s="290"/>
      <c r="F1378" s="266"/>
      <c r="G1378" s="288"/>
      <c r="H1378" s="291"/>
      <c r="I1378" s="292"/>
      <c r="J1378" s="292"/>
      <c r="K1378" s="291"/>
      <c r="L1378" s="293"/>
      <c r="M1378" s="287"/>
      <c r="O1378" s="286"/>
      <c r="P1378" s="269"/>
      <c r="Q1378" s="269"/>
      <c r="R1378" s="269"/>
    </row>
    <row r="1379" spans="1:18" s="285" customFormat="1" ht="39.6" customHeight="1" x14ac:dyDescent="0.25">
      <c r="A1379" s="276"/>
      <c r="B1379" s="276"/>
      <c r="C1379" s="276"/>
      <c r="D1379" s="288"/>
      <c r="E1379" s="290"/>
      <c r="F1379" s="266"/>
      <c r="G1379" s="288"/>
      <c r="H1379" s="291"/>
      <c r="I1379" s="292"/>
      <c r="J1379" s="292"/>
      <c r="K1379" s="291"/>
      <c r="L1379" s="293"/>
      <c r="M1379" s="287"/>
      <c r="O1379" s="286"/>
      <c r="P1379" s="269"/>
      <c r="Q1379" s="269"/>
      <c r="R1379" s="269"/>
    </row>
    <row r="1380" spans="1:18" s="285" customFormat="1" ht="39.6" customHeight="1" x14ac:dyDescent="0.25">
      <c r="A1380" s="276"/>
      <c r="B1380" s="276"/>
      <c r="C1380" s="276"/>
      <c r="D1380" s="288"/>
      <c r="E1380" s="290"/>
      <c r="F1380" s="266"/>
      <c r="G1380" s="288"/>
      <c r="H1380" s="291"/>
      <c r="I1380" s="292"/>
      <c r="J1380" s="292"/>
      <c r="K1380" s="291"/>
      <c r="L1380" s="293"/>
      <c r="M1380" s="287"/>
      <c r="O1380" s="286"/>
      <c r="P1380" s="269"/>
      <c r="Q1380" s="269"/>
      <c r="R1380" s="269"/>
    </row>
    <row r="1381" spans="1:18" s="285" customFormat="1" ht="39.6" customHeight="1" x14ac:dyDescent="0.25">
      <c r="A1381" s="276"/>
      <c r="B1381" s="276"/>
      <c r="C1381" s="276"/>
      <c r="D1381" s="288"/>
      <c r="E1381" s="290"/>
      <c r="F1381" s="266"/>
      <c r="G1381" s="288"/>
      <c r="H1381" s="291"/>
      <c r="I1381" s="292"/>
      <c r="J1381" s="292"/>
      <c r="K1381" s="291"/>
      <c r="L1381" s="293"/>
      <c r="M1381" s="287"/>
      <c r="O1381" s="286"/>
      <c r="P1381" s="269"/>
      <c r="Q1381" s="269"/>
      <c r="R1381" s="269"/>
    </row>
    <row r="1382" spans="1:18" s="285" customFormat="1" ht="39.6" customHeight="1" x14ac:dyDescent="0.25">
      <c r="A1382" s="276"/>
      <c r="B1382" s="276"/>
      <c r="C1382" s="276"/>
      <c r="D1382" s="288"/>
      <c r="E1382" s="290"/>
      <c r="F1382" s="266"/>
      <c r="G1382" s="288"/>
      <c r="H1382" s="291"/>
      <c r="I1382" s="292"/>
      <c r="J1382" s="292"/>
      <c r="K1382" s="291"/>
      <c r="L1382" s="293"/>
      <c r="M1382" s="287"/>
      <c r="O1382" s="286"/>
      <c r="P1382" s="269"/>
      <c r="Q1382" s="269"/>
      <c r="R1382" s="269"/>
    </row>
    <row r="1383" spans="1:18" s="285" customFormat="1" ht="39.6" customHeight="1" x14ac:dyDescent="0.25">
      <c r="A1383" s="276"/>
      <c r="B1383" s="276"/>
      <c r="C1383" s="276"/>
      <c r="D1383" s="288"/>
      <c r="E1383" s="290"/>
      <c r="F1383" s="266"/>
      <c r="G1383" s="288"/>
      <c r="H1383" s="291"/>
      <c r="I1383" s="292"/>
      <c r="J1383" s="292"/>
      <c r="K1383" s="291"/>
      <c r="L1383" s="293"/>
      <c r="M1383" s="287"/>
      <c r="O1383" s="286"/>
      <c r="P1383" s="269"/>
      <c r="Q1383" s="269"/>
      <c r="R1383" s="269"/>
    </row>
    <row r="1384" spans="1:18" s="285" customFormat="1" ht="39.6" customHeight="1" x14ac:dyDescent="0.25">
      <c r="A1384" s="276"/>
      <c r="B1384" s="276"/>
      <c r="C1384" s="276"/>
      <c r="D1384" s="288"/>
      <c r="E1384" s="290"/>
      <c r="F1384" s="266"/>
      <c r="G1384" s="288"/>
      <c r="H1384" s="291"/>
      <c r="I1384" s="292"/>
      <c r="J1384" s="292"/>
      <c r="K1384" s="291"/>
      <c r="L1384" s="293"/>
      <c r="M1384" s="287"/>
      <c r="O1384" s="286"/>
      <c r="P1384" s="269"/>
      <c r="Q1384" s="269"/>
      <c r="R1384" s="269"/>
    </row>
    <row r="1385" spans="1:18" s="285" customFormat="1" ht="39.6" customHeight="1" x14ac:dyDescent="0.25">
      <c r="A1385" s="276"/>
      <c r="B1385" s="276"/>
      <c r="C1385" s="276"/>
      <c r="D1385" s="288"/>
      <c r="E1385" s="290"/>
      <c r="F1385" s="266"/>
      <c r="G1385" s="288"/>
      <c r="H1385" s="291"/>
      <c r="I1385" s="292"/>
      <c r="J1385" s="292"/>
      <c r="K1385" s="291"/>
      <c r="L1385" s="293"/>
      <c r="M1385" s="287"/>
      <c r="O1385" s="286"/>
      <c r="P1385" s="269"/>
      <c r="Q1385" s="269"/>
      <c r="R1385" s="269"/>
    </row>
    <row r="1386" spans="1:18" s="285" customFormat="1" ht="39.6" customHeight="1" x14ac:dyDescent="0.25">
      <c r="A1386" s="276"/>
      <c r="B1386" s="276"/>
      <c r="C1386" s="276"/>
      <c r="D1386" s="288"/>
      <c r="E1386" s="290"/>
      <c r="F1386" s="266"/>
      <c r="G1386" s="288"/>
      <c r="H1386" s="291"/>
      <c r="I1386" s="292"/>
      <c r="J1386" s="292"/>
      <c r="K1386" s="291"/>
      <c r="L1386" s="293"/>
      <c r="M1386" s="287"/>
      <c r="O1386" s="286"/>
      <c r="P1386" s="269"/>
      <c r="Q1386" s="269"/>
      <c r="R1386" s="269"/>
    </row>
    <row r="1387" spans="1:18" s="285" customFormat="1" ht="39.6" customHeight="1" x14ac:dyDescent="0.25">
      <c r="A1387" s="276"/>
      <c r="B1387" s="276"/>
      <c r="C1387" s="276"/>
      <c r="D1387" s="288"/>
      <c r="E1387" s="290"/>
      <c r="F1387" s="266"/>
      <c r="G1387" s="288"/>
      <c r="H1387" s="291"/>
      <c r="I1387" s="292"/>
      <c r="J1387" s="292"/>
      <c r="K1387" s="291"/>
      <c r="L1387" s="293"/>
      <c r="M1387" s="287"/>
      <c r="O1387" s="286"/>
      <c r="P1387" s="269"/>
      <c r="Q1387" s="269"/>
      <c r="R1387" s="269"/>
    </row>
    <row r="1388" spans="1:18" s="285" customFormat="1" ht="39.6" customHeight="1" x14ac:dyDescent="0.25">
      <c r="A1388" s="276"/>
      <c r="B1388" s="276"/>
      <c r="C1388" s="276"/>
      <c r="D1388" s="288"/>
      <c r="E1388" s="290"/>
      <c r="F1388" s="266"/>
      <c r="G1388" s="288"/>
      <c r="H1388" s="291"/>
      <c r="I1388" s="292"/>
      <c r="J1388" s="292"/>
      <c r="K1388" s="291"/>
      <c r="L1388" s="293"/>
      <c r="M1388" s="287"/>
      <c r="O1388" s="286"/>
      <c r="P1388" s="269"/>
      <c r="Q1388" s="269"/>
      <c r="R1388" s="269"/>
    </row>
    <row r="1389" spans="1:18" s="285" customFormat="1" ht="39.6" customHeight="1" x14ac:dyDescent="0.25">
      <c r="A1389" s="276"/>
      <c r="B1389" s="276"/>
      <c r="C1389" s="276"/>
      <c r="D1389" s="288"/>
      <c r="E1389" s="290"/>
      <c r="F1389" s="266"/>
      <c r="G1389" s="288"/>
      <c r="H1389" s="291"/>
      <c r="I1389" s="292"/>
      <c r="J1389" s="292"/>
      <c r="K1389" s="291"/>
      <c r="L1389" s="293"/>
      <c r="M1389" s="287"/>
      <c r="O1389" s="286"/>
      <c r="P1389" s="269"/>
      <c r="Q1389" s="269"/>
      <c r="R1389" s="269"/>
    </row>
    <row r="1390" spans="1:18" s="285" customFormat="1" ht="39.6" customHeight="1" x14ac:dyDescent="0.25">
      <c r="A1390" s="276"/>
      <c r="B1390" s="276"/>
      <c r="C1390" s="276"/>
      <c r="D1390" s="288"/>
      <c r="E1390" s="290"/>
      <c r="F1390" s="266"/>
      <c r="G1390" s="288"/>
      <c r="H1390" s="291"/>
      <c r="I1390" s="292"/>
      <c r="J1390" s="292"/>
      <c r="K1390" s="291"/>
      <c r="L1390" s="293"/>
      <c r="M1390" s="287"/>
      <c r="O1390" s="286"/>
      <c r="P1390" s="269"/>
      <c r="Q1390" s="269"/>
      <c r="R1390" s="269"/>
    </row>
    <row r="1391" spans="1:18" s="285" customFormat="1" ht="39.6" customHeight="1" x14ac:dyDescent="0.25">
      <c r="A1391" s="276"/>
      <c r="B1391" s="276"/>
      <c r="C1391" s="276"/>
      <c r="D1391" s="288"/>
      <c r="E1391" s="290"/>
      <c r="F1391" s="266"/>
      <c r="G1391" s="288"/>
      <c r="H1391" s="291"/>
      <c r="I1391" s="292"/>
      <c r="J1391" s="292"/>
      <c r="K1391" s="291"/>
      <c r="L1391" s="293"/>
      <c r="M1391" s="287"/>
      <c r="O1391" s="286"/>
      <c r="P1391" s="269"/>
      <c r="Q1391" s="269"/>
      <c r="R1391" s="269"/>
    </row>
    <row r="1392" spans="1:18" s="285" customFormat="1" ht="39.6" customHeight="1" x14ac:dyDescent="0.25">
      <c r="A1392" s="276"/>
      <c r="B1392" s="276"/>
      <c r="C1392" s="276"/>
      <c r="D1392" s="288"/>
      <c r="E1392" s="290"/>
      <c r="F1392" s="266"/>
      <c r="G1392" s="288"/>
      <c r="H1392" s="291"/>
      <c r="I1392" s="292"/>
      <c r="J1392" s="292"/>
      <c r="K1392" s="291"/>
      <c r="L1392" s="293"/>
      <c r="M1392" s="287"/>
      <c r="O1392" s="286"/>
      <c r="P1392" s="269"/>
      <c r="Q1392" s="269"/>
      <c r="R1392" s="269"/>
    </row>
    <row r="1393" spans="1:18" s="285" customFormat="1" ht="39.6" customHeight="1" x14ac:dyDescent="0.25">
      <c r="A1393" s="276"/>
      <c r="B1393" s="276"/>
      <c r="C1393" s="276"/>
      <c r="D1393" s="288"/>
      <c r="E1393" s="290"/>
      <c r="F1393" s="266"/>
      <c r="G1393" s="288"/>
      <c r="H1393" s="291"/>
      <c r="I1393" s="292"/>
      <c r="J1393" s="292"/>
      <c r="K1393" s="291"/>
      <c r="L1393" s="293"/>
      <c r="M1393" s="287"/>
      <c r="O1393" s="286"/>
      <c r="P1393" s="269"/>
      <c r="Q1393" s="269"/>
      <c r="R1393" s="269"/>
    </row>
    <row r="1394" spans="1:18" s="285" customFormat="1" ht="39.6" customHeight="1" x14ac:dyDescent="0.25">
      <c r="A1394" s="276"/>
      <c r="B1394" s="276"/>
      <c r="C1394" s="276"/>
      <c r="D1394" s="288"/>
      <c r="E1394" s="290"/>
      <c r="F1394" s="266"/>
      <c r="G1394" s="288"/>
      <c r="H1394" s="291"/>
      <c r="I1394" s="292"/>
      <c r="J1394" s="292"/>
      <c r="K1394" s="291"/>
      <c r="L1394" s="293"/>
      <c r="M1394" s="287"/>
      <c r="O1394" s="286"/>
      <c r="P1394" s="269"/>
      <c r="Q1394" s="269"/>
      <c r="R1394" s="269"/>
    </row>
    <row r="1395" spans="1:18" s="285" customFormat="1" ht="39.6" customHeight="1" x14ac:dyDescent="0.25">
      <c r="A1395" s="276"/>
      <c r="B1395" s="276"/>
      <c r="C1395" s="276"/>
      <c r="D1395" s="288"/>
      <c r="E1395" s="290"/>
      <c r="F1395" s="266"/>
      <c r="G1395" s="288"/>
      <c r="H1395" s="291"/>
      <c r="I1395" s="292"/>
      <c r="J1395" s="292"/>
      <c r="K1395" s="291"/>
      <c r="L1395" s="293"/>
      <c r="M1395" s="287"/>
      <c r="O1395" s="286"/>
      <c r="P1395" s="269"/>
      <c r="Q1395" s="269"/>
      <c r="R1395" s="269"/>
    </row>
    <row r="1396" spans="1:18" s="285" customFormat="1" ht="39.6" customHeight="1" x14ac:dyDescent="0.25">
      <c r="A1396" s="276"/>
      <c r="B1396" s="276"/>
      <c r="C1396" s="276"/>
      <c r="D1396" s="288"/>
      <c r="E1396" s="290"/>
      <c r="F1396" s="266"/>
      <c r="G1396" s="288"/>
      <c r="H1396" s="291"/>
      <c r="I1396" s="292"/>
      <c r="J1396" s="292"/>
      <c r="K1396" s="291"/>
      <c r="L1396" s="293"/>
      <c r="M1396" s="287"/>
      <c r="O1396" s="286"/>
      <c r="P1396" s="269"/>
      <c r="Q1396" s="269"/>
      <c r="R1396" s="269"/>
    </row>
    <row r="1397" spans="1:18" s="285" customFormat="1" ht="39.6" customHeight="1" x14ac:dyDescent="0.25">
      <c r="A1397" s="276"/>
      <c r="B1397" s="276"/>
      <c r="C1397" s="276"/>
      <c r="D1397" s="288"/>
      <c r="E1397" s="290"/>
      <c r="F1397" s="266"/>
      <c r="G1397" s="288"/>
      <c r="H1397" s="291"/>
      <c r="I1397" s="292"/>
      <c r="J1397" s="292"/>
      <c r="K1397" s="291"/>
      <c r="L1397" s="293"/>
      <c r="M1397" s="287"/>
      <c r="O1397" s="286"/>
      <c r="P1397" s="269"/>
      <c r="Q1397" s="269"/>
      <c r="R1397" s="269"/>
    </row>
    <row r="1398" spans="1:18" s="285" customFormat="1" ht="39.6" customHeight="1" x14ac:dyDescent="0.25">
      <c r="A1398" s="276"/>
      <c r="B1398" s="276"/>
      <c r="C1398" s="276"/>
      <c r="D1398" s="288"/>
      <c r="E1398" s="290"/>
      <c r="F1398" s="266"/>
      <c r="G1398" s="288"/>
      <c r="H1398" s="291"/>
      <c r="I1398" s="292"/>
      <c r="J1398" s="292"/>
      <c r="K1398" s="291"/>
      <c r="L1398" s="293"/>
      <c r="M1398" s="287"/>
      <c r="O1398" s="286"/>
      <c r="P1398" s="269"/>
      <c r="Q1398" s="269"/>
      <c r="R1398" s="269"/>
    </row>
    <row r="1399" spans="1:18" s="285" customFormat="1" ht="39.6" customHeight="1" x14ac:dyDescent="0.25">
      <c r="A1399" s="276"/>
      <c r="B1399" s="276"/>
      <c r="C1399" s="276"/>
      <c r="D1399" s="288"/>
      <c r="E1399" s="290"/>
      <c r="F1399" s="266"/>
      <c r="G1399" s="288"/>
      <c r="H1399" s="291"/>
      <c r="I1399" s="292"/>
      <c r="J1399" s="292"/>
      <c r="K1399" s="291"/>
      <c r="L1399" s="293"/>
      <c r="M1399" s="287"/>
      <c r="O1399" s="286"/>
      <c r="P1399" s="269"/>
      <c r="Q1399" s="269"/>
      <c r="R1399" s="269"/>
    </row>
    <row r="1400" spans="1:18" s="285" customFormat="1" ht="39.6" customHeight="1" x14ac:dyDescent="0.25">
      <c r="A1400" s="276"/>
      <c r="B1400" s="276"/>
      <c r="C1400" s="276"/>
      <c r="D1400" s="288"/>
      <c r="E1400" s="290"/>
      <c r="F1400" s="266"/>
      <c r="G1400" s="288"/>
      <c r="H1400" s="291"/>
      <c r="I1400" s="292"/>
      <c r="J1400" s="292"/>
      <c r="K1400" s="291"/>
      <c r="L1400" s="293"/>
      <c r="M1400" s="287"/>
      <c r="O1400" s="286"/>
      <c r="P1400" s="269"/>
      <c r="Q1400" s="269"/>
      <c r="R1400" s="269"/>
    </row>
    <row r="1401" spans="1:18" s="285" customFormat="1" ht="39.6" customHeight="1" x14ac:dyDescent="0.25">
      <c r="A1401" s="276"/>
      <c r="B1401" s="276"/>
      <c r="C1401" s="276"/>
      <c r="D1401" s="288"/>
      <c r="E1401" s="290"/>
      <c r="F1401" s="266"/>
      <c r="G1401" s="288"/>
      <c r="H1401" s="291"/>
      <c r="I1401" s="292"/>
      <c r="J1401" s="292"/>
      <c r="K1401" s="291"/>
      <c r="L1401" s="293"/>
      <c r="M1401" s="287"/>
      <c r="O1401" s="286"/>
      <c r="P1401" s="269"/>
      <c r="Q1401" s="269"/>
      <c r="R1401" s="269"/>
    </row>
    <row r="1402" spans="1:18" s="285" customFormat="1" ht="39.6" customHeight="1" x14ac:dyDescent="0.25">
      <c r="A1402" s="276"/>
      <c r="B1402" s="276"/>
      <c r="C1402" s="276"/>
      <c r="D1402" s="288"/>
      <c r="E1402" s="290"/>
      <c r="F1402" s="266"/>
      <c r="G1402" s="288"/>
      <c r="H1402" s="291"/>
      <c r="I1402" s="292"/>
      <c r="J1402" s="292"/>
      <c r="K1402" s="291"/>
      <c r="L1402" s="293"/>
      <c r="M1402" s="287"/>
      <c r="O1402" s="286"/>
      <c r="P1402" s="269"/>
      <c r="Q1402" s="269"/>
      <c r="R1402" s="269"/>
    </row>
    <row r="1403" spans="1:18" s="285" customFormat="1" ht="39.6" customHeight="1" x14ac:dyDescent="0.25">
      <c r="A1403" s="276"/>
      <c r="B1403" s="276"/>
      <c r="C1403" s="276"/>
      <c r="D1403" s="288"/>
      <c r="E1403" s="290"/>
      <c r="F1403" s="266"/>
      <c r="G1403" s="288"/>
      <c r="H1403" s="291"/>
      <c r="I1403" s="292"/>
      <c r="J1403" s="292"/>
      <c r="K1403" s="291"/>
      <c r="L1403" s="293"/>
      <c r="M1403" s="287"/>
      <c r="O1403" s="286"/>
      <c r="P1403" s="269"/>
      <c r="Q1403" s="269"/>
      <c r="R1403" s="269"/>
    </row>
    <row r="1404" spans="1:18" s="285" customFormat="1" ht="39.6" customHeight="1" x14ac:dyDescent="0.25">
      <c r="A1404" s="276"/>
      <c r="B1404" s="276"/>
      <c r="C1404" s="276"/>
      <c r="D1404" s="288"/>
      <c r="E1404" s="290"/>
      <c r="F1404" s="266"/>
      <c r="G1404" s="288"/>
      <c r="H1404" s="291"/>
      <c r="I1404" s="292"/>
      <c r="J1404" s="292"/>
      <c r="K1404" s="291"/>
      <c r="L1404" s="293"/>
      <c r="M1404" s="287"/>
      <c r="O1404" s="286"/>
      <c r="P1404" s="269"/>
      <c r="Q1404" s="269"/>
      <c r="R1404" s="269"/>
    </row>
    <row r="1405" spans="1:18" s="285" customFormat="1" ht="39.6" customHeight="1" x14ac:dyDescent="0.25">
      <c r="A1405" s="276"/>
      <c r="B1405" s="276"/>
      <c r="C1405" s="276"/>
      <c r="D1405" s="288"/>
      <c r="E1405" s="290"/>
      <c r="F1405" s="266"/>
      <c r="G1405" s="288"/>
      <c r="H1405" s="291"/>
      <c r="I1405" s="292"/>
      <c r="J1405" s="292"/>
      <c r="K1405" s="291"/>
      <c r="L1405" s="293"/>
      <c r="M1405" s="287"/>
      <c r="O1405" s="286"/>
      <c r="P1405" s="269"/>
      <c r="Q1405" s="269"/>
      <c r="R1405" s="269"/>
    </row>
    <row r="1406" spans="1:18" s="285" customFormat="1" ht="39.6" customHeight="1" x14ac:dyDescent="0.25">
      <c r="A1406" s="276"/>
      <c r="B1406" s="276"/>
      <c r="C1406" s="276"/>
      <c r="D1406" s="288"/>
      <c r="E1406" s="290"/>
      <c r="F1406" s="266"/>
      <c r="G1406" s="288"/>
      <c r="H1406" s="291"/>
      <c r="I1406" s="292"/>
      <c r="J1406" s="292"/>
      <c r="K1406" s="291"/>
      <c r="L1406" s="293"/>
      <c r="M1406" s="287"/>
      <c r="O1406" s="286"/>
      <c r="P1406" s="269"/>
      <c r="Q1406" s="269"/>
      <c r="R1406" s="269"/>
    </row>
    <row r="1407" spans="1:18" s="285" customFormat="1" ht="39.6" customHeight="1" x14ac:dyDescent="0.25">
      <c r="A1407" s="276"/>
      <c r="B1407" s="276"/>
      <c r="C1407" s="276"/>
      <c r="D1407" s="288"/>
      <c r="E1407" s="290"/>
      <c r="F1407" s="266"/>
      <c r="G1407" s="288"/>
      <c r="H1407" s="291"/>
      <c r="I1407" s="292"/>
      <c r="J1407" s="292"/>
      <c r="K1407" s="291"/>
      <c r="L1407" s="293"/>
      <c r="M1407" s="287"/>
      <c r="O1407" s="286"/>
      <c r="P1407" s="269"/>
      <c r="Q1407" s="269"/>
      <c r="R1407" s="269"/>
    </row>
    <row r="1408" spans="1:18" s="285" customFormat="1" ht="39.6" customHeight="1" x14ac:dyDescent="0.25">
      <c r="A1408" s="276"/>
      <c r="B1408" s="276"/>
      <c r="C1408" s="276"/>
      <c r="D1408" s="288"/>
      <c r="E1408" s="290"/>
      <c r="F1408" s="266"/>
      <c r="G1408" s="288"/>
      <c r="H1408" s="291"/>
      <c r="I1408" s="292"/>
      <c r="J1408" s="292"/>
      <c r="K1408" s="291"/>
      <c r="L1408" s="293"/>
      <c r="M1408" s="287"/>
      <c r="O1408" s="286"/>
      <c r="P1408" s="269"/>
      <c r="Q1408" s="269"/>
      <c r="R1408" s="269"/>
    </row>
    <row r="1409" spans="1:18" s="285" customFormat="1" ht="39.6" customHeight="1" x14ac:dyDescent="0.25">
      <c r="A1409" s="276"/>
      <c r="B1409" s="276"/>
      <c r="C1409" s="276"/>
      <c r="D1409" s="288"/>
      <c r="E1409" s="290"/>
      <c r="F1409" s="266"/>
      <c r="G1409" s="288"/>
      <c r="H1409" s="291"/>
      <c r="I1409" s="292"/>
      <c r="J1409" s="292"/>
      <c r="K1409" s="291"/>
      <c r="L1409" s="293"/>
      <c r="M1409" s="287"/>
      <c r="O1409" s="286"/>
      <c r="P1409" s="269"/>
      <c r="Q1409" s="269"/>
      <c r="R1409" s="269"/>
    </row>
    <row r="1410" spans="1:18" s="285" customFormat="1" ht="39.6" customHeight="1" x14ac:dyDescent="0.25">
      <c r="A1410" s="276"/>
      <c r="B1410" s="276"/>
      <c r="C1410" s="276"/>
      <c r="D1410" s="288"/>
      <c r="E1410" s="290"/>
      <c r="F1410" s="266"/>
      <c r="G1410" s="288"/>
      <c r="H1410" s="291"/>
      <c r="I1410" s="292"/>
      <c r="J1410" s="292"/>
      <c r="K1410" s="291"/>
      <c r="L1410" s="293"/>
      <c r="M1410" s="287"/>
      <c r="O1410" s="286"/>
      <c r="P1410" s="269"/>
      <c r="Q1410" s="269"/>
      <c r="R1410" s="269"/>
    </row>
    <row r="1411" spans="1:18" s="285" customFormat="1" ht="39.6" customHeight="1" x14ac:dyDescent="0.25">
      <c r="A1411" s="276"/>
      <c r="B1411" s="276"/>
      <c r="C1411" s="276"/>
      <c r="D1411" s="288"/>
      <c r="E1411" s="290"/>
      <c r="F1411" s="266"/>
      <c r="G1411" s="288"/>
      <c r="H1411" s="291"/>
      <c r="I1411" s="292"/>
      <c r="J1411" s="292"/>
      <c r="K1411" s="291"/>
      <c r="L1411" s="293"/>
      <c r="M1411" s="287"/>
      <c r="O1411" s="286"/>
      <c r="P1411" s="269"/>
      <c r="Q1411" s="269"/>
      <c r="R1411" s="269"/>
    </row>
    <row r="1412" spans="1:18" s="285" customFormat="1" ht="39.6" customHeight="1" x14ac:dyDescent="0.25">
      <c r="A1412" s="276"/>
      <c r="B1412" s="276"/>
      <c r="C1412" s="276"/>
      <c r="D1412" s="288"/>
      <c r="E1412" s="290"/>
      <c r="F1412" s="266"/>
      <c r="G1412" s="288"/>
      <c r="H1412" s="291"/>
      <c r="I1412" s="292"/>
      <c r="J1412" s="292"/>
      <c r="K1412" s="291"/>
      <c r="L1412" s="293"/>
      <c r="M1412" s="287"/>
      <c r="O1412" s="286"/>
      <c r="P1412" s="269"/>
      <c r="Q1412" s="269"/>
      <c r="R1412" s="269"/>
    </row>
    <row r="1413" spans="1:18" s="285" customFormat="1" ht="39.6" customHeight="1" x14ac:dyDescent="0.25">
      <c r="A1413" s="276"/>
      <c r="B1413" s="276"/>
      <c r="C1413" s="276"/>
      <c r="D1413" s="288"/>
      <c r="E1413" s="290"/>
      <c r="F1413" s="266"/>
      <c r="G1413" s="288"/>
      <c r="H1413" s="291"/>
      <c r="I1413" s="292"/>
      <c r="J1413" s="292"/>
      <c r="K1413" s="291"/>
      <c r="L1413" s="293"/>
      <c r="M1413" s="287"/>
      <c r="O1413" s="286"/>
      <c r="P1413" s="269"/>
      <c r="Q1413" s="269"/>
      <c r="R1413" s="269"/>
    </row>
    <row r="1414" spans="1:18" s="285" customFormat="1" ht="39.6" customHeight="1" x14ac:dyDescent="0.25">
      <c r="A1414" s="276"/>
      <c r="B1414" s="276"/>
      <c r="C1414" s="276"/>
      <c r="D1414" s="288"/>
      <c r="E1414" s="290"/>
      <c r="F1414" s="266"/>
      <c r="G1414" s="288"/>
      <c r="H1414" s="291"/>
      <c r="I1414" s="292"/>
      <c r="J1414" s="292"/>
      <c r="K1414" s="291"/>
      <c r="L1414" s="293"/>
      <c r="M1414" s="287"/>
      <c r="O1414" s="286"/>
      <c r="P1414" s="269"/>
      <c r="Q1414" s="269"/>
      <c r="R1414" s="269"/>
    </row>
    <row r="1415" spans="1:18" s="285" customFormat="1" ht="39.6" customHeight="1" x14ac:dyDescent="0.25">
      <c r="A1415" s="276"/>
      <c r="B1415" s="276"/>
      <c r="C1415" s="276"/>
      <c r="D1415" s="288"/>
      <c r="E1415" s="290"/>
      <c r="F1415" s="266"/>
      <c r="G1415" s="288"/>
      <c r="H1415" s="291"/>
      <c r="I1415" s="292"/>
      <c r="J1415" s="292"/>
      <c r="K1415" s="291"/>
      <c r="L1415" s="293"/>
      <c r="M1415" s="287"/>
      <c r="O1415" s="286"/>
      <c r="P1415" s="269"/>
      <c r="Q1415" s="269"/>
      <c r="R1415" s="269"/>
    </row>
    <row r="1416" spans="1:18" s="285" customFormat="1" ht="39.6" customHeight="1" x14ac:dyDescent="0.25">
      <c r="A1416" s="276"/>
      <c r="B1416" s="276"/>
      <c r="C1416" s="276"/>
      <c r="D1416" s="288"/>
      <c r="E1416" s="290"/>
      <c r="F1416" s="266"/>
      <c r="G1416" s="288"/>
      <c r="H1416" s="291"/>
      <c r="I1416" s="292"/>
      <c r="J1416" s="292"/>
      <c r="K1416" s="291"/>
      <c r="L1416" s="293"/>
      <c r="M1416" s="287"/>
      <c r="O1416" s="286"/>
      <c r="P1416" s="269"/>
      <c r="Q1416" s="269"/>
      <c r="R1416" s="269"/>
    </row>
    <row r="1417" spans="1:18" s="285" customFormat="1" ht="39.6" customHeight="1" x14ac:dyDescent="0.25">
      <c r="A1417" s="276"/>
      <c r="B1417" s="276"/>
      <c r="C1417" s="276"/>
      <c r="D1417" s="288"/>
      <c r="E1417" s="290"/>
      <c r="F1417" s="266"/>
      <c r="G1417" s="288"/>
      <c r="H1417" s="291"/>
      <c r="I1417" s="292"/>
      <c r="J1417" s="292"/>
      <c r="K1417" s="291"/>
      <c r="L1417" s="293"/>
      <c r="M1417" s="287"/>
      <c r="O1417" s="286"/>
      <c r="P1417" s="269"/>
      <c r="Q1417" s="269"/>
      <c r="R1417" s="269"/>
    </row>
    <row r="1418" spans="1:18" s="285" customFormat="1" ht="39.6" customHeight="1" x14ac:dyDescent="0.25">
      <c r="A1418" s="276"/>
      <c r="B1418" s="276"/>
      <c r="C1418" s="276"/>
      <c r="D1418" s="288"/>
      <c r="E1418" s="290"/>
      <c r="F1418" s="266"/>
      <c r="G1418" s="288"/>
      <c r="H1418" s="291"/>
      <c r="I1418" s="292"/>
      <c r="J1418" s="292"/>
      <c r="K1418" s="291"/>
      <c r="L1418" s="293"/>
      <c r="M1418" s="287"/>
      <c r="O1418" s="286"/>
      <c r="P1418" s="269"/>
      <c r="Q1418" s="269"/>
      <c r="R1418" s="269"/>
    </row>
    <row r="1419" spans="1:18" s="285" customFormat="1" ht="39.6" customHeight="1" x14ac:dyDescent="0.25">
      <c r="A1419" s="276"/>
      <c r="B1419" s="276"/>
      <c r="C1419" s="276"/>
      <c r="D1419" s="288"/>
      <c r="E1419" s="290"/>
      <c r="F1419" s="266"/>
      <c r="G1419" s="288"/>
      <c r="H1419" s="291"/>
      <c r="I1419" s="292"/>
      <c r="J1419" s="292"/>
      <c r="K1419" s="291"/>
      <c r="L1419" s="293"/>
      <c r="M1419" s="287"/>
      <c r="O1419" s="286"/>
      <c r="P1419" s="269"/>
      <c r="Q1419" s="269"/>
      <c r="R1419" s="269"/>
    </row>
    <row r="1420" spans="1:18" s="285" customFormat="1" ht="39.6" customHeight="1" x14ac:dyDescent="0.25">
      <c r="A1420" s="276"/>
      <c r="B1420" s="276"/>
      <c r="C1420" s="276"/>
      <c r="D1420" s="288"/>
      <c r="E1420" s="290"/>
      <c r="F1420" s="266"/>
      <c r="G1420" s="288"/>
      <c r="H1420" s="291"/>
      <c r="I1420" s="292"/>
      <c r="J1420" s="292"/>
      <c r="K1420" s="291"/>
      <c r="L1420" s="293"/>
      <c r="M1420" s="287"/>
      <c r="O1420" s="286"/>
      <c r="P1420" s="269"/>
      <c r="Q1420" s="269"/>
      <c r="R1420" s="269"/>
    </row>
    <row r="1421" spans="1:18" s="285" customFormat="1" ht="39.6" customHeight="1" x14ac:dyDescent="0.25">
      <c r="A1421" s="276"/>
      <c r="B1421" s="276"/>
      <c r="C1421" s="276"/>
      <c r="D1421" s="288"/>
      <c r="E1421" s="290"/>
      <c r="F1421" s="266"/>
      <c r="G1421" s="288"/>
      <c r="H1421" s="291"/>
      <c r="I1421" s="292"/>
      <c r="J1421" s="292"/>
      <c r="K1421" s="291"/>
      <c r="L1421" s="293"/>
      <c r="M1421" s="287"/>
      <c r="O1421" s="286"/>
      <c r="P1421" s="269"/>
      <c r="Q1421" s="269"/>
      <c r="R1421" s="269"/>
    </row>
    <row r="1422" spans="1:18" s="285" customFormat="1" ht="39.6" customHeight="1" x14ac:dyDescent="0.25">
      <c r="A1422" s="276"/>
      <c r="B1422" s="276"/>
      <c r="C1422" s="276"/>
      <c r="D1422" s="288"/>
      <c r="E1422" s="290"/>
      <c r="F1422" s="266"/>
      <c r="G1422" s="288"/>
      <c r="H1422" s="291"/>
      <c r="I1422" s="292"/>
      <c r="J1422" s="292"/>
      <c r="K1422" s="291"/>
      <c r="L1422" s="293"/>
      <c r="M1422" s="287"/>
      <c r="O1422" s="286"/>
      <c r="P1422" s="269"/>
      <c r="Q1422" s="269"/>
      <c r="R1422" s="269"/>
    </row>
    <row r="1423" spans="1:18" s="285" customFormat="1" ht="39.6" customHeight="1" x14ac:dyDescent="0.25">
      <c r="A1423" s="276"/>
      <c r="B1423" s="276"/>
      <c r="C1423" s="276"/>
      <c r="D1423" s="288"/>
      <c r="E1423" s="290"/>
      <c r="F1423" s="266"/>
      <c r="G1423" s="288"/>
      <c r="H1423" s="291"/>
      <c r="I1423" s="292"/>
      <c r="J1423" s="292"/>
      <c r="K1423" s="291"/>
      <c r="L1423" s="293"/>
      <c r="M1423" s="287"/>
      <c r="O1423" s="286"/>
      <c r="P1423" s="269"/>
      <c r="Q1423" s="269"/>
      <c r="R1423" s="269"/>
    </row>
    <row r="1424" spans="1:18" s="285" customFormat="1" ht="39.6" customHeight="1" x14ac:dyDescent="0.25">
      <c r="A1424" s="276"/>
      <c r="B1424" s="276"/>
      <c r="C1424" s="276"/>
      <c r="D1424" s="288"/>
      <c r="E1424" s="290"/>
      <c r="F1424" s="266"/>
      <c r="G1424" s="288"/>
      <c r="H1424" s="291"/>
      <c r="I1424" s="292"/>
      <c r="J1424" s="292"/>
      <c r="K1424" s="291"/>
      <c r="L1424" s="293"/>
      <c r="M1424" s="287"/>
      <c r="O1424" s="286"/>
      <c r="P1424" s="269"/>
      <c r="Q1424" s="269"/>
      <c r="R1424" s="269"/>
    </row>
    <row r="1425" spans="1:18" s="285" customFormat="1" ht="39.6" customHeight="1" x14ac:dyDescent="0.25">
      <c r="A1425" s="276"/>
      <c r="B1425" s="276"/>
      <c r="C1425" s="276"/>
      <c r="D1425" s="288"/>
      <c r="E1425" s="290"/>
      <c r="F1425" s="266"/>
      <c r="G1425" s="288"/>
      <c r="H1425" s="291"/>
      <c r="I1425" s="292"/>
      <c r="J1425" s="292"/>
      <c r="K1425" s="291"/>
      <c r="L1425" s="293"/>
      <c r="M1425" s="287"/>
      <c r="O1425" s="286"/>
      <c r="P1425" s="269"/>
      <c r="Q1425" s="269"/>
      <c r="R1425" s="269"/>
    </row>
    <row r="1426" spans="1:18" s="285" customFormat="1" ht="39.6" customHeight="1" x14ac:dyDescent="0.25">
      <c r="A1426" s="276"/>
      <c r="B1426" s="276"/>
      <c r="C1426" s="276"/>
      <c r="D1426" s="288"/>
      <c r="E1426" s="290"/>
      <c r="F1426" s="266"/>
      <c r="G1426" s="288"/>
      <c r="H1426" s="291"/>
      <c r="I1426" s="292"/>
      <c r="J1426" s="292"/>
      <c r="K1426" s="291"/>
      <c r="L1426" s="293"/>
      <c r="M1426" s="287"/>
      <c r="O1426" s="286"/>
      <c r="P1426" s="269"/>
      <c r="Q1426" s="269"/>
      <c r="R1426" s="269"/>
    </row>
    <row r="1427" spans="1:18" s="285" customFormat="1" ht="39.6" customHeight="1" x14ac:dyDescent="0.25">
      <c r="A1427" s="276"/>
      <c r="B1427" s="276"/>
      <c r="C1427" s="276"/>
      <c r="D1427" s="288"/>
      <c r="E1427" s="290"/>
      <c r="F1427" s="266"/>
      <c r="G1427" s="288"/>
      <c r="H1427" s="291"/>
      <c r="I1427" s="292"/>
      <c r="J1427" s="292"/>
      <c r="K1427" s="291"/>
      <c r="L1427" s="293"/>
      <c r="M1427" s="287"/>
      <c r="O1427" s="286"/>
      <c r="P1427" s="269"/>
      <c r="Q1427" s="269"/>
      <c r="R1427" s="269"/>
    </row>
    <row r="1428" spans="1:18" s="285" customFormat="1" ht="39.6" customHeight="1" x14ac:dyDescent="0.25">
      <c r="A1428" s="276"/>
      <c r="B1428" s="276"/>
      <c r="C1428" s="276"/>
      <c r="D1428" s="288"/>
      <c r="E1428" s="290"/>
      <c r="F1428" s="266"/>
      <c r="G1428" s="288"/>
      <c r="H1428" s="291"/>
      <c r="I1428" s="292"/>
      <c r="J1428" s="292"/>
      <c r="K1428" s="291"/>
      <c r="L1428" s="293"/>
      <c r="M1428" s="287"/>
      <c r="O1428" s="286"/>
      <c r="P1428" s="269"/>
      <c r="Q1428" s="269"/>
      <c r="R1428" s="269"/>
    </row>
    <row r="1429" spans="1:18" s="285" customFormat="1" ht="39.6" customHeight="1" x14ac:dyDescent="0.25">
      <c r="A1429" s="276"/>
      <c r="B1429" s="276"/>
      <c r="C1429" s="276"/>
      <c r="D1429" s="288"/>
      <c r="E1429" s="290"/>
      <c r="F1429" s="266"/>
      <c r="G1429" s="288"/>
      <c r="H1429" s="291"/>
      <c r="I1429" s="292"/>
      <c r="J1429" s="292"/>
      <c r="K1429" s="291"/>
      <c r="L1429" s="293"/>
      <c r="M1429" s="287"/>
      <c r="O1429" s="286"/>
      <c r="P1429" s="269"/>
      <c r="Q1429" s="269"/>
      <c r="R1429" s="269"/>
    </row>
    <row r="1430" spans="1:18" s="285" customFormat="1" ht="39.6" customHeight="1" x14ac:dyDescent="0.25">
      <c r="A1430" s="276"/>
      <c r="B1430" s="276"/>
      <c r="C1430" s="276"/>
      <c r="D1430" s="288"/>
      <c r="E1430" s="290"/>
      <c r="F1430" s="266"/>
      <c r="G1430" s="288"/>
      <c r="H1430" s="291"/>
      <c r="I1430" s="292"/>
      <c r="J1430" s="292"/>
      <c r="K1430" s="291"/>
      <c r="L1430" s="293"/>
      <c r="M1430" s="287"/>
      <c r="O1430" s="286"/>
      <c r="P1430" s="269"/>
      <c r="Q1430" s="269"/>
      <c r="R1430" s="269"/>
    </row>
    <row r="1431" spans="1:18" s="285" customFormat="1" ht="39.6" customHeight="1" x14ac:dyDescent="0.25">
      <c r="A1431" s="276"/>
      <c r="B1431" s="276"/>
      <c r="C1431" s="276"/>
      <c r="D1431" s="288"/>
      <c r="E1431" s="290"/>
      <c r="F1431" s="266"/>
      <c r="G1431" s="288"/>
      <c r="H1431" s="291"/>
      <c r="I1431" s="292"/>
      <c r="J1431" s="292"/>
      <c r="K1431" s="291"/>
      <c r="L1431" s="293"/>
      <c r="M1431" s="287"/>
      <c r="O1431" s="286"/>
      <c r="P1431" s="269"/>
      <c r="Q1431" s="269"/>
      <c r="R1431" s="269"/>
    </row>
    <row r="1432" spans="1:18" s="285" customFormat="1" ht="39.6" customHeight="1" x14ac:dyDescent="0.25">
      <c r="A1432" s="276"/>
      <c r="B1432" s="276"/>
      <c r="C1432" s="276"/>
      <c r="D1432" s="288"/>
      <c r="E1432" s="290"/>
      <c r="F1432" s="266"/>
      <c r="G1432" s="288"/>
      <c r="H1432" s="291"/>
      <c r="I1432" s="292"/>
      <c r="J1432" s="292"/>
      <c r="K1432" s="291"/>
      <c r="L1432" s="293"/>
      <c r="M1432" s="287"/>
      <c r="O1432" s="286"/>
      <c r="P1432" s="269"/>
      <c r="Q1432" s="269"/>
      <c r="R1432" s="269"/>
    </row>
    <row r="1433" spans="1:18" s="285" customFormat="1" ht="39.6" customHeight="1" x14ac:dyDescent="0.25">
      <c r="A1433" s="276"/>
      <c r="B1433" s="276"/>
      <c r="C1433" s="276"/>
      <c r="D1433" s="288"/>
      <c r="E1433" s="290"/>
      <c r="F1433" s="266"/>
      <c r="G1433" s="288"/>
      <c r="H1433" s="291"/>
      <c r="I1433" s="292"/>
      <c r="J1433" s="292"/>
      <c r="K1433" s="291"/>
      <c r="L1433" s="293"/>
      <c r="M1433" s="287"/>
      <c r="O1433" s="286"/>
      <c r="P1433" s="269"/>
      <c r="Q1433" s="269"/>
      <c r="R1433" s="269"/>
    </row>
    <row r="1434" spans="1:18" s="285" customFormat="1" ht="39.6" customHeight="1" x14ac:dyDescent="0.25">
      <c r="A1434" s="276"/>
      <c r="B1434" s="276"/>
      <c r="C1434" s="276"/>
      <c r="D1434" s="288"/>
      <c r="E1434" s="290"/>
      <c r="F1434" s="266"/>
      <c r="G1434" s="288"/>
      <c r="H1434" s="291"/>
      <c r="I1434" s="292"/>
      <c r="J1434" s="292"/>
      <c r="K1434" s="291"/>
      <c r="L1434" s="293"/>
      <c r="M1434" s="287"/>
      <c r="O1434" s="286"/>
      <c r="P1434" s="269"/>
      <c r="Q1434" s="269"/>
      <c r="R1434" s="269"/>
    </row>
    <row r="1435" spans="1:18" s="285" customFormat="1" ht="39.6" customHeight="1" x14ac:dyDescent="0.25">
      <c r="A1435" s="276"/>
      <c r="B1435" s="276"/>
      <c r="C1435" s="276"/>
      <c r="D1435" s="288"/>
      <c r="E1435" s="290"/>
      <c r="F1435" s="266"/>
      <c r="G1435" s="288"/>
      <c r="H1435" s="291"/>
      <c r="I1435" s="292"/>
      <c r="J1435" s="292"/>
      <c r="K1435" s="291"/>
      <c r="L1435" s="293"/>
      <c r="M1435" s="287"/>
      <c r="O1435" s="286"/>
      <c r="P1435" s="269"/>
      <c r="Q1435" s="269"/>
      <c r="R1435" s="269"/>
    </row>
    <row r="1436" spans="1:18" s="285" customFormat="1" ht="39.6" customHeight="1" x14ac:dyDescent="0.25">
      <c r="A1436" s="276"/>
      <c r="B1436" s="276"/>
      <c r="C1436" s="276"/>
      <c r="D1436" s="288"/>
      <c r="E1436" s="290"/>
      <c r="F1436" s="266"/>
      <c r="G1436" s="288"/>
      <c r="H1436" s="291"/>
      <c r="I1436" s="292"/>
      <c r="J1436" s="292"/>
      <c r="K1436" s="291"/>
      <c r="L1436" s="293"/>
      <c r="M1436" s="287"/>
      <c r="O1436" s="286"/>
      <c r="P1436" s="269"/>
      <c r="Q1436" s="269"/>
      <c r="R1436" s="269"/>
    </row>
    <row r="1437" spans="1:18" s="285" customFormat="1" ht="39.6" customHeight="1" x14ac:dyDescent="0.25">
      <c r="A1437" s="276"/>
      <c r="B1437" s="276"/>
      <c r="C1437" s="276"/>
      <c r="D1437" s="288"/>
      <c r="E1437" s="290"/>
      <c r="F1437" s="266"/>
      <c r="G1437" s="288"/>
      <c r="H1437" s="291"/>
      <c r="I1437" s="292"/>
      <c r="J1437" s="292"/>
      <c r="K1437" s="291"/>
      <c r="L1437" s="293"/>
      <c r="M1437" s="287"/>
      <c r="O1437" s="286"/>
      <c r="P1437" s="269"/>
      <c r="Q1437" s="269"/>
      <c r="R1437" s="269"/>
    </row>
    <row r="1438" spans="1:18" s="285" customFormat="1" ht="39.6" customHeight="1" x14ac:dyDescent="0.25">
      <c r="A1438" s="276"/>
      <c r="B1438" s="276"/>
      <c r="C1438" s="276"/>
      <c r="D1438" s="288"/>
      <c r="E1438" s="290"/>
      <c r="F1438" s="266"/>
      <c r="G1438" s="288"/>
      <c r="H1438" s="291"/>
      <c r="I1438" s="292"/>
      <c r="J1438" s="292"/>
      <c r="K1438" s="291"/>
      <c r="L1438" s="293"/>
      <c r="M1438" s="287"/>
      <c r="O1438" s="286"/>
      <c r="P1438" s="269"/>
      <c r="Q1438" s="269"/>
      <c r="R1438" s="269"/>
    </row>
    <row r="1439" spans="1:18" s="285" customFormat="1" ht="39.6" customHeight="1" x14ac:dyDescent="0.25">
      <c r="A1439" s="276"/>
      <c r="B1439" s="276"/>
      <c r="C1439" s="276"/>
      <c r="D1439" s="288"/>
      <c r="E1439" s="290"/>
      <c r="F1439" s="266"/>
      <c r="G1439" s="288"/>
      <c r="H1439" s="291"/>
      <c r="I1439" s="292"/>
      <c r="J1439" s="292"/>
      <c r="K1439" s="291"/>
      <c r="L1439" s="293"/>
      <c r="M1439" s="287"/>
      <c r="O1439" s="286"/>
      <c r="P1439" s="269"/>
      <c r="Q1439" s="269"/>
      <c r="R1439" s="269"/>
    </row>
    <row r="1440" spans="1:18" s="285" customFormat="1" ht="39.6" customHeight="1" x14ac:dyDescent="0.25">
      <c r="A1440" s="276"/>
      <c r="B1440" s="276"/>
      <c r="C1440" s="276"/>
      <c r="D1440" s="288"/>
      <c r="E1440" s="290"/>
      <c r="F1440" s="266"/>
      <c r="G1440" s="288"/>
      <c r="H1440" s="291"/>
      <c r="I1440" s="292"/>
      <c r="J1440" s="292"/>
      <c r="K1440" s="291"/>
      <c r="L1440" s="293"/>
      <c r="M1440" s="287"/>
      <c r="O1440" s="286"/>
      <c r="P1440" s="269"/>
      <c r="Q1440" s="269"/>
      <c r="R1440" s="269"/>
    </row>
    <row r="1441" spans="1:18" s="285" customFormat="1" ht="39.6" customHeight="1" x14ac:dyDescent="0.25">
      <c r="A1441" s="276"/>
      <c r="B1441" s="276"/>
      <c r="C1441" s="276"/>
      <c r="D1441" s="288"/>
      <c r="E1441" s="290"/>
      <c r="F1441" s="266"/>
      <c r="G1441" s="288"/>
      <c r="H1441" s="291"/>
      <c r="I1441" s="292"/>
      <c r="J1441" s="292"/>
      <c r="K1441" s="291"/>
      <c r="L1441" s="293"/>
      <c r="M1441" s="287"/>
      <c r="O1441" s="286"/>
      <c r="P1441" s="269"/>
      <c r="Q1441" s="269"/>
      <c r="R1441" s="269"/>
    </row>
    <row r="1442" spans="1:18" s="285" customFormat="1" ht="39.6" customHeight="1" x14ac:dyDescent="0.25">
      <c r="A1442" s="276"/>
      <c r="B1442" s="276"/>
      <c r="C1442" s="276"/>
      <c r="D1442" s="288"/>
      <c r="E1442" s="290"/>
      <c r="F1442" s="266"/>
      <c r="G1442" s="288"/>
      <c r="H1442" s="291"/>
      <c r="I1442" s="292"/>
      <c r="J1442" s="292"/>
      <c r="K1442" s="291"/>
      <c r="L1442" s="293"/>
      <c r="M1442" s="287"/>
      <c r="O1442" s="286"/>
      <c r="P1442" s="269"/>
      <c r="Q1442" s="269"/>
      <c r="R1442" s="269"/>
    </row>
    <row r="1443" spans="1:18" s="285" customFormat="1" ht="39.6" customHeight="1" x14ac:dyDescent="0.25">
      <c r="A1443" s="276"/>
      <c r="B1443" s="276"/>
      <c r="C1443" s="276"/>
      <c r="D1443" s="288"/>
      <c r="E1443" s="290"/>
      <c r="F1443" s="266"/>
      <c r="G1443" s="288"/>
      <c r="H1443" s="291"/>
      <c r="I1443" s="292"/>
      <c r="J1443" s="292"/>
      <c r="K1443" s="291"/>
      <c r="L1443" s="293"/>
      <c r="M1443" s="287"/>
      <c r="O1443" s="286"/>
      <c r="P1443" s="269"/>
      <c r="Q1443" s="269"/>
      <c r="R1443" s="269"/>
    </row>
    <row r="1444" spans="1:18" s="285" customFormat="1" ht="39.6" customHeight="1" x14ac:dyDescent="0.25">
      <c r="A1444" s="276"/>
      <c r="B1444" s="276"/>
      <c r="C1444" s="276"/>
      <c r="D1444" s="288"/>
      <c r="E1444" s="290"/>
      <c r="F1444" s="266"/>
      <c r="G1444" s="288"/>
      <c r="H1444" s="291"/>
      <c r="I1444" s="292"/>
      <c r="J1444" s="292"/>
      <c r="K1444" s="291"/>
      <c r="L1444" s="293"/>
      <c r="M1444" s="287"/>
      <c r="O1444" s="286"/>
      <c r="P1444" s="269"/>
      <c r="Q1444" s="269"/>
      <c r="R1444" s="269"/>
    </row>
    <row r="1445" spans="1:18" s="285" customFormat="1" ht="39.6" customHeight="1" x14ac:dyDescent="0.25">
      <c r="A1445" s="276"/>
      <c r="B1445" s="276"/>
      <c r="C1445" s="276"/>
      <c r="D1445" s="288"/>
      <c r="E1445" s="290"/>
      <c r="F1445" s="266"/>
      <c r="G1445" s="288"/>
      <c r="H1445" s="291"/>
      <c r="I1445" s="292"/>
      <c r="J1445" s="292"/>
      <c r="K1445" s="291"/>
      <c r="L1445" s="293"/>
      <c r="M1445" s="287"/>
      <c r="O1445" s="286"/>
      <c r="P1445" s="269"/>
      <c r="Q1445" s="269"/>
      <c r="R1445" s="269"/>
    </row>
    <row r="1446" spans="1:18" s="285" customFormat="1" ht="39.6" customHeight="1" x14ac:dyDescent="0.25">
      <c r="A1446" s="276"/>
      <c r="B1446" s="276"/>
      <c r="C1446" s="276"/>
      <c r="D1446" s="288"/>
      <c r="E1446" s="290"/>
      <c r="F1446" s="266"/>
      <c r="G1446" s="288"/>
      <c r="H1446" s="291"/>
      <c r="I1446" s="292"/>
      <c r="J1446" s="292"/>
      <c r="K1446" s="291"/>
      <c r="L1446" s="293"/>
      <c r="M1446" s="287"/>
      <c r="O1446" s="286"/>
      <c r="P1446" s="269"/>
      <c r="Q1446" s="269"/>
      <c r="R1446" s="269"/>
    </row>
    <row r="1447" spans="1:18" s="285" customFormat="1" ht="39.6" customHeight="1" x14ac:dyDescent="0.25">
      <c r="A1447" s="276"/>
      <c r="B1447" s="276"/>
      <c r="C1447" s="276"/>
      <c r="D1447" s="288"/>
      <c r="E1447" s="290"/>
      <c r="F1447" s="266"/>
      <c r="G1447" s="288"/>
      <c r="H1447" s="291"/>
      <c r="I1447" s="292"/>
      <c r="J1447" s="292"/>
      <c r="K1447" s="291"/>
      <c r="L1447" s="293"/>
      <c r="M1447" s="287"/>
      <c r="O1447" s="286"/>
      <c r="P1447" s="269"/>
      <c r="Q1447" s="269"/>
      <c r="R1447" s="269"/>
    </row>
    <row r="1448" spans="1:18" s="285" customFormat="1" ht="39.6" customHeight="1" x14ac:dyDescent="0.25">
      <c r="A1448" s="276"/>
      <c r="B1448" s="276"/>
      <c r="C1448" s="276"/>
      <c r="D1448" s="288"/>
      <c r="E1448" s="290"/>
      <c r="F1448" s="266"/>
      <c r="G1448" s="288"/>
      <c r="H1448" s="291"/>
      <c r="I1448" s="292"/>
      <c r="J1448" s="292"/>
      <c r="K1448" s="291"/>
      <c r="L1448" s="293"/>
      <c r="M1448" s="287"/>
      <c r="O1448" s="286"/>
      <c r="P1448" s="269"/>
      <c r="Q1448" s="269"/>
      <c r="R1448" s="269"/>
    </row>
    <row r="1449" spans="1:18" s="285" customFormat="1" ht="39.6" customHeight="1" x14ac:dyDescent="0.25">
      <c r="A1449" s="276"/>
      <c r="B1449" s="276"/>
      <c r="C1449" s="276"/>
      <c r="D1449" s="288"/>
      <c r="E1449" s="290"/>
      <c r="F1449" s="266"/>
      <c r="G1449" s="288"/>
      <c r="H1449" s="291"/>
      <c r="I1449" s="292"/>
      <c r="J1449" s="292"/>
      <c r="K1449" s="291"/>
      <c r="L1449" s="293"/>
      <c r="M1449" s="287"/>
      <c r="O1449" s="286"/>
      <c r="P1449" s="269"/>
      <c r="Q1449" s="269"/>
      <c r="R1449" s="269"/>
    </row>
    <row r="1450" spans="1:18" s="285" customFormat="1" ht="39.6" customHeight="1" x14ac:dyDescent="0.25">
      <c r="A1450" s="276"/>
      <c r="B1450" s="276"/>
      <c r="C1450" s="276"/>
      <c r="D1450" s="288"/>
      <c r="E1450" s="290"/>
      <c r="F1450" s="266"/>
      <c r="G1450" s="288"/>
      <c r="H1450" s="291"/>
      <c r="I1450" s="292"/>
      <c r="J1450" s="292"/>
      <c r="K1450" s="291"/>
      <c r="L1450" s="293"/>
      <c r="M1450" s="287"/>
      <c r="O1450" s="286"/>
      <c r="P1450" s="269"/>
      <c r="Q1450" s="269"/>
      <c r="R1450" s="269"/>
    </row>
    <row r="1451" spans="1:18" s="285" customFormat="1" ht="39.6" customHeight="1" x14ac:dyDescent="0.25">
      <c r="A1451" s="276"/>
      <c r="B1451" s="276"/>
      <c r="C1451" s="276"/>
      <c r="D1451" s="288"/>
      <c r="E1451" s="290"/>
      <c r="F1451" s="266"/>
      <c r="G1451" s="288"/>
      <c r="H1451" s="291"/>
      <c r="I1451" s="292"/>
      <c r="J1451" s="292"/>
      <c r="K1451" s="291"/>
      <c r="L1451" s="293"/>
      <c r="M1451" s="287"/>
      <c r="O1451" s="286"/>
      <c r="P1451" s="269"/>
      <c r="Q1451" s="269"/>
      <c r="R1451" s="269"/>
    </row>
    <row r="1452" spans="1:18" s="285" customFormat="1" ht="39.6" customHeight="1" x14ac:dyDescent="0.25">
      <c r="A1452" s="276"/>
      <c r="B1452" s="276"/>
      <c r="C1452" s="276"/>
      <c r="D1452" s="288"/>
      <c r="E1452" s="290"/>
      <c r="F1452" s="266"/>
      <c r="G1452" s="288"/>
      <c r="H1452" s="291"/>
      <c r="I1452" s="292"/>
      <c r="J1452" s="292"/>
      <c r="K1452" s="291"/>
      <c r="L1452" s="293"/>
      <c r="M1452" s="287"/>
      <c r="O1452" s="286"/>
      <c r="P1452" s="269"/>
      <c r="Q1452" s="269"/>
      <c r="R1452" s="269"/>
    </row>
    <row r="1453" spans="1:18" s="285" customFormat="1" ht="39.6" customHeight="1" x14ac:dyDescent="0.25">
      <c r="A1453" s="276"/>
      <c r="B1453" s="276"/>
      <c r="C1453" s="276"/>
      <c r="D1453" s="288"/>
      <c r="E1453" s="290"/>
      <c r="F1453" s="266"/>
      <c r="G1453" s="288"/>
      <c r="H1453" s="291"/>
      <c r="I1453" s="292"/>
      <c r="J1453" s="292"/>
      <c r="K1453" s="291"/>
      <c r="L1453" s="293"/>
      <c r="M1453" s="287"/>
      <c r="O1453" s="286"/>
      <c r="P1453" s="269"/>
      <c r="Q1453" s="269"/>
      <c r="R1453" s="269"/>
    </row>
    <row r="1454" spans="1:18" s="285" customFormat="1" ht="39.6" customHeight="1" x14ac:dyDescent="0.25">
      <c r="A1454" s="276"/>
      <c r="B1454" s="276"/>
      <c r="C1454" s="276"/>
      <c r="D1454" s="288"/>
      <c r="E1454" s="290"/>
      <c r="F1454" s="266"/>
      <c r="G1454" s="288"/>
      <c r="H1454" s="291"/>
      <c r="I1454" s="292"/>
      <c r="J1454" s="292"/>
      <c r="K1454" s="291"/>
      <c r="L1454" s="293"/>
      <c r="M1454" s="287"/>
      <c r="O1454" s="286"/>
      <c r="P1454" s="269"/>
      <c r="Q1454" s="269"/>
      <c r="R1454" s="269"/>
    </row>
    <row r="1455" spans="1:18" s="285" customFormat="1" ht="39.6" customHeight="1" x14ac:dyDescent="0.25">
      <c r="A1455" s="276"/>
      <c r="B1455" s="276"/>
      <c r="C1455" s="276"/>
      <c r="D1455" s="288"/>
      <c r="E1455" s="290"/>
      <c r="F1455" s="266"/>
      <c r="G1455" s="288"/>
      <c r="H1455" s="291"/>
      <c r="I1455" s="292"/>
      <c r="J1455" s="292"/>
      <c r="K1455" s="291"/>
      <c r="L1455" s="293"/>
      <c r="M1455" s="287"/>
      <c r="O1455" s="286"/>
      <c r="P1455" s="269"/>
      <c r="Q1455" s="269"/>
      <c r="R1455" s="269"/>
    </row>
    <row r="1456" spans="1:18" s="285" customFormat="1" ht="39.6" customHeight="1" x14ac:dyDescent="0.25">
      <c r="A1456" s="276"/>
      <c r="B1456" s="276"/>
      <c r="C1456" s="276"/>
      <c r="D1456" s="288"/>
      <c r="E1456" s="290"/>
      <c r="F1456" s="266"/>
      <c r="G1456" s="288"/>
      <c r="H1456" s="291"/>
      <c r="I1456" s="292"/>
      <c r="J1456" s="292"/>
      <c r="K1456" s="291"/>
      <c r="L1456" s="293"/>
      <c r="M1456" s="287"/>
      <c r="O1456" s="286"/>
      <c r="P1456" s="269"/>
      <c r="Q1456" s="269"/>
      <c r="R1456" s="269"/>
    </row>
    <row r="1457" spans="1:18" s="285" customFormat="1" ht="39.6" customHeight="1" x14ac:dyDescent="0.25">
      <c r="A1457" s="276"/>
      <c r="B1457" s="276"/>
      <c r="C1457" s="276"/>
      <c r="D1457" s="288"/>
      <c r="E1457" s="290"/>
      <c r="F1457" s="266"/>
      <c r="G1457" s="288"/>
      <c r="H1457" s="291"/>
      <c r="I1457" s="292"/>
      <c r="J1457" s="292"/>
      <c r="K1457" s="291"/>
      <c r="L1457" s="293"/>
      <c r="M1457" s="287"/>
      <c r="O1457" s="286"/>
      <c r="P1457" s="269"/>
      <c r="Q1457" s="269"/>
      <c r="R1457" s="269"/>
    </row>
    <row r="1458" spans="1:18" s="285" customFormat="1" ht="39.6" customHeight="1" x14ac:dyDescent="0.25">
      <c r="A1458" s="276"/>
      <c r="B1458" s="276"/>
      <c r="C1458" s="276"/>
      <c r="D1458" s="288"/>
      <c r="E1458" s="290"/>
      <c r="F1458" s="266"/>
      <c r="G1458" s="288"/>
      <c r="H1458" s="291"/>
      <c r="I1458" s="292"/>
      <c r="J1458" s="292"/>
      <c r="K1458" s="291"/>
      <c r="L1458" s="293"/>
      <c r="M1458" s="287"/>
      <c r="O1458" s="286"/>
      <c r="P1458" s="269"/>
      <c r="Q1458" s="269"/>
      <c r="R1458" s="269"/>
    </row>
    <row r="1459" spans="1:18" s="285" customFormat="1" ht="39.6" customHeight="1" x14ac:dyDescent="0.25">
      <c r="A1459" s="276"/>
      <c r="B1459" s="276"/>
      <c r="C1459" s="276"/>
      <c r="D1459" s="288"/>
      <c r="E1459" s="290"/>
      <c r="F1459" s="266"/>
      <c r="G1459" s="288"/>
      <c r="H1459" s="291"/>
      <c r="I1459" s="292"/>
      <c r="J1459" s="292"/>
      <c r="K1459" s="291"/>
      <c r="L1459" s="293"/>
      <c r="M1459" s="287"/>
      <c r="O1459" s="286"/>
      <c r="P1459" s="269"/>
      <c r="Q1459" s="269"/>
      <c r="R1459" s="269"/>
    </row>
    <row r="1460" spans="1:18" s="285" customFormat="1" ht="39.6" customHeight="1" x14ac:dyDescent="0.25">
      <c r="A1460" s="276"/>
      <c r="B1460" s="276"/>
      <c r="C1460" s="276"/>
      <c r="D1460" s="288"/>
      <c r="E1460" s="290"/>
      <c r="F1460" s="266"/>
      <c r="G1460" s="288"/>
      <c r="H1460" s="291"/>
      <c r="I1460" s="292"/>
      <c r="J1460" s="292"/>
      <c r="K1460" s="291"/>
      <c r="L1460" s="293"/>
      <c r="M1460" s="287"/>
      <c r="O1460" s="286"/>
      <c r="P1460" s="269"/>
      <c r="Q1460" s="269"/>
      <c r="R1460" s="269"/>
    </row>
    <row r="1461" spans="1:18" s="285" customFormat="1" ht="39.6" customHeight="1" x14ac:dyDescent="0.25">
      <c r="A1461" s="276"/>
      <c r="B1461" s="276"/>
      <c r="C1461" s="276"/>
      <c r="D1461" s="288"/>
      <c r="E1461" s="290"/>
      <c r="F1461" s="266"/>
      <c r="G1461" s="288"/>
      <c r="H1461" s="291"/>
      <c r="I1461" s="292"/>
      <c r="J1461" s="292"/>
      <c r="K1461" s="291"/>
      <c r="L1461" s="293"/>
      <c r="M1461" s="287"/>
      <c r="O1461" s="286"/>
      <c r="P1461" s="269"/>
      <c r="Q1461" s="269"/>
      <c r="R1461" s="269"/>
    </row>
    <row r="1462" spans="1:18" s="285" customFormat="1" ht="39.6" customHeight="1" x14ac:dyDescent="0.25">
      <c r="A1462" s="276"/>
      <c r="B1462" s="276"/>
      <c r="C1462" s="276"/>
      <c r="D1462" s="288"/>
      <c r="E1462" s="290"/>
      <c r="F1462" s="266"/>
      <c r="G1462" s="288"/>
      <c r="H1462" s="291"/>
      <c r="I1462" s="292"/>
      <c r="J1462" s="292"/>
      <c r="K1462" s="291"/>
      <c r="L1462" s="293"/>
      <c r="M1462" s="287"/>
      <c r="O1462" s="286"/>
      <c r="P1462" s="269"/>
      <c r="Q1462" s="269"/>
      <c r="R1462" s="269"/>
    </row>
    <row r="1463" spans="1:18" s="285" customFormat="1" ht="39.6" customHeight="1" x14ac:dyDescent="0.25">
      <c r="A1463" s="276"/>
      <c r="B1463" s="276"/>
      <c r="C1463" s="276"/>
      <c r="D1463" s="288"/>
      <c r="E1463" s="290"/>
      <c r="F1463" s="266"/>
      <c r="G1463" s="288"/>
      <c r="H1463" s="291"/>
      <c r="I1463" s="292"/>
      <c r="J1463" s="292"/>
      <c r="K1463" s="291"/>
      <c r="L1463" s="293"/>
      <c r="M1463" s="287"/>
      <c r="O1463" s="286"/>
      <c r="P1463" s="269"/>
      <c r="Q1463" s="269"/>
      <c r="R1463" s="269"/>
    </row>
    <row r="1464" spans="1:18" s="285" customFormat="1" ht="39.6" customHeight="1" x14ac:dyDescent="0.25">
      <c r="A1464" s="276"/>
      <c r="B1464" s="276"/>
      <c r="C1464" s="276"/>
      <c r="D1464" s="288"/>
      <c r="E1464" s="290"/>
      <c r="F1464" s="266"/>
      <c r="G1464" s="288"/>
      <c r="H1464" s="291"/>
      <c r="I1464" s="292"/>
      <c r="J1464" s="292"/>
      <c r="K1464" s="291"/>
      <c r="L1464" s="293"/>
      <c r="M1464" s="287"/>
      <c r="O1464" s="286"/>
      <c r="P1464" s="269"/>
      <c r="Q1464" s="269"/>
      <c r="R1464" s="269"/>
    </row>
    <row r="1465" spans="1:18" s="285" customFormat="1" ht="39.6" customHeight="1" x14ac:dyDescent="0.25">
      <c r="A1465" s="276"/>
      <c r="B1465" s="276"/>
      <c r="C1465" s="276"/>
      <c r="D1465" s="288"/>
      <c r="E1465" s="290"/>
      <c r="F1465" s="266"/>
      <c r="G1465" s="288"/>
      <c r="H1465" s="291"/>
      <c r="I1465" s="292"/>
      <c r="J1465" s="292"/>
      <c r="K1465" s="291"/>
      <c r="L1465" s="293"/>
      <c r="M1465" s="287"/>
      <c r="O1465" s="286"/>
      <c r="P1465" s="269"/>
      <c r="Q1465" s="269"/>
      <c r="R1465" s="269"/>
    </row>
    <row r="1466" spans="1:18" s="285" customFormat="1" ht="39.6" customHeight="1" x14ac:dyDescent="0.25">
      <c r="A1466" s="276"/>
      <c r="B1466" s="276"/>
      <c r="C1466" s="276"/>
      <c r="D1466" s="288"/>
      <c r="E1466" s="290"/>
      <c r="F1466" s="266"/>
      <c r="G1466" s="288"/>
      <c r="H1466" s="291"/>
      <c r="I1466" s="292"/>
      <c r="J1466" s="292"/>
      <c r="K1466" s="291"/>
      <c r="L1466" s="293"/>
      <c r="M1466" s="287"/>
      <c r="O1466" s="286"/>
      <c r="P1466" s="269"/>
      <c r="Q1466" s="269"/>
      <c r="R1466" s="269"/>
    </row>
    <row r="1467" spans="1:18" s="285" customFormat="1" ht="39.6" customHeight="1" x14ac:dyDescent="0.25">
      <c r="A1467" s="276"/>
      <c r="B1467" s="276"/>
      <c r="C1467" s="276"/>
      <c r="D1467" s="288"/>
      <c r="E1467" s="290"/>
      <c r="F1467" s="266"/>
      <c r="G1467" s="288"/>
      <c r="H1467" s="291"/>
      <c r="I1467" s="292"/>
      <c r="J1467" s="292"/>
      <c r="K1467" s="291"/>
      <c r="L1467" s="293"/>
      <c r="M1467" s="287"/>
      <c r="O1467" s="286"/>
      <c r="P1467" s="269"/>
      <c r="Q1467" s="269"/>
      <c r="R1467" s="269"/>
    </row>
    <row r="1468" spans="1:18" s="285" customFormat="1" ht="39.6" customHeight="1" x14ac:dyDescent="0.25">
      <c r="A1468" s="276"/>
      <c r="B1468" s="276"/>
      <c r="C1468" s="276"/>
      <c r="D1468" s="288"/>
      <c r="E1468" s="290"/>
      <c r="F1468" s="266"/>
      <c r="G1468" s="288"/>
      <c r="H1468" s="291"/>
      <c r="I1468" s="292"/>
      <c r="J1468" s="292"/>
      <c r="K1468" s="291"/>
      <c r="L1468" s="293"/>
      <c r="M1468" s="287"/>
      <c r="O1468" s="286"/>
      <c r="P1468" s="269"/>
      <c r="Q1468" s="269"/>
      <c r="R1468" s="269"/>
    </row>
    <row r="1469" spans="1:18" s="285" customFormat="1" ht="39.6" customHeight="1" x14ac:dyDescent="0.25">
      <c r="A1469" s="276"/>
      <c r="B1469" s="276"/>
      <c r="C1469" s="276"/>
      <c r="D1469" s="288"/>
      <c r="E1469" s="290"/>
      <c r="F1469" s="266"/>
      <c r="G1469" s="288"/>
      <c r="H1469" s="291"/>
      <c r="I1469" s="292"/>
      <c r="J1469" s="292"/>
      <c r="K1469" s="291"/>
      <c r="L1469" s="293"/>
      <c r="M1469" s="287"/>
      <c r="O1469" s="286"/>
      <c r="P1469" s="269"/>
      <c r="Q1469" s="269"/>
      <c r="R1469" s="269"/>
    </row>
    <row r="1470" spans="1:18" s="285" customFormat="1" ht="39.6" customHeight="1" x14ac:dyDescent="0.25">
      <c r="A1470" s="276"/>
      <c r="B1470" s="276"/>
      <c r="C1470" s="276"/>
      <c r="D1470" s="288"/>
      <c r="E1470" s="290"/>
      <c r="F1470" s="266"/>
      <c r="G1470" s="288"/>
      <c r="H1470" s="291"/>
      <c r="I1470" s="292"/>
      <c r="J1470" s="292"/>
      <c r="K1470" s="291"/>
      <c r="L1470" s="293"/>
      <c r="M1470" s="287"/>
      <c r="O1470" s="286"/>
      <c r="P1470" s="269"/>
      <c r="Q1470" s="269"/>
      <c r="R1470" s="269"/>
    </row>
    <row r="1471" spans="1:18" s="285" customFormat="1" ht="39.6" customHeight="1" x14ac:dyDescent="0.25">
      <c r="A1471" s="276"/>
      <c r="B1471" s="276"/>
      <c r="C1471" s="276"/>
      <c r="D1471" s="288"/>
      <c r="E1471" s="290"/>
      <c r="F1471" s="266"/>
      <c r="G1471" s="288"/>
      <c r="H1471" s="291"/>
      <c r="I1471" s="292"/>
      <c r="J1471" s="292"/>
      <c r="K1471" s="291"/>
      <c r="L1471" s="293"/>
      <c r="M1471" s="287"/>
      <c r="O1471" s="286"/>
      <c r="P1471" s="269"/>
      <c r="Q1471" s="269"/>
      <c r="R1471" s="269"/>
    </row>
    <row r="1472" spans="1:18" s="285" customFormat="1" ht="39.6" customHeight="1" x14ac:dyDescent="0.25">
      <c r="A1472" s="276"/>
      <c r="B1472" s="276"/>
      <c r="C1472" s="276"/>
      <c r="D1472" s="288"/>
      <c r="E1472" s="290"/>
      <c r="F1472" s="266"/>
      <c r="G1472" s="288"/>
      <c r="H1472" s="291"/>
      <c r="I1472" s="292"/>
      <c r="J1472" s="292"/>
      <c r="K1472" s="291"/>
      <c r="L1472" s="293"/>
      <c r="M1472" s="287"/>
      <c r="O1472" s="286"/>
      <c r="P1472" s="269"/>
      <c r="Q1472" s="269"/>
      <c r="R1472" s="269"/>
    </row>
    <row r="1473" spans="1:18" s="285" customFormat="1" ht="39.6" customHeight="1" x14ac:dyDescent="0.25">
      <c r="A1473" s="276"/>
      <c r="B1473" s="276"/>
      <c r="C1473" s="276"/>
      <c r="D1473" s="288"/>
      <c r="E1473" s="290"/>
      <c r="F1473" s="266"/>
      <c r="G1473" s="288"/>
      <c r="H1473" s="291"/>
      <c r="I1473" s="292"/>
      <c r="J1473" s="292"/>
      <c r="K1473" s="291"/>
      <c r="L1473" s="293"/>
      <c r="M1473" s="287"/>
      <c r="O1473" s="286"/>
      <c r="P1473" s="269"/>
      <c r="Q1473" s="269"/>
      <c r="R1473" s="269"/>
    </row>
    <row r="1474" spans="1:18" s="285" customFormat="1" ht="39.6" customHeight="1" x14ac:dyDescent="0.25">
      <c r="A1474" s="276"/>
      <c r="B1474" s="276"/>
      <c r="C1474" s="276"/>
      <c r="D1474" s="288"/>
      <c r="E1474" s="290"/>
      <c r="F1474" s="266"/>
      <c r="G1474" s="288"/>
      <c r="H1474" s="291"/>
      <c r="I1474" s="292"/>
      <c r="J1474" s="292"/>
      <c r="K1474" s="291"/>
      <c r="L1474" s="293"/>
      <c r="M1474" s="287"/>
      <c r="O1474" s="286"/>
      <c r="P1474" s="269"/>
      <c r="Q1474" s="269"/>
      <c r="R1474" s="269"/>
    </row>
    <row r="1475" spans="1:18" s="285" customFormat="1" ht="39.6" customHeight="1" x14ac:dyDescent="0.25">
      <c r="A1475" s="276"/>
      <c r="B1475" s="276"/>
      <c r="C1475" s="276"/>
      <c r="D1475" s="288"/>
      <c r="E1475" s="290"/>
      <c r="F1475" s="266"/>
      <c r="G1475" s="288"/>
      <c r="H1475" s="291"/>
      <c r="I1475" s="292"/>
      <c r="J1475" s="292"/>
      <c r="K1475" s="291"/>
      <c r="L1475" s="293"/>
      <c r="M1475" s="287"/>
      <c r="O1475" s="286"/>
      <c r="P1475" s="269"/>
      <c r="Q1475" s="269"/>
      <c r="R1475" s="269"/>
    </row>
    <row r="1476" spans="1:18" s="285" customFormat="1" ht="39.6" customHeight="1" x14ac:dyDescent="0.25">
      <c r="A1476" s="276"/>
      <c r="B1476" s="276"/>
      <c r="C1476" s="276"/>
      <c r="D1476" s="288"/>
      <c r="E1476" s="290"/>
      <c r="F1476" s="266"/>
      <c r="G1476" s="288"/>
      <c r="H1476" s="291"/>
      <c r="I1476" s="292"/>
      <c r="J1476" s="292"/>
      <c r="K1476" s="291"/>
      <c r="L1476" s="293"/>
      <c r="M1476" s="287"/>
      <c r="O1476" s="286"/>
      <c r="P1476" s="269"/>
      <c r="Q1476" s="269"/>
      <c r="R1476" s="269"/>
    </row>
    <row r="1477" spans="1:18" s="285" customFormat="1" ht="39.6" customHeight="1" x14ac:dyDescent="0.25">
      <c r="A1477" s="276"/>
      <c r="B1477" s="276"/>
      <c r="C1477" s="276"/>
      <c r="D1477" s="288"/>
      <c r="E1477" s="290"/>
      <c r="F1477" s="266"/>
      <c r="G1477" s="288"/>
      <c r="H1477" s="291"/>
      <c r="I1477" s="292"/>
      <c r="J1477" s="292"/>
      <c r="K1477" s="291"/>
      <c r="L1477" s="293"/>
      <c r="M1477" s="287"/>
      <c r="O1477" s="286"/>
      <c r="P1477" s="269"/>
      <c r="Q1477" s="269"/>
      <c r="R1477" s="269"/>
    </row>
    <row r="1478" spans="1:18" s="285" customFormat="1" ht="39.6" customHeight="1" x14ac:dyDescent="0.25">
      <c r="A1478" s="276"/>
      <c r="B1478" s="276"/>
      <c r="C1478" s="276"/>
      <c r="D1478" s="288"/>
      <c r="E1478" s="290"/>
      <c r="F1478" s="266"/>
      <c r="G1478" s="288"/>
      <c r="H1478" s="291"/>
      <c r="I1478" s="292"/>
      <c r="J1478" s="292"/>
      <c r="K1478" s="291"/>
      <c r="L1478" s="293"/>
      <c r="M1478" s="287"/>
      <c r="O1478" s="286"/>
      <c r="P1478" s="269"/>
      <c r="Q1478" s="269"/>
      <c r="R1478" s="269"/>
    </row>
    <row r="1479" spans="1:18" s="285" customFormat="1" ht="39.6" customHeight="1" x14ac:dyDescent="0.25">
      <c r="A1479" s="276"/>
      <c r="B1479" s="276"/>
      <c r="C1479" s="276"/>
      <c r="D1479" s="288"/>
      <c r="E1479" s="290"/>
      <c r="F1479" s="266"/>
      <c r="G1479" s="288"/>
      <c r="H1479" s="291"/>
      <c r="I1479" s="292"/>
      <c r="J1479" s="292"/>
      <c r="K1479" s="291"/>
      <c r="L1479" s="293"/>
      <c r="M1479" s="287"/>
      <c r="O1479" s="286"/>
      <c r="P1479" s="269"/>
      <c r="Q1479" s="269"/>
      <c r="R1479" s="269"/>
    </row>
    <row r="1480" spans="1:18" s="285" customFormat="1" ht="39.6" customHeight="1" x14ac:dyDescent="0.25">
      <c r="A1480" s="276"/>
      <c r="B1480" s="276"/>
      <c r="C1480" s="276"/>
      <c r="D1480" s="288"/>
      <c r="E1480" s="290"/>
      <c r="F1480" s="266"/>
      <c r="G1480" s="288"/>
      <c r="H1480" s="291"/>
      <c r="I1480" s="292"/>
      <c r="J1480" s="292"/>
      <c r="K1480" s="291"/>
      <c r="L1480" s="293"/>
      <c r="M1480" s="287"/>
      <c r="O1480" s="286"/>
      <c r="P1480" s="269"/>
      <c r="Q1480" s="269"/>
      <c r="R1480" s="269"/>
    </row>
    <row r="1481" spans="1:18" s="285" customFormat="1" ht="39.6" customHeight="1" x14ac:dyDescent="0.25">
      <c r="A1481" s="276"/>
      <c r="B1481" s="276"/>
      <c r="C1481" s="276"/>
      <c r="D1481" s="288"/>
      <c r="E1481" s="290"/>
      <c r="F1481" s="266"/>
      <c r="G1481" s="288"/>
      <c r="H1481" s="291"/>
      <c r="I1481" s="292"/>
      <c r="J1481" s="292"/>
      <c r="K1481" s="291"/>
      <c r="L1481" s="293"/>
      <c r="M1481" s="287"/>
      <c r="O1481" s="286"/>
      <c r="P1481" s="269"/>
      <c r="Q1481" s="269"/>
      <c r="R1481" s="269"/>
    </row>
    <row r="1482" spans="1:18" s="285" customFormat="1" ht="39.6" customHeight="1" x14ac:dyDescent="0.25">
      <c r="A1482" s="276"/>
      <c r="B1482" s="276"/>
      <c r="C1482" s="276"/>
      <c r="D1482" s="288"/>
      <c r="E1482" s="290"/>
      <c r="F1482" s="266"/>
      <c r="G1482" s="288"/>
      <c r="H1482" s="291"/>
      <c r="I1482" s="292"/>
      <c r="J1482" s="292"/>
      <c r="K1482" s="291"/>
      <c r="L1482" s="293"/>
      <c r="M1482" s="287"/>
      <c r="O1482" s="286"/>
      <c r="P1482" s="269"/>
      <c r="Q1482" s="269"/>
      <c r="R1482" s="269"/>
    </row>
    <row r="1483" spans="1:18" s="285" customFormat="1" ht="39.6" customHeight="1" x14ac:dyDescent="0.25">
      <c r="A1483" s="276"/>
      <c r="B1483" s="276"/>
      <c r="C1483" s="276"/>
      <c r="D1483" s="288"/>
      <c r="E1483" s="290"/>
      <c r="F1483" s="266"/>
      <c r="G1483" s="288"/>
      <c r="H1483" s="291"/>
      <c r="I1483" s="292"/>
      <c r="J1483" s="292"/>
      <c r="K1483" s="291"/>
      <c r="L1483" s="293"/>
      <c r="M1483" s="287"/>
      <c r="O1483" s="286"/>
      <c r="P1483" s="269"/>
      <c r="Q1483" s="269"/>
      <c r="R1483" s="269"/>
    </row>
    <row r="1484" spans="1:18" s="285" customFormat="1" ht="39.6" customHeight="1" x14ac:dyDescent="0.25">
      <c r="A1484" s="276"/>
      <c r="B1484" s="276"/>
      <c r="C1484" s="276"/>
      <c r="D1484" s="288"/>
      <c r="E1484" s="290"/>
      <c r="F1484" s="266"/>
      <c r="G1484" s="288"/>
      <c r="H1484" s="291"/>
      <c r="I1484" s="292"/>
      <c r="J1484" s="292"/>
      <c r="K1484" s="291"/>
      <c r="L1484" s="293"/>
      <c r="M1484" s="287"/>
      <c r="O1484" s="286"/>
      <c r="P1484" s="269"/>
      <c r="Q1484" s="269"/>
      <c r="R1484" s="269"/>
    </row>
    <row r="1485" spans="1:18" s="285" customFormat="1" ht="39.6" customHeight="1" x14ac:dyDescent="0.25">
      <c r="A1485" s="276"/>
      <c r="B1485" s="276"/>
      <c r="C1485" s="276"/>
      <c r="D1485" s="288"/>
      <c r="E1485" s="290"/>
      <c r="F1485" s="266"/>
      <c r="G1485" s="288"/>
      <c r="H1485" s="291"/>
      <c r="I1485" s="292"/>
      <c r="J1485" s="292"/>
      <c r="K1485" s="291"/>
      <c r="L1485" s="293"/>
      <c r="M1485" s="287"/>
      <c r="O1485" s="286"/>
      <c r="P1485" s="269"/>
      <c r="Q1485" s="269"/>
      <c r="R1485" s="269"/>
    </row>
    <row r="1486" spans="1:18" s="285" customFormat="1" ht="39.6" customHeight="1" x14ac:dyDescent="0.25">
      <c r="A1486" s="276"/>
      <c r="B1486" s="276"/>
      <c r="C1486" s="276"/>
      <c r="D1486" s="288"/>
      <c r="E1486" s="290"/>
      <c r="F1486" s="266"/>
      <c r="G1486" s="288"/>
      <c r="H1486" s="291"/>
      <c r="I1486" s="292"/>
      <c r="J1486" s="292"/>
      <c r="K1486" s="291"/>
      <c r="L1486" s="293"/>
      <c r="M1486" s="287"/>
      <c r="O1486" s="286"/>
      <c r="P1486" s="269"/>
      <c r="Q1486" s="269"/>
      <c r="R1486" s="269"/>
    </row>
    <row r="1487" spans="1:18" s="285" customFormat="1" ht="39.6" customHeight="1" x14ac:dyDescent="0.25">
      <c r="A1487" s="276"/>
      <c r="B1487" s="276"/>
      <c r="C1487" s="276"/>
      <c r="D1487" s="288"/>
      <c r="E1487" s="290"/>
      <c r="F1487" s="266"/>
      <c r="G1487" s="288"/>
      <c r="H1487" s="291"/>
      <c r="I1487" s="292"/>
      <c r="J1487" s="292"/>
      <c r="K1487" s="291"/>
      <c r="L1487" s="293"/>
      <c r="M1487" s="287"/>
      <c r="O1487" s="286"/>
      <c r="P1487" s="269"/>
      <c r="Q1487" s="269"/>
      <c r="R1487" s="269"/>
    </row>
    <row r="1488" spans="1:18" s="285" customFormat="1" ht="39.6" customHeight="1" x14ac:dyDescent="0.25">
      <c r="A1488" s="276"/>
      <c r="B1488" s="276"/>
      <c r="C1488" s="276"/>
      <c r="D1488" s="288"/>
      <c r="E1488" s="290"/>
      <c r="F1488" s="266"/>
      <c r="G1488" s="288"/>
      <c r="H1488" s="291"/>
      <c r="I1488" s="292"/>
      <c r="J1488" s="292"/>
      <c r="K1488" s="291"/>
      <c r="L1488" s="293"/>
      <c r="M1488" s="287"/>
      <c r="O1488" s="286"/>
      <c r="P1488" s="269"/>
      <c r="Q1488" s="269"/>
      <c r="R1488" s="269"/>
    </row>
    <row r="1489" spans="1:18" s="285" customFormat="1" ht="39.6" customHeight="1" x14ac:dyDescent="0.25">
      <c r="A1489" s="276"/>
      <c r="B1489" s="276"/>
      <c r="C1489" s="276"/>
      <c r="D1489" s="288"/>
      <c r="E1489" s="290"/>
      <c r="F1489" s="266"/>
      <c r="G1489" s="288"/>
      <c r="H1489" s="291"/>
      <c r="I1489" s="292"/>
      <c r="J1489" s="292"/>
      <c r="K1489" s="291"/>
      <c r="L1489" s="293"/>
      <c r="M1489" s="287"/>
      <c r="O1489" s="286"/>
      <c r="P1489" s="269"/>
      <c r="Q1489" s="269"/>
      <c r="R1489" s="269"/>
    </row>
    <row r="1490" spans="1:18" s="285" customFormat="1" ht="39.6" customHeight="1" x14ac:dyDescent="0.25">
      <c r="A1490" s="276"/>
      <c r="B1490" s="276"/>
      <c r="C1490" s="276"/>
      <c r="D1490" s="288"/>
      <c r="E1490" s="290"/>
      <c r="F1490" s="266"/>
      <c r="G1490" s="288"/>
      <c r="H1490" s="291"/>
      <c r="I1490" s="292"/>
      <c r="J1490" s="292"/>
      <c r="K1490" s="291"/>
      <c r="L1490" s="293"/>
      <c r="M1490" s="287"/>
      <c r="O1490" s="286"/>
      <c r="P1490" s="269"/>
      <c r="Q1490" s="269"/>
      <c r="R1490" s="269"/>
    </row>
    <row r="1491" spans="1:18" s="285" customFormat="1" ht="39.6" customHeight="1" x14ac:dyDescent="0.25">
      <c r="A1491" s="276"/>
      <c r="B1491" s="276"/>
      <c r="C1491" s="276"/>
      <c r="D1491" s="288"/>
      <c r="E1491" s="290"/>
      <c r="F1491" s="266"/>
      <c r="G1491" s="288"/>
      <c r="H1491" s="291"/>
      <c r="I1491" s="292"/>
      <c r="J1491" s="292"/>
      <c r="K1491" s="291"/>
      <c r="L1491" s="293"/>
      <c r="M1491" s="287"/>
      <c r="O1491" s="286"/>
      <c r="P1491" s="269"/>
      <c r="Q1491" s="269"/>
      <c r="R1491" s="269"/>
    </row>
    <row r="1492" spans="1:18" s="285" customFormat="1" ht="39.6" customHeight="1" x14ac:dyDescent="0.25">
      <c r="A1492" s="276"/>
      <c r="B1492" s="276"/>
      <c r="C1492" s="276"/>
      <c r="D1492" s="288"/>
      <c r="E1492" s="290"/>
      <c r="F1492" s="266"/>
      <c r="G1492" s="288"/>
      <c r="H1492" s="291"/>
      <c r="I1492" s="292"/>
      <c r="J1492" s="292"/>
      <c r="K1492" s="291"/>
      <c r="L1492" s="293"/>
      <c r="M1492" s="287"/>
      <c r="O1492" s="286"/>
      <c r="P1492" s="269"/>
      <c r="Q1492" s="269"/>
      <c r="R1492" s="269"/>
    </row>
    <row r="1493" spans="1:18" s="285" customFormat="1" ht="39.6" customHeight="1" x14ac:dyDescent="0.25">
      <c r="A1493" s="276"/>
      <c r="B1493" s="276"/>
      <c r="C1493" s="276"/>
      <c r="D1493" s="288"/>
      <c r="E1493" s="290"/>
      <c r="F1493" s="266"/>
      <c r="G1493" s="288"/>
      <c r="H1493" s="291"/>
      <c r="I1493" s="292"/>
      <c r="J1493" s="292"/>
      <c r="K1493" s="291"/>
      <c r="L1493" s="293"/>
      <c r="M1493" s="287"/>
      <c r="O1493" s="286"/>
      <c r="P1493" s="269"/>
      <c r="Q1493" s="269"/>
      <c r="R1493" s="269"/>
    </row>
    <row r="1494" spans="1:18" s="285" customFormat="1" ht="39.6" customHeight="1" x14ac:dyDescent="0.25">
      <c r="A1494" s="276"/>
      <c r="B1494" s="276"/>
      <c r="C1494" s="276"/>
      <c r="D1494" s="288"/>
      <c r="E1494" s="290"/>
      <c r="F1494" s="266"/>
      <c r="G1494" s="288"/>
      <c r="H1494" s="291"/>
      <c r="I1494" s="292"/>
      <c r="J1494" s="292"/>
      <c r="K1494" s="291"/>
      <c r="L1494" s="293"/>
      <c r="M1494" s="287"/>
      <c r="O1494" s="286"/>
      <c r="P1494" s="269"/>
      <c r="Q1494" s="269"/>
      <c r="R1494" s="269"/>
    </row>
    <row r="1495" spans="1:18" s="285" customFormat="1" ht="39.6" customHeight="1" x14ac:dyDescent="0.25">
      <c r="A1495" s="276"/>
      <c r="B1495" s="276"/>
      <c r="C1495" s="276"/>
      <c r="D1495" s="288"/>
      <c r="E1495" s="290"/>
      <c r="F1495" s="266"/>
      <c r="G1495" s="288"/>
      <c r="H1495" s="291"/>
      <c r="I1495" s="292"/>
      <c r="J1495" s="292"/>
      <c r="K1495" s="291"/>
      <c r="L1495" s="293"/>
      <c r="M1495" s="287"/>
      <c r="O1495" s="286"/>
      <c r="P1495" s="269"/>
      <c r="Q1495" s="269"/>
      <c r="R1495" s="269"/>
    </row>
    <row r="1496" spans="1:18" s="285" customFormat="1" ht="39.6" customHeight="1" x14ac:dyDescent="0.25">
      <c r="A1496" s="276"/>
      <c r="B1496" s="276"/>
      <c r="C1496" s="276"/>
      <c r="D1496" s="288"/>
      <c r="E1496" s="290"/>
      <c r="F1496" s="266"/>
      <c r="G1496" s="288"/>
      <c r="H1496" s="291"/>
      <c r="I1496" s="292"/>
      <c r="J1496" s="292"/>
      <c r="K1496" s="291"/>
      <c r="L1496" s="293"/>
      <c r="M1496" s="287"/>
      <c r="O1496" s="286"/>
      <c r="P1496" s="269"/>
      <c r="Q1496" s="269"/>
      <c r="R1496" s="269"/>
    </row>
    <row r="1497" spans="1:18" s="285" customFormat="1" ht="39.6" customHeight="1" x14ac:dyDescent="0.25">
      <c r="A1497" s="276"/>
      <c r="B1497" s="276"/>
      <c r="C1497" s="276"/>
      <c r="D1497" s="288"/>
      <c r="E1497" s="290"/>
      <c r="F1497" s="266"/>
      <c r="G1497" s="288"/>
      <c r="H1497" s="291"/>
      <c r="I1497" s="292"/>
      <c r="J1497" s="292"/>
      <c r="K1497" s="291"/>
      <c r="L1497" s="293"/>
      <c r="M1497" s="287"/>
      <c r="O1497" s="286"/>
      <c r="P1497" s="269"/>
      <c r="Q1497" s="269"/>
      <c r="R1497" s="269"/>
    </row>
    <row r="1498" spans="1:18" s="285" customFormat="1" ht="39.6" customHeight="1" x14ac:dyDescent="0.25">
      <c r="A1498" s="276"/>
      <c r="B1498" s="276"/>
      <c r="C1498" s="276"/>
      <c r="D1498" s="288"/>
      <c r="E1498" s="290"/>
      <c r="F1498" s="266"/>
      <c r="G1498" s="288"/>
      <c r="H1498" s="291"/>
      <c r="I1498" s="292"/>
      <c r="J1498" s="292"/>
      <c r="K1498" s="291"/>
      <c r="L1498" s="293"/>
      <c r="M1498" s="287"/>
      <c r="O1498" s="286"/>
      <c r="P1498" s="269"/>
      <c r="Q1498" s="269"/>
      <c r="R1498" s="269"/>
    </row>
    <row r="1499" spans="1:18" s="285" customFormat="1" ht="39.6" customHeight="1" x14ac:dyDescent="0.25">
      <c r="A1499" s="276"/>
      <c r="B1499" s="276"/>
      <c r="C1499" s="276"/>
      <c r="D1499" s="288"/>
      <c r="E1499" s="290"/>
      <c r="F1499" s="266"/>
      <c r="G1499" s="288"/>
      <c r="H1499" s="291"/>
      <c r="I1499" s="292"/>
      <c r="J1499" s="292"/>
      <c r="K1499" s="291"/>
      <c r="L1499" s="293"/>
      <c r="M1499" s="287"/>
      <c r="O1499" s="286"/>
      <c r="P1499" s="269"/>
      <c r="Q1499" s="269"/>
      <c r="R1499" s="269"/>
    </row>
    <row r="1500" spans="1:18" s="285" customFormat="1" ht="39.6" customHeight="1" x14ac:dyDescent="0.25">
      <c r="A1500" s="276"/>
      <c r="B1500" s="276"/>
      <c r="C1500" s="276"/>
      <c r="D1500" s="288"/>
      <c r="E1500" s="290"/>
      <c r="F1500" s="266"/>
      <c r="G1500" s="288"/>
      <c r="H1500" s="291"/>
      <c r="I1500" s="292"/>
      <c r="J1500" s="292"/>
      <c r="K1500" s="291"/>
      <c r="L1500" s="293"/>
      <c r="M1500" s="287"/>
      <c r="O1500" s="286"/>
      <c r="P1500" s="269"/>
      <c r="Q1500" s="269"/>
      <c r="R1500" s="269"/>
    </row>
    <row r="1501" spans="1:18" s="285" customFormat="1" ht="39.6" customHeight="1" x14ac:dyDescent="0.25">
      <c r="A1501" s="276"/>
      <c r="B1501" s="276"/>
      <c r="C1501" s="276"/>
      <c r="D1501" s="288"/>
      <c r="E1501" s="290"/>
      <c r="F1501" s="266"/>
      <c r="G1501" s="288"/>
      <c r="H1501" s="291"/>
      <c r="I1501" s="292"/>
      <c r="J1501" s="292"/>
      <c r="K1501" s="291"/>
      <c r="L1501" s="293"/>
      <c r="M1501" s="287"/>
      <c r="O1501" s="286"/>
      <c r="P1501" s="269"/>
      <c r="Q1501" s="269"/>
      <c r="R1501" s="269"/>
    </row>
    <row r="1502" spans="1:18" s="285" customFormat="1" ht="39.6" customHeight="1" x14ac:dyDescent="0.25">
      <c r="A1502" s="276"/>
      <c r="B1502" s="276"/>
      <c r="C1502" s="276"/>
      <c r="D1502" s="288"/>
      <c r="E1502" s="290"/>
      <c r="F1502" s="266"/>
      <c r="G1502" s="288"/>
      <c r="H1502" s="291"/>
      <c r="I1502" s="292"/>
      <c r="J1502" s="292"/>
      <c r="K1502" s="291"/>
      <c r="L1502" s="293"/>
      <c r="M1502" s="287"/>
      <c r="O1502" s="286"/>
      <c r="P1502" s="269"/>
      <c r="Q1502" s="269"/>
      <c r="R1502" s="269"/>
    </row>
    <row r="1503" spans="1:18" s="285" customFormat="1" ht="39.6" customHeight="1" x14ac:dyDescent="0.25">
      <c r="A1503" s="276"/>
      <c r="B1503" s="276"/>
      <c r="C1503" s="276"/>
      <c r="D1503" s="288"/>
      <c r="E1503" s="290"/>
      <c r="F1503" s="266"/>
      <c r="G1503" s="288"/>
      <c r="H1503" s="291"/>
      <c r="I1503" s="292"/>
      <c r="J1503" s="292"/>
      <c r="K1503" s="291"/>
      <c r="L1503" s="293"/>
      <c r="M1503" s="287"/>
      <c r="O1503" s="286"/>
      <c r="P1503" s="269"/>
      <c r="Q1503" s="269"/>
      <c r="R1503" s="269"/>
    </row>
    <row r="1504" spans="1:18" s="285" customFormat="1" ht="39.6" customHeight="1" x14ac:dyDescent="0.25">
      <c r="A1504" s="276"/>
      <c r="B1504" s="276"/>
      <c r="C1504" s="276"/>
      <c r="D1504" s="288"/>
      <c r="E1504" s="290"/>
      <c r="F1504" s="266"/>
      <c r="G1504" s="288"/>
      <c r="H1504" s="291"/>
      <c r="I1504" s="292"/>
      <c r="J1504" s="292"/>
      <c r="K1504" s="291"/>
      <c r="L1504" s="293"/>
      <c r="M1504" s="287"/>
      <c r="O1504" s="286"/>
      <c r="P1504" s="269"/>
      <c r="Q1504" s="269"/>
      <c r="R1504" s="269"/>
    </row>
    <row r="1505" spans="1:18" s="285" customFormat="1" ht="39.6" customHeight="1" x14ac:dyDescent="0.25">
      <c r="A1505" s="276"/>
      <c r="B1505" s="276"/>
      <c r="C1505" s="276"/>
      <c r="D1505" s="288"/>
      <c r="E1505" s="290"/>
      <c r="F1505" s="266"/>
      <c r="G1505" s="288"/>
      <c r="H1505" s="291"/>
      <c r="I1505" s="292"/>
      <c r="J1505" s="292"/>
      <c r="K1505" s="291"/>
      <c r="L1505" s="293"/>
      <c r="M1505" s="287"/>
      <c r="O1505" s="286"/>
      <c r="P1505" s="269"/>
      <c r="Q1505" s="269"/>
      <c r="R1505" s="269"/>
    </row>
    <row r="1506" spans="1:18" s="285" customFormat="1" ht="39.6" customHeight="1" x14ac:dyDescent="0.25">
      <c r="A1506" s="276"/>
      <c r="B1506" s="276"/>
      <c r="C1506" s="276"/>
      <c r="D1506" s="288"/>
      <c r="E1506" s="290"/>
      <c r="F1506" s="266"/>
      <c r="G1506" s="288"/>
      <c r="H1506" s="291"/>
      <c r="I1506" s="292"/>
      <c r="J1506" s="292"/>
      <c r="K1506" s="291"/>
      <c r="L1506" s="293"/>
      <c r="M1506" s="287"/>
      <c r="O1506" s="286"/>
      <c r="P1506" s="269"/>
      <c r="Q1506" s="269"/>
      <c r="R1506" s="269"/>
    </row>
    <row r="1507" spans="1:18" s="285" customFormat="1" ht="39.6" customHeight="1" x14ac:dyDescent="0.25">
      <c r="A1507" s="276"/>
      <c r="B1507" s="276"/>
      <c r="C1507" s="276"/>
      <c r="D1507" s="288"/>
      <c r="E1507" s="290"/>
      <c r="F1507" s="266"/>
      <c r="G1507" s="288"/>
      <c r="H1507" s="291"/>
      <c r="I1507" s="292"/>
      <c r="J1507" s="292"/>
      <c r="K1507" s="291"/>
      <c r="L1507" s="293"/>
      <c r="M1507" s="287"/>
      <c r="O1507" s="286"/>
      <c r="P1507" s="269"/>
      <c r="Q1507" s="269"/>
      <c r="R1507" s="269"/>
    </row>
    <row r="1508" spans="1:18" s="285" customFormat="1" ht="39.6" customHeight="1" x14ac:dyDescent="0.25">
      <c r="A1508" s="276"/>
      <c r="B1508" s="276"/>
      <c r="C1508" s="276"/>
      <c r="D1508" s="288"/>
      <c r="E1508" s="290"/>
      <c r="F1508" s="266"/>
      <c r="G1508" s="288"/>
      <c r="H1508" s="291"/>
      <c r="I1508" s="292"/>
      <c r="J1508" s="292"/>
      <c r="K1508" s="291"/>
      <c r="L1508" s="293"/>
      <c r="M1508" s="287"/>
      <c r="O1508" s="286"/>
      <c r="P1508" s="269"/>
      <c r="Q1508" s="269"/>
      <c r="R1508" s="269"/>
    </row>
    <row r="1509" spans="1:18" s="285" customFormat="1" ht="39.6" customHeight="1" x14ac:dyDescent="0.25">
      <c r="A1509" s="276"/>
      <c r="B1509" s="276"/>
      <c r="C1509" s="276"/>
      <c r="D1509" s="288"/>
      <c r="E1509" s="290"/>
      <c r="F1509" s="266"/>
      <c r="G1509" s="288"/>
      <c r="H1509" s="291"/>
      <c r="I1509" s="292"/>
      <c r="J1509" s="292"/>
      <c r="K1509" s="291"/>
      <c r="L1509" s="293"/>
      <c r="M1509" s="287"/>
      <c r="O1509" s="286"/>
      <c r="P1509" s="269"/>
      <c r="Q1509" s="269"/>
      <c r="R1509" s="269"/>
    </row>
    <row r="1510" spans="1:18" s="285" customFormat="1" ht="39.6" customHeight="1" x14ac:dyDescent="0.25">
      <c r="A1510" s="276"/>
      <c r="B1510" s="276"/>
      <c r="C1510" s="276"/>
      <c r="D1510" s="288"/>
      <c r="E1510" s="290"/>
      <c r="F1510" s="266"/>
      <c r="G1510" s="288"/>
      <c r="H1510" s="291"/>
      <c r="I1510" s="292"/>
      <c r="J1510" s="292"/>
      <c r="K1510" s="291"/>
      <c r="L1510" s="293"/>
      <c r="M1510" s="287"/>
      <c r="O1510" s="286"/>
      <c r="P1510" s="269"/>
      <c r="Q1510" s="269"/>
      <c r="R1510" s="269"/>
    </row>
    <row r="1511" spans="1:18" s="285" customFormat="1" ht="39.6" customHeight="1" x14ac:dyDescent="0.25">
      <c r="A1511" s="276"/>
      <c r="B1511" s="276"/>
      <c r="C1511" s="276"/>
      <c r="D1511" s="288"/>
      <c r="E1511" s="290"/>
      <c r="F1511" s="266"/>
      <c r="G1511" s="288"/>
      <c r="H1511" s="291"/>
      <c r="I1511" s="292"/>
      <c r="J1511" s="292"/>
      <c r="K1511" s="291"/>
      <c r="L1511" s="293"/>
      <c r="M1511" s="287"/>
      <c r="O1511" s="286"/>
      <c r="P1511" s="269"/>
      <c r="Q1511" s="269"/>
      <c r="R1511" s="269"/>
    </row>
    <row r="1512" spans="1:18" s="285" customFormat="1" ht="39.6" customHeight="1" x14ac:dyDescent="0.25">
      <c r="A1512" s="276"/>
      <c r="B1512" s="276"/>
      <c r="C1512" s="276"/>
      <c r="D1512" s="288"/>
      <c r="E1512" s="290"/>
      <c r="F1512" s="266"/>
      <c r="G1512" s="288"/>
      <c r="H1512" s="291"/>
      <c r="I1512" s="292"/>
      <c r="J1512" s="292"/>
      <c r="K1512" s="291"/>
      <c r="L1512" s="293"/>
      <c r="M1512" s="287"/>
      <c r="O1512" s="286"/>
      <c r="P1512" s="269"/>
      <c r="Q1512" s="269"/>
      <c r="R1512" s="269"/>
    </row>
    <row r="1513" spans="1:18" s="285" customFormat="1" ht="39.6" customHeight="1" x14ac:dyDescent="0.25">
      <c r="A1513" s="276"/>
      <c r="B1513" s="276"/>
      <c r="C1513" s="276"/>
      <c r="D1513" s="288"/>
      <c r="E1513" s="290"/>
      <c r="F1513" s="266"/>
      <c r="G1513" s="288"/>
      <c r="H1513" s="291"/>
      <c r="I1513" s="292"/>
      <c r="J1513" s="292"/>
      <c r="K1513" s="291"/>
      <c r="L1513" s="293"/>
      <c r="M1513" s="287"/>
      <c r="O1513" s="286"/>
      <c r="P1513" s="269"/>
      <c r="Q1513" s="269"/>
      <c r="R1513" s="269"/>
    </row>
    <row r="1514" spans="1:18" s="285" customFormat="1" ht="39.6" customHeight="1" x14ac:dyDescent="0.25">
      <c r="A1514" s="276"/>
      <c r="B1514" s="276"/>
      <c r="C1514" s="276"/>
      <c r="D1514" s="288"/>
      <c r="E1514" s="290"/>
      <c r="F1514" s="266"/>
      <c r="G1514" s="288"/>
      <c r="H1514" s="291"/>
      <c r="I1514" s="292"/>
      <c r="J1514" s="292"/>
      <c r="K1514" s="291"/>
      <c r="L1514" s="293"/>
      <c r="M1514" s="287"/>
      <c r="O1514" s="286"/>
      <c r="P1514" s="269"/>
      <c r="Q1514" s="269"/>
      <c r="R1514" s="269"/>
    </row>
    <row r="1515" spans="1:18" s="285" customFormat="1" ht="39.6" customHeight="1" x14ac:dyDescent="0.25">
      <c r="A1515" s="276"/>
      <c r="B1515" s="276"/>
      <c r="C1515" s="276"/>
      <c r="D1515" s="288"/>
      <c r="E1515" s="290"/>
      <c r="F1515" s="266"/>
      <c r="G1515" s="288"/>
      <c r="H1515" s="291"/>
      <c r="I1515" s="292"/>
      <c r="J1515" s="292"/>
      <c r="K1515" s="291"/>
      <c r="L1515" s="293"/>
      <c r="M1515" s="287"/>
      <c r="O1515" s="286"/>
      <c r="P1515" s="269"/>
      <c r="Q1515" s="269"/>
      <c r="R1515" s="269"/>
    </row>
    <row r="1516" spans="1:18" s="285" customFormat="1" ht="39.6" customHeight="1" x14ac:dyDescent="0.25">
      <c r="A1516" s="276"/>
      <c r="B1516" s="276"/>
      <c r="C1516" s="276"/>
      <c r="D1516" s="288"/>
      <c r="E1516" s="290"/>
      <c r="F1516" s="266"/>
      <c r="G1516" s="288"/>
      <c r="H1516" s="291"/>
      <c r="I1516" s="292"/>
      <c r="J1516" s="292"/>
      <c r="K1516" s="291"/>
      <c r="L1516" s="293"/>
      <c r="M1516" s="287"/>
      <c r="O1516" s="286"/>
      <c r="P1516" s="269"/>
      <c r="Q1516" s="269"/>
      <c r="R1516" s="269"/>
    </row>
    <row r="1517" spans="1:18" s="285" customFormat="1" ht="39.6" customHeight="1" x14ac:dyDescent="0.25">
      <c r="A1517" s="276"/>
      <c r="B1517" s="276"/>
      <c r="C1517" s="276"/>
      <c r="D1517" s="288"/>
      <c r="E1517" s="290"/>
      <c r="F1517" s="266"/>
      <c r="G1517" s="288"/>
      <c r="H1517" s="291"/>
      <c r="I1517" s="292"/>
      <c r="J1517" s="292"/>
      <c r="K1517" s="291"/>
      <c r="L1517" s="293"/>
      <c r="M1517" s="287"/>
      <c r="O1517" s="286"/>
      <c r="P1517" s="269"/>
      <c r="Q1517" s="269"/>
      <c r="R1517" s="269"/>
    </row>
    <row r="1518" spans="1:18" s="285" customFormat="1" ht="39.6" customHeight="1" x14ac:dyDescent="0.25">
      <c r="A1518" s="276"/>
      <c r="B1518" s="276"/>
      <c r="C1518" s="276"/>
      <c r="D1518" s="288"/>
      <c r="E1518" s="290"/>
      <c r="F1518" s="266"/>
      <c r="G1518" s="288"/>
      <c r="H1518" s="291"/>
      <c r="I1518" s="292"/>
      <c r="J1518" s="292"/>
      <c r="K1518" s="291"/>
      <c r="L1518" s="293"/>
      <c r="M1518" s="287"/>
      <c r="O1518" s="286"/>
      <c r="P1518" s="269"/>
      <c r="Q1518" s="269"/>
      <c r="R1518" s="269"/>
    </row>
    <row r="1519" spans="1:18" s="285" customFormat="1" ht="39.6" customHeight="1" x14ac:dyDescent="0.25">
      <c r="A1519" s="276"/>
      <c r="B1519" s="276"/>
      <c r="C1519" s="276"/>
      <c r="D1519" s="288"/>
      <c r="E1519" s="290"/>
      <c r="F1519" s="266"/>
      <c r="G1519" s="288"/>
      <c r="H1519" s="291"/>
      <c r="I1519" s="292"/>
      <c r="J1519" s="292"/>
      <c r="K1519" s="291"/>
      <c r="L1519" s="293"/>
      <c r="M1519" s="287"/>
      <c r="O1519" s="286"/>
      <c r="P1519" s="269"/>
      <c r="Q1519" s="269"/>
      <c r="R1519" s="269"/>
    </row>
    <row r="1520" spans="1:18" s="285" customFormat="1" ht="39.6" customHeight="1" x14ac:dyDescent="0.25">
      <c r="A1520" s="276"/>
      <c r="B1520" s="276"/>
      <c r="C1520" s="276"/>
      <c r="D1520" s="288"/>
      <c r="E1520" s="290"/>
      <c r="F1520" s="266"/>
      <c r="G1520" s="288"/>
      <c r="H1520" s="291"/>
      <c r="I1520" s="292"/>
      <c r="J1520" s="292"/>
      <c r="K1520" s="291"/>
      <c r="L1520" s="293"/>
      <c r="M1520" s="287"/>
      <c r="O1520" s="286"/>
      <c r="P1520" s="269"/>
      <c r="Q1520" s="269"/>
      <c r="R1520" s="269"/>
    </row>
    <row r="1521" spans="1:18" s="285" customFormat="1" ht="39.6" customHeight="1" x14ac:dyDescent="0.25">
      <c r="A1521" s="276"/>
      <c r="B1521" s="276"/>
      <c r="C1521" s="276"/>
      <c r="D1521" s="288"/>
      <c r="E1521" s="290"/>
      <c r="F1521" s="266"/>
      <c r="G1521" s="288"/>
      <c r="H1521" s="291"/>
      <c r="I1521" s="292"/>
      <c r="J1521" s="292"/>
      <c r="K1521" s="291"/>
      <c r="L1521" s="293"/>
      <c r="M1521" s="287"/>
      <c r="O1521" s="286"/>
      <c r="P1521" s="269"/>
      <c r="Q1521" s="269"/>
      <c r="R1521" s="269"/>
    </row>
    <row r="1522" spans="1:18" s="285" customFormat="1" ht="39.6" customHeight="1" x14ac:dyDescent="0.25">
      <c r="A1522" s="276"/>
      <c r="B1522" s="276"/>
      <c r="C1522" s="276"/>
      <c r="D1522" s="288"/>
      <c r="E1522" s="290"/>
      <c r="F1522" s="266"/>
      <c r="G1522" s="288"/>
      <c r="H1522" s="291"/>
      <c r="I1522" s="292"/>
      <c r="J1522" s="292"/>
      <c r="K1522" s="291"/>
      <c r="L1522" s="293"/>
      <c r="M1522" s="287"/>
      <c r="O1522" s="286"/>
      <c r="P1522" s="269"/>
      <c r="Q1522" s="269"/>
      <c r="R1522" s="269"/>
    </row>
    <row r="1523" spans="1:18" s="285" customFormat="1" ht="39.6" customHeight="1" x14ac:dyDescent="0.25">
      <c r="A1523" s="276"/>
      <c r="B1523" s="276"/>
      <c r="C1523" s="276"/>
      <c r="D1523" s="288"/>
      <c r="E1523" s="290"/>
      <c r="F1523" s="266"/>
      <c r="G1523" s="288"/>
      <c r="H1523" s="291"/>
      <c r="I1523" s="292"/>
      <c r="J1523" s="292"/>
      <c r="K1523" s="291"/>
      <c r="L1523" s="293"/>
      <c r="M1523" s="287"/>
      <c r="O1523" s="286"/>
      <c r="P1523" s="269"/>
      <c r="Q1523" s="269"/>
      <c r="R1523" s="269"/>
    </row>
    <row r="1524" spans="1:18" s="285" customFormat="1" ht="39.6" customHeight="1" x14ac:dyDescent="0.25">
      <c r="A1524" s="276"/>
      <c r="B1524" s="276"/>
      <c r="C1524" s="276"/>
      <c r="D1524" s="288"/>
      <c r="E1524" s="290"/>
      <c r="F1524" s="266"/>
      <c r="G1524" s="288"/>
      <c r="H1524" s="291"/>
      <c r="I1524" s="292"/>
      <c r="J1524" s="292"/>
      <c r="K1524" s="291"/>
      <c r="L1524" s="293"/>
      <c r="M1524" s="287"/>
      <c r="O1524" s="286"/>
      <c r="P1524" s="269"/>
      <c r="Q1524" s="269"/>
      <c r="R1524" s="269"/>
    </row>
    <row r="1525" spans="1:18" s="285" customFormat="1" ht="39.6" customHeight="1" x14ac:dyDescent="0.25">
      <c r="A1525" s="276"/>
      <c r="B1525" s="276"/>
      <c r="C1525" s="276"/>
      <c r="D1525" s="288"/>
      <c r="E1525" s="290"/>
      <c r="F1525" s="266"/>
      <c r="G1525" s="288"/>
      <c r="H1525" s="291"/>
      <c r="I1525" s="292"/>
      <c r="J1525" s="292"/>
      <c r="K1525" s="291"/>
      <c r="L1525" s="293"/>
      <c r="M1525" s="287"/>
      <c r="O1525" s="286"/>
      <c r="P1525" s="269"/>
      <c r="Q1525" s="269"/>
      <c r="R1525" s="269"/>
    </row>
    <row r="1526" spans="1:18" s="285" customFormat="1" ht="39.6" customHeight="1" x14ac:dyDescent="0.25">
      <c r="A1526" s="276"/>
      <c r="B1526" s="276"/>
      <c r="C1526" s="276"/>
      <c r="D1526" s="288"/>
      <c r="E1526" s="290"/>
      <c r="F1526" s="266"/>
      <c r="G1526" s="288"/>
      <c r="H1526" s="291"/>
      <c r="I1526" s="292"/>
      <c r="J1526" s="292"/>
      <c r="K1526" s="291"/>
      <c r="L1526" s="293"/>
      <c r="M1526" s="287"/>
      <c r="O1526" s="286"/>
      <c r="P1526" s="269"/>
      <c r="Q1526" s="269"/>
      <c r="R1526" s="269"/>
    </row>
    <row r="1527" spans="1:18" s="285" customFormat="1" ht="39.6" customHeight="1" x14ac:dyDescent="0.25">
      <c r="A1527" s="276"/>
      <c r="B1527" s="276"/>
      <c r="C1527" s="276"/>
      <c r="D1527" s="288"/>
      <c r="E1527" s="290"/>
      <c r="F1527" s="266"/>
      <c r="G1527" s="288"/>
      <c r="H1527" s="291"/>
      <c r="I1527" s="292"/>
      <c r="J1527" s="292"/>
      <c r="K1527" s="291"/>
      <c r="L1527" s="293"/>
      <c r="M1527" s="287"/>
      <c r="O1527" s="286"/>
      <c r="P1527" s="269"/>
      <c r="Q1527" s="269"/>
      <c r="R1527" s="269"/>
    </row>
    <row r="1528" spans="1:18" s="285" customFormat="1" ht="39.6" customHeight="1" x14ac:dyDescent="0.25">
      <c r="A1528" s="276"/>
      <c r="B1528" s="276"/>
      <c r="C1528" s="276"/>
      <c r="D1528" s="288"/>
      <c r="E1528" s="290"/>
      <c r="F1528" s="266"/>
      <c r="G1528" s="288"/>
      <c r="H1528" s="291"/>
      <c r="I1528" s="292"/>
      <c r="J1528" s="292"/>
      <c r="K1528" s="291"/>
      <c r="L1528" s="293"/>
      <c r="M1528" s="287"/>
      <c r="O1528" s="286"/>
      <c r="P1528" s="269"/>
      <c r="Q1528" s="269"/>
      <c r="R1528" s="269"/>
    </row>
    <row r="1529" spans="1:18" s="285" customFormat="1" ht="39.6" customHeight="1" x14ac:dyDescent="0.25">
      <c r="A1529" s="276"/>
      <c r="B1529" s="276"/>
      <c r="C1529" s="276"/>
      <c r="D1529" s="288"/>
      <c r="E1529" s="290"/>
      <c r="F1529" s="266"/>
      <c r="G1529" s="288"/>
      <c r="H1529" s="291"/>
      <c r="I1529" s="292"/>
      <c r="J1529" s="292"/>
      <c r="K1529" s="291"/>
      <c r="L1529" s="293"/>
      <c r="M1529" s="287"/>
      <c r="O1529" s="286"/>
      <c r="P1529" s="269"/>
      <c r="Q1529" s="269"/>
      <c r="R1529" s="269"/>
    </row>
    <row r="1530" spans="1:18" s="285" customFormat="1" ht="39.6" customHeight="1" x14ac:dyDescent="0.25">
      <c r="A1530" s="276"/>
      <c r="B1530" s="276"/>
      <c r="C1530" s="276"/>
      <c r="D1530" s="288"/>
      <c r="E1530" s="290"/>
      <c r="F1530" s="266"/>
      <c r="G1530" s="288"/>
      <c r="H1530" s="291"/>
      <c r="I1530" s="292"/>
      <c r="J1530" s="292"/>
      <c r="K1530" s="291"/>
      <c r="L1530" s="293"/>
      <c r="M1530" s="287"/>
      <c r="O1530" s="286"/>
      <c r="P1530" s="269"/>
      <c r="Q1530" s="269"/>
      <c r="R1530" s="269"/>
    </row>
    <row r="1531" spans="1:18" s="285" customFormat="1" ht="39.6" customHeight="1" x14ac:dyDescent="0.25">
      <c r="A1531" s="276"/>
      <c r="B1531" s="276"/>
      <c r="C1531" s="276"/>
      <c r="D1531" s="288"/>
      <c r="E1531" s="290"/>
      <c r="F1531" s="266"/>
      <c r="G1531" s="288"/>
      <c r="H1531" s="291"/>
      <c r="I1531" s="292"/>
      <c r="J1531" s="292"/>
      <c r="K1531" s="291"/>
      <c r="L1531" s="293"/>
      <c r="M1531" s="287"/>
      <c r="O1531" s="286"/>
      <c r="P1531" s="269"/>
      <c r="Q1531" s="269"/>
      <c r="R1531" s="269"/>
    </row>
    <row r="1532" spans="1:18" s="285" customFormat="1" ht="39.6" customHeight="1" x14ac:dyDescent="0.25">
      <c r="A1532" s="276"/>
      <c r="B1532" s="276"/>
      <c r="C1532" s="276"/>
      <c r="D1532" s="288"/>
      <c r="E1532" s="290"/>
      <c r="F1532" s="266"/>
      <c r="G1532" s="288"/>
      <c r="H1532" s="291"/>
      <c r="I1532" s="292"/>
      <c r="J1532" s="292"/>
      <c r="K1532" s="291"/>
      <c r="L1532" s="293"/>
      <c r="M1532" s="287"/>
      <c r="O1532" s="286"/>
      <c r="P1532" s="269"/>
      <c r="Q1532" s="269"/>
      <c r="R1532" s="269"/>
    </row>
    <row r="1533" spans="1:18" s="285" customFormat="1" ht="39.6" customHeight="1" x14ac:dyDescent="0.25">
      <c r="A1533" s="276"/>
      <c r="B1533" s="276"/>
      <c r="C1533" s="276"/>
      <c r="D1533" s="288"/>
      <c r="E1533" s="290"/>
      <c r="F1533" s="266"/>
      <c r="G1533" s="288"/>
      <c r="H1533" s="291"/>
      <c r="I1533" s="292"/>
      <c r="J1533" s="292"/>
      <c r="K1533" s="291"/>
      <c r="L1533" s="293"/>
      <c r="M1533" s="287"/>
      <c r="O1533" s="286"/>
      <c r="P1533" s="269"/>
      <c r="Q1533" s="269"/>
      <c r="R1533" s="269"/>
    </row>
    <row r="1534" spans="1:18" s="285" customFormat="1" ht="39.6" customHeight="1" x14ac:dyDescent="0.25">
      <c r="A1534" s="276"/>
      <c r="B1534" s="276"/>
      <c r="C1534" s="276"/>
      <c r="D1534" s="288"/>
      <c r="E1534" s="290"/>
      <c r="F1534" s="266"/>
      <c r="G1534" s="288"/>
      <c r="H1534" s="291"/>
      <c r="I1534" s="292"/>
      <c r="J1534" s="292"/>
      <c r="K1534" s="291"/>
      <c r="L1534" s="293"/>
      <c r="M1534" s="287"/>
      <c r="O1534" s="286"/>
      <c r="P1534" s="269"/>
      <c r="Q1534" s="269"/>
      <c r="R1534" s="269"/>
    </row>
    <row r="1535" spans="1:18" s="285" customFormat="1" ht="39.6" customHeight="1" x14ac:dyDescent="0.25">
      <c r="A1535" s="276"/>
      <c r="B1535" s="276"/>
      <c r="C1535" s="276"/>
      <c r="D1535" s="288"/>
      <c r="E1535" s="290"/>
      <c r="F1535" s="266"/>
      <c r="G1535" s="288"/>
      <c r="H1535" s="291"/>
      <c r="I1535" s="292"/>
      <c r="J1535" s="292"/>
      <c r="K1535" s="291"/>
      <c r="L1535" s="293"/>
      <c r="M1535" s="287"/>
      <c r="O1535" s="286"/>
      <c r="P1535" s="269"/>
      <c r="Q1535" s="269"/>
      <c r="R1535" s="269"/>
    </row>
    <row r="1536" spans="1:18" s="285" customFormat="1" ht="39.6" customHeight="1" x14ac:dyDescent="0.25">
      <c r="A1536" s="276"/>
      <c r="B1536" s="276"/>
      <c r="C1536" s="276"/>
      <c r="D1536" s="288"/>
      <c r="E1536" s="290"/>
      <c r="F1536" s="266"/>
      <c r="G1536" s="288"/>
      <c r="H1536" s="291"/>
      <c r="I1536" s="292"/>
      <c r="J1536" s="292"/>
      <c r="K1536" s="291"/>
      <c r="L1536" s="293"/>
      <c r="M1536" s="287"/>
      <c r="O1536" s="286"/>
      <c r="P1536" s="269"/>
      <c r="Q1536" s="269"/>
      <c r="R1536" s="269"/>
    </row>
    <row r="1537" spans="1:18" s="285" customFormat="1" ht="39.6" customHeight="1" x14ac:dyDescent="0.25">
      <c r="A1537" s="276"/>
      <c r="B1537" s="276"/>
      <c r="C1537" s="276"/>
      <c r="D1537" s="288"/>
      <c r="E1537" s="290"/>
      <c r="F1537" s="266"/>
      <c r="G1537" s="288"/>
      <c r="H1537" s="291"/>
      <c r="I1537" s="292"/>
      <c r="J1537" s="292"/>
      <c r="K1537" s="291"/>
      <c r="L1537" s="293"/>
      <c r="M1537" s="287"/>
      <c r="O1537" s="286"/>
      <c r="P1537" s="269"/>
      <c r="Q1537" s="269"/>
      <c r="R1537" s="269"/>
    </row>
    <row r="1538" spans="1:18" s="285" customFormat="1" ht="39.6" customHeight="1" x14ac:dyDescent="0.25">
      <c r="A1538" s="276"/>
      <c r="B1538" s="276"/>
      <c r="C1538" s="276"/>
      <c r="D1538" s="288"/>
      <c r="E1538" s="290"/>
      <c r="F1538" s="266"/>
      <c r="G1538" s="288"/>
      <c r="H1538" s="291"/>
      <c r="I1538" s="292"/>
      <c r="J1538" s="292"/>
      <c r="K1538" s="291"/>
      <c r="L1538" s="293"/>
      <c r="M1538" s="287"/>
      <c r="O1538" s="286"/>
      <c r="P1538" s="269"/>
      <c r="Q1538" s="269"/>
      <c r="R1538" s="269"/>
    </row>
    <row r="1539" spans="1:18" s="285" customFormat="1" ht="39.6" customHeight="1" x14ac:dyDescent="0.25">
      <c r="A1539" s="276"/>
      <c r="B1539" s="276"/>
      <c r="C1539" s="276"/>
      <c r="D1539" s="288"/>
      <c r="E1539" s="290"/>
      <c r="F1539" s="266"/>
      <c r="G1539" s="288"/>
      <c r="H1539" s="291"/>
      <c r="I1539" s="292"/>
      <c r="J1539" s="292"/>
      <c r="K1539" s="291"/>
      <c r="L1539" s="293"/>
      <c r="M1539" s="287"/>
      <c r="O1539" s="286"/>
      <c r="P1539" s="269"/>
      <c r="Q1539" s="269"/>
      <c r="R1539" s="269"/>
    </row>
    <row r="1540" spans="1:18" s="285" customFormat="1" ht="39.6" customHeight="1" x14ac:dyDescent="0.25">
      <c r="A1540" s="276"/>
      <c r="B1540" s="276"/>
      <c r="C1540" s="276"/>
      <c r="D1540" s="288"/>
      <c r="E1540" s="290"/>
      <c r="F1540" s="266"/>
      <c r="G1540" s="288"/>
      <c r="H1540" s="291"/>
      <c r="I1540" s="292"/>
      <c r="J1540" s="292"/>
      <c r="K1540" s="291"/>
      <c r="L1540" s="293"/>
      <c r="M1540" s="287"/>
      <c r="O1540" s="286"/>
      <c r="P1540" s="269"/>
      <c r="Q1540" s="269"/>
      <c r="R1540" s="269"/>
    </row>
    <row r="1541" spans="1:18" s="285" customFormat="1" ht="39.6" customHeight="1" x14ac:dyDescent="0.25">
      <c r="A1541" s="276"/>
      <c r="B1541" s="276"/>
      <c r="C1541" s="276"/>
      <c r="D1541" s="288"/>
      <c r="E1541" s="290"/>
      <c r="F1541" s="266"/>
      <c r="G1541" s="288"/>
      <c r="H1541" s="291"/>
      <c r="I1541" s="292"/>
      <c r="J1541" s="292"/>
      <c r="K1541" s="291"/>
      <c r="L1541" s="293"/>
      <c r="M1541" s="287"/>
      <c r="O1541" s="286"/>
      <c r="P1541" s="269"/>
      <c r="Q1541" s="269"/>
      <c r="R1541" s="269"/>
    </row>
    <row r="1542" spans="1:18" s="285" customFormat="1" ht="39.6" customHeight="1" x14ac:dyDescent="0.25">
      <c r="A1542" s="276"/>
      <c r="B1542" s="276"/>
      <c r="C1542" s="276"/>
      <c r="D1542" s="288"/>
      <c r="E1542" s="290"/>
      <c r="F1542" s="266"/>
      <c r="G1542" s="288"/>
      <c r="H1542" s="291"/>
      <c r="I1542" s="292"/>
      <c r="J1542" s="292"/>
      <c r="K1542" s="291"/>
      <c r="L1542" s="293"/>
      <c r="M1542" s="287"/>
      <c r="O1542" s="286"/>
      <c r="P1542" s="269"/>
      <c r="Q1542" s="269"/>
      <c r="R1542" s="269"/>
    </row>
    <row r="1543" spans="1:18" s="285" customFormat="1" ht="39.6" customHeight="1" x14ac:dyDescent="0.25">
      <c r="A1543" s="276"/>
      <c r="B1543" s="276"/>
      <c r="C1543" s="276"/>
      <c r="D1543" s="288"/>
      <c r="E1543" s="290"/>
      <c r="F1543" s="266"/>
      <c r="G1543" s="288"/>
      <c r="H1543" s="291"/>
      <c r="I1543" s="292"/>
      <c r="J1543" s="292"/>
      <c r="K1543" s="291"/>
      <c r="L1543" s="293"/>
      <c r="M1543" s="287"/>
      <c r="O1543" s="286"/>
      <c r="P1543" s="269"/>
      <c r="Q1543" s="269"/>
      <c r="R1543" s="269"/>
    </row>
    <row r="1544" spans="1:18" s="285" customFormat="1" ht="39.6" customHeight="1" x14ac:dyDescent="0.25">
      <c r="A1544" s="276"/>
      <c r="B1544" s="276"/>
      <c r="C1544" s="276"/>
      <c r="D1544" s="288"/>
      <c r="E1544" s="290"/>
      <c r="F1544" s="266"/>
      <c r="G1544" s="288"/>
      <c r="H1544" s="291"/>
      <c r="I1544" s="292"/>
      <c r="J1544" s="292"/>
      <c r="K1544" s="291"/>
      <c r="L1544" s="293"/>
      <c r="M1544" s="287"/>
      <c r="O1544" s="286"/>
      <c r="P1544" s="269"/>
      <c r="Q1544" s="269"/>
      <c r="R1544" s="269"/>
    </row>
    <row r="1545" spans="1:18" s="285" customFormat="1" ht="39.6" customHeight="1" x14ac:dyDescent="0.25">
      <c r="A1545" s="276"/>
      <c r="B1545" s="276"/>
      <c r="C1545" s="276"/>
      <c r="D1545" s="288"/>
      <c r="E1545" s="290"/>
      <c r="F1545" s="266"/>
      <c r="G1545" s="288"/>
      <c r="H1545" s="291"/>
      <c r="I1545" s="292"/>
      <c r="J1545" s="292"/>
      <c r="K1545" s="291"/>
      <c r="L1545" s="293"/>
      <c r="M1545" s="287"/>
      <c r="O1545" s="286"/>
      <c r="P1545" s="269"/>
      <c r="Q1545" s="269"/>
      <c r="R1545" s="269"/>
    </row>
    <row r="1546" spans="1:18" s="285" customFormat="1" ht="39.6" customHeight="1" x14ac:dyDescent="0.25">
      <c r="A1546" s="276"/>
      <c r="B1546" s="276"/>
      <c r="C1546" s="276"/>
      <c r="D1546" s="288"/>
      <c r="E1546" s="290"/>
      <c r="F1546" s="266"/>
      <c r="G1546" s="288"/>
      <c r="H1546" s="291"/>
      <c r="I1546" s="292"/>
      <c r="J1546" s="292"/>
      <c r="K1546" s="291"/>
      <c r="L1546" s="293"/>
      <c r="M1546" s="287"/>
      <c r="O1546" s="286"/>
      <c r="P1546" s="269"/>
      <c r="Q1546" s="269"/>
      <c r="R1546" s="269"/>
    </row>
    <row r="1547" spans="1:18" s="285" customFormat="1" ht="39.6" customHeight="1" x14ac:dyDescent="0.25">
      <c r="A1547" s="276"/>
      <c r="B1547" s="276"/>
      <c r="C1547" s="276"/>
      <c r="D1547" s="288"/>
      <c r="E1547" s="290"/>
      <c r="F1547" s="266"/>
      <c r="G1547" s="288"/>
      <c r="H1547" s="291"/>
      <c r="I1547" s="292"/>
      <c r="J1547" s="292"/>
      <c r="K1547" s="291"/>
      <c r="L1547" s="293"/>
      <c r="M1547" s="287"/>
      <c r="O1547" s="286"/>
      <c r="P1547" s="269"/>
      <c r="Q1547" s="269"/>
      <c r="R1547" s="269"/>
    </row>
    <row r="1548" spans="1:18" s="285" customFormat="1" ht="39.6" customHeight="1" x14ac:dyDescent="0.25">
      <c r="A1548" s="276"/>
      <c r="B1548" s="276"/>
      <c r="C1548" s="276"/>
      <c r="D1548" s="288"/>
      <c r="E1548" s="290"/>
      <c r="F1548" s="266"/>
      <c r="G1548" s="288"/>
      <c r="H1548" s="291"/>
      <c r="I1548" s="292"/>
      <c r="J1548" s="292"/>
      <c r="K1548" s="291"/>
      <c r="L1548" s="293"/>
      <c r="M1548" s="287"/>
      <c r="O1548" s="286"/>
      <c r="P1548" s="269"/>
      <c r="Q1548" s="269"/>
      <c r="R1548" s="269"/>
    </row>
    <row r="1549" spans="1:18" s="285" customFormat="1" ht="39.6" customHeight="1" x14ac:dyDescent="0.25">
      <c r="A1549" s="276"/>
      <c r="B1549" s="276"/>
      <c r="C1549" s="276"/>
      <c r="D1549" s="288"/>
      <c r="E1549" s="290"/>
      <c r="F1549" s="266"/>
      <c r="G1549" s="288"/>
      <c r="H1549" s="291"/>
      <c r="I1549" s="292"/>
      <c r="J1549" s="292"/>
      <c r="K1549" s="291"/>
      <c r="L1549" s="293"/>
      <c r="M1549" s="287"/>
      <c r="O1549" s="286"/>
      <c r="P1549" s="269"/>
      <c r="Q1549" s="269"/>
      <c r="R1549" s="269"/>
    </row>
    <row r="1550" spans="1:18" s="285" customFormat="1" ht="39.6" customHeight="1" x14ac:dyDescent="0.25">
      <c r="A1550" s="276"/>
      <c r="B1550" s="276"/>
      <c r="C1550" s="276"/>
      <c r="D1550" s="288"/>
      <c r="E1550" s="290"/>
      <c r="F1550" s="266"/>
      <c r="G1550" s="288"/>
      <c r="H1550" s="291"/>
      <c r="I1550" s="292"/>
      <c r="J1550" s="292"/>
      <c r="K1550" s="291"/>
      <c r="L1550" s="293"/>
      <c r="M1550" s="287"/>
      <c r="O1550" s="286"/>
      <c r="P1550" s="269"/>
      <c r="Q1550" s="269"/>
      <c r="R1550" s="269"/>
    </row>
    <row r="1551" spans="1:18" s="285" customFormat="1" ht="39.6" customHeight="1" x14ac:dyDescent="0.25">
      <c r="A1551" s="276"/>
      <c r="B1551" s="276"/>
      <c r="C1551" s="276"/>
      <c r="D1551" s="288"/>
      <c r="E1551" s="290"/>
      <c r="F1551" s="266"/>
      <c r="G1551" s="288"/>
      <c r="H1551" s="291"/>
      <c r="I1551" s="292"/>
      <c r="J1551" s="292"/>
      <c r="K1551" s="291"/>
      <c r="L1551" s="293"/>
      <c r="M1551" s="287"/>
      <c r="O1551" s="286"/>
      <c r="P1551" s="269"/>
      <c r="Q1551" s="269"/>
      <c r="R1551" s="269"/>
    </row>
    <row r="1552" spans="1:18" s="285" customFormat="1" ht="39.6" customHeight="1" x14ac:dyDescent="0.25">
      <c r="A1552" s="276"/>
      <c r="B1552" s="276"/>
      <c r="C1552" s="276"/>
      <c r="D1552" s="288"/>
      <c r="E1552" s="290"/>
      <c r="F1552" s="266"/>
      <c r="G1552" s="288"/>
      <c r="H1552" s="291"/>
      <c r="I1552" s="292"/>
      <c r="J1552" s="292"/>
      <c r="K1552" s="291"/>
      <c r="L1552" s="293"/>
      <c r="M1552" s="287"/>
      <c r="O1552" s="286"/>
      <c r="P1552" s="269"/>
      <c r="Q1552" s="269"/>
      <c r="R1552" s="269"/>
    </row>
    <row r="1553" spans="1:18" s="285" customFormat="1" ht="39.6" customHeight="1" x14ac:dyDescent="0.25">
      <c r="A1553" s="276"/>
      <c r="B1553" s="276"/>
      <c r="C1553" s="276"/>
      <c r="D1553" s="288"/>
      <c r="E1553" s="290"/>
      <c r="F1553" s="266"/>
      <c r="G1553" s="288"/>
      <c r="H1553" s="291"/>
      <c r="I1553" s="292"/>
      <c r="J1553" s="292"/>
      <c r="K1553" s="291"/>
      <c r="L1553" s="293"/>
      <c r="M1553" s="287"/>
      <c r="O1553" s="286"/>
      <c r="P1553" s="269"/>
      <c r="Q1553" s="269"/>
      <c r="R1553" s="269"/>
    </row>
    <row r="1554" spans="1:18" s="285" customFormat="1" ht="39.6" customHeight="1" x14ac:dyDescent="0.25">
      <c r="A1554" s="276"/>
      <c r="B1554" s="276"/>
      <c r="C1554" s="276"/>
      <c r="D1554" s="288"/>
      <c r="E1554" s="290"/>
      <c r="F1554" s="266"/>
      <c r="G1554" s="288"/>
      <c r="H1554" s="291"/>
      <c r="I1554" s="292"/>
      <c r="J1554" s="292"/>
      <c r="K1554" s="291"/>
      <c r="L1554" s="293"/>
      <c r="M1554" s="287"/>
      <c r="O1554" s="286"/>
      <c r="P1554" s="269"/>
      <c r="Q1554" s="269"/>
      <c r="R1554" s="269"/>
    </row>
    <row r="1555" spans="1:18" s="285" customFormat="1" ht="39.6" customHeight="1" x14ac:dyDescent="0.25">
      <c r="A1555" s="276"/>
      <c r="B1555" s="276"/>
      <c r="C1555" s="276"/>
      <c r="D1555" s="288"/>
      <c r="E1555" s="290"/>
      <c r="F1555" s="266"/>
      <c r="G1555" s="288"/>
      <c r="H1555" s="291"/>
      <c r="I1555" s="292"/>
      <c r="J1555" s="292"/>
      <c r="K1555" s="291"/>
      <c r="L1555" s="293"/>
      <c r="M1555" s="287"/>
      <c r="O1555" s="286"/>
      <c r="P1555" s="269"/>
      <c r="Q1555" s="269"/>
      <c r="R1555" s="269"/>
    </row>
    <row r="1556" spans="1:18" s="285" customFormat="1" ht="39.6" customHeight="1" x14ac:dyDescent="0.25">
      <c r="A1556" s="276"/>
      <c r="B1556" s="276"/>
      <c r="C1556" s="276"/>
      <c r="D1556" s="288"/>
      <c r="E1556" s="290"/>
      <c r="F1556" s="266"/>
      <c r="G1556" s="288"/>
      <c r="H1556" s="291"/>
      <c r="I1556" s="292"/>
      <c r="J1556" s="292"/>
      <c r="K1556" s="291"/>
      <c r="L1556" s="293"/>
      <c r="M1556" s="287"/>
      <c r="O1556" s="286"/>
      <c r="P1556" s="269"/>
      <c r="Q1556" s="269"/>
      <c r="R1556" s="269"/>
    </row>
    <row r="1557" spans="1:18" s="285" customFormat="1" ht="39.6" customHeight="1" x14ac:dyDescent="0.25">
      <c r="A1557" s="276"/>
      <c r="B1557" s="276"/>
      <c r="C1557" s="276"/>
      <c r="D1557" s="288"/>
      <c r="E1557" s="290"/>
      <c r="F1557" s="266"/>
      <c r="G1557" s="288"/>
      <c r="H1557" s="291"/>
      <c r="I1557" s="292"/>
      <c r="J1557" s="292"/>
      <c r="K1557" s="291"/>
      <c r="L1557" s="293"/>
      <c r="M1557" s="287"/>
      <c r="O1557" s="286"/>
      <c r="P1557" s="269"/>
      <c r="Q1557" s="269"/>
      <c r="R1557" s="269"/>
    </row>
    <row r="1558" spans="1:18" s="285" customFormat="1" ht="39.6" customHeight="1" x14ac:dyDescent="0.25">
      <c r="A1558" s="276"/>
      <c r="B1558" s="276"/>
      <c r="C1558" s="276"/>
      <c r="D1558" s="288"/>
      <c r="E1558" s="290"/>
      <c r="F1558" s="266"/>
      <c r="G1558" s="288"/>
      <c r="H1558" s="291"/>
      <c r="I1558" s="292"/>
      <c r="J1558" s="292"/>
      <c r="K1558" s="291"/>
      <c r="L1558" s="293"/>
      <c r="M1558" s="287"/>
      <c r="O1558" s="286"/>
      <c r="P1558" s="269"/>
      <c r="Q1558" s="269"/>
      <c r="R1558" s="269"/>
    </row>
    <row r="1559" spans="1:18" s="285" customFormat="1" ht="39.6" customHeight="1" x14ac:dyDescent="0.25">
      <c r="A1559" s="276"/>
      <c r="B1559" s="276"/>
      <c r="C1559" s="276"/>
      <c r="D1559" s="288"/>
      <c r="E1559" s="290"/>
      <c r="F1559" s="266"/>
      <c r="G1559" s="288"/>
      <c r="H1559" s="291"/>
      <c r="I1559" s="292"/>
      <c r="J1559" s="292"/>
      <c r="K1559" s="291"/>
      <c r="L1559" s="293"/>
      <c r="M1559" s="287"/>
      <c r="O1559" s="286"/>
      <c r="P1559" s="269"/>
      <c r="Q1559" s="269"/>
      <c r="R1559" s="269"/>
    </row>
    <row r="1560" spans="1:18" s="285" customFormat="1" ht="39.6" customHeight="1" x14ac:dyDescent="0.25">
      <c r="A1560" s="276"/>
      <c r="B1560" s="276"/>
      <c r="C1560" s="276"/>
      <c r="D1560" s="288"/>
      <c r="E1560" s="290"/>
      <c r="F1560" s="266"/>
      <c r="G1560" s="288"/>
      <c r="H1560" s="291"/>
      <c r="I1560" s="292"/>
      <c r="J1560" s="292"/>
      <c r="K1560" s="291"/>
      <c r="L1560" s="293"/>
      <c r="M1560" s="287"/>
      <c r="O1560" s="286"/>
      <c r="P1560" s="269"/>
      <c r="Q1560" s="269"/>
      <c r="R1560" s="269"/>
    </row>
    <row r="1561" spans="1:18" s="285" customFormat="1" ht="39.6" customHeight="1" x14ac:dyDescent="0.25">
      <c r="A1561" s="276"/>
      <c r="B1561" s="276"/>
      <c r="C1561" s="276"/>
      <c r="D1561" s="288"/>
      <c r="E1561" s="290"/>
      <c r="F1561" s="266"/>
      <c r="G1561" s="288"/>
      <c r="H1561" s="291"/>
      <c r="I1561" s="292"/>
      <c r="J1561" s="292"/>
      <c r="K1561" s="291"/>
      <c r="L1561" s="293"/>
      <c r="M1561" s="287"/>
      <c r="O1561" s="286"/>
      <c r="P1561" s="269"/>
      <c r="Q1561" s="269"/>
      <c r="R1561" s="269"/>
    </row>
    <row r="1562" spans="1:18" s="285" customFormat="1" ht="39.6" customHeight="1" x14ac:dyDescent="0.25">
      <c r="A1562" s="276"/>
      <c r="B1562" s="276"/>
      <c r="C1562" s="276"/>
      <c r="D1562" s="288"/>
      <c r="E1562" s="290"/>
      <c r="F1562" s="266"/>
      <c r="G1562" s="288"/>
      <c r="H1562" s="291"/>
      <c r="I1562" s="292"/>
      <c r="J1562" s="292"/>
      <c r="K1562" s="291"/>
      <c r="L1562" s="293"/>
      <c r="M1562" s="287"/>
      <c r="O1562" s="286"/>
      <c r="P1562" s="269"/>
      <c r="Q1562" s="269"/>
      <c r="R1562" s="269"/>
    </row>
    <row r="1563" spans="1:18" s="285" customFormat="1" ht="39.6" customHeight="1" x14ac:dyDescent="0.25">
      <c r="A1563" s="276"/>
      <c r="B1563" s="276"/>
      <c r="C1563" s="276"/>
      <c r="D1563" s="288"/>
      <c r="E1563" s="290"/>
      <c r="F1563" s="266"/>
      <c r="G1563" s="288"/>
      <c r="H1563" s="291"/>
      <c r="I1563" s="292"/>
      <c r="J1563" s="292"/>
      <c r="K1563" s="291"/>
      <c r="L1563" s="293"/>
      <c r="M1563" s="287"/>
      <c r="O1563" s="286"/>
      <c r="P1563" s="269"/>
      <c r="Q1563" s="269"/>
      <c r="R1563" s="269"/>
    </row>
    <row r="1564" spans="1:18" s="285" customFormat="1" ht="39.6" customHeight="1" x14ac:dyDescent="0.25">
      <c r="A1564" s="276"/>
      <c r="B1564" s="276"/>
      <c r="C1564" s="276"/>
      <c r="D1564" s="288"/>
      <c r="E1564" s="290"/>
      <c r="F1564" s="266"/>
      <c r="G1564" s="288"/>
      <c r="H1564" s="291"/>
      <c r="I1564" s="292"/>
      <c r="J1564" s="292"/>
      <c r="K1564" s="291"/>
      <c r="L1564" s="293"/>
      <c r="M1564" s="287"/>
      <c r="O1564" s="286"/>
      <c r="P1564" s="269"/>
      <c r="Q1564" s="269"/>
      <c r="R1564" s="269"/>
    </row>
    <row r="1565" spans="1:18" s="285" customFormat="1" ht="39.6" customHeight="1" x14ac:dyDescent="0.25">
      <c r="A1565" s="276"/>
      <c r="B1565" s="276"/>
      <c r="C1565" s="276"/>
      <c r="D1565" s="288"/>
      <c r="E1565" s="290"/>
      <c r="F1565" s="266"/>
      <c r="G1565" s="288"/>
      <c r="H1565" s="291"/>
      <c r="I1565" s="292"/>
      <c r="J1565" s="292"/>
      <c r="K1565" s="291"/>
      <c r="L1565" s="293"/>
      <c r="M1565" s="287"/>
      <c r="O1565" s="286"/>
      <c r="P1565" s="269"/>
      <c r="Q1565" s="269"/>
      <c r="R1565" s="269"/>
    </row>
    <row r="1566" spans="1:18" s="285" customFormat="1" ht="39.6" customHeight="1" x14ac:dyDescent="0.25">
      <c r="A1566" s="276"/>
      <c r="B1566" s="276"/>
      <c r="C1566" s="276"/>
      <c r="D1566" s="288"/>
      <c r="E1566" s="290"/>
      <c r="F1566" s="266"/>
      <c r="G1566" s="288"/>
      <c r="H1566" s="291"/>
      <c r="I1566" s="292"/>
      <c r="J1566" s="292"/>
      <c r="K1566" s="291"/>
      <c r="L1566" s="293"/>
      <c r="M1566" s="287"/>
      <c r="O1566" s="286"/>
      <c r="P1566" s="269"/>
      <c r="Q1566" s="269"/>
      <c r="R1566" s="269"/>
    </row>
    <row r="1567" spans="1:18" s="285" customFormat="1" ht="39.6" customHeight="1" x14ac:dyDescent="0.25">
      <c r="A1567" s="276"/>
      <c r="B1567" s="276"/>
      <c r="C1567" s="276"/>
      <c r="D1567" s="288"/>
      <c r="E1567" s="290"/>
      <c r="F1567" s="266"/>
      <c r="G1567" s="288"/>
      <c r="H1567" s="291"/>
      <c r="I1567" s="292"/>
      <c r="J1567" s="292"/>
      <c r="K1567" s="291"/>
      <c r="L1567" s="293"/>
      <c r="M1567" s="287"/>
      <c r="O1567" s="286"/>
      <c r="P1567" s="269"/>
      <c r="Q1567" s="269"/>
      <c r="R1567" s="269"/>
    </row>
    <row r="1568" spans="1:18" s="285" customFormat="1" ht="39.6" customHeight="1" x14ac:dyDescent="0.25">
      <c r="A1568" s="276"/>
      <c r="B1568" s="276"/>
      <c r="C1568" s="276"/>
      <c r="D1568" s="288"/>
      <c r="E1568" s="290"/>
      <c r="F1568" s="266"/>
      <c r="G1568" s="288"/>
      <c r="H1568" s="291"/>
      <c r="I1568" s="292"/>
      <c r="J1568" s="292"/>
      <c r="K1568" s="291"/>
      <c r="L1568" s="293"/>
      <c r="M1568" s="287"/>
      <c r="O1568" s="286"/>
      <c r="P1568" s="269"/>
      <c r="Q1568" s="269"/>
      <c r="R1568" s="269"/>
    </row>
    <row r="1569" spans="1:18" s="285" customFormat="1" ht="39.6" customHeight="1" x14ac:dyDescent="0.25">
      <c r="A1569" s="276"/>
      <c r="B1569" s="276"/>
      <c r="C1569" s="276"/>
      <c r="D1569" s="288"/>
      <c r="E1569" s="290"/>
      <c r="F1569" s="266"/>
      <c r="G1569" s="288"/>
      <c r="H1569" s="291"/>
      <c r="I1569" s="292"/>
      <c r="J1569" s="292"/>
      <c r="K1569" s="291"/>
      <c r="L1569" s="293"/>
      <c r="M1569" s="287"/>
      <c r="O1569" s="286"/>
      <c r="P1569" s="269"/>
      <c r="Q1569" s="269"/>
      <c r="R1569" s="269"/>
    </row>
    <row r="1570" spans="1:18" s="285" customFormat="1" ht="39.6" customHeight="1" x14ac:dyDescent="0.25">
      <c r="A1570" s="276"/>
      <c r="B1570" s="276"/>
      <c r="C1570" s="276"/>
      <c r="D1570" s="288"/>
      <c r="E1570" s="290"/>
      <c r="F1570" s="266"/>
      <c r="G1570" s="288"/>
      <c r="H1570" s="291"/>
      <c r="I1570" s="292"/>
      <c r="J1570" s="292"/>
      <c r="K1570" s="291"/>
      <c r="L1570" s="293"/>
      <c r="M1570" s="287"/>
      <c r="O1570" s="286"/>
      <c r="P1570" s="269"/>
      <c r="Q1570" s="269"/>
      <c r="R1570" s="269"/>
    </row>
    <row r="1571" spans="1:18" s="285" customFormat="1" ht="39.6" customHeight="1" x14ac:dyDescent="0.25">
      <c r="A1571" s="276"/>
      <c r="B1571" s="276"/>
      <c r="C1571" s="276"/>
      <c r="D1571" s="288"/>
      <c r="E1571" s="290"/>
      <c r="F1571" s="266"/>
      <c r="G1571" s="288"/>
      <c r="H1571" s="291"/>
      <c r="I1571" s="292"/>
      <c r="J1571" s="292"/>
      <c r="K1571" s="291"/>
      <c r="L1571" s="293"/>
      <c r="M1571" s="287"/>
      <c r="O1571" s="286"/>
      <c r="P1571" s="269"/>
      <c r="Q1571" s="269"/>
      <c r="R1571" s="269"/>
    </row>
    <row r="1572" spans="1:18" s="285" customFormat="1" ht="39.6" customHeight="1" x14ac:dyDescent="0.25">
      <c r="A1572" s="276"/>
      <c r="B1572" s="276"/>
      <c r="C1572" s="276"/>
      <c r="D1572" s="288"/>
      <c r="E1572" s="290"/>
      <c r="F1572" s="266"/>
      <c r="G1572" s="288"/>
      <c r="H1572" s="291"/>
      <c r="I1572" s="292"/>
      <c r="J1572" s="292"/>
      <c r="K1572" s="291"/>
      <c r="L1572" s="293"/>
      <c r="M1572" s="287"/>
      <c r="O1572" s="286"/>
      <c r="P1572" s="269"/>
      <c r="Q1572" s="269"/>
      <c r="R1572" s="269"/>
    </row>
    <row r="1573" spans="1:18" s="285" customFormat="1" ht="39.6" customHeight="1" x14ac:dyDescent="0.25">
      <c r="A1573" s="276"/>
      <c r="B1573" s="276"/>
      <c r="C1573" s="276"/>
      <c r="D1573" s="288"/>
      <c r="E1573" s="290"/>
      <c r="F1573" s="266"/>
      <c r="G1573" s="288"/>
      <c r="H1573" s="291"/>
      <c r="I1573" s="292"/>
      <c r="J1573" s="292"/>
      <c r="K1573" s="291"/>
      <c r="L1573" s="293"/>
      <c r="M1573" s="287"/>
      <c r="O1573" s="286"/>
      <c r="P1573" s="269"/>
      <c r="Q1573" s="269"/>
      <c r="R1573" s="269"/>
    </row>
    <row r="1574" spans="1:18" s="285" customFormat="1" ht="39.6" customHeight="1" x14ac:dyDescent="0.25">
      <c r="A1574" s="276"/>
      <c r="B1574" s="276"/>
      <c r="C1574" s="276"/>
      <c r="D1574" s="288"/>
      <c r="E1574" s="290"/>
      <c r="F1574" s="266"/>
      <c r="G1574" s="288"/>
      <c r="H1574" s="291"/>
      <c r="I1574" s="292"/>
      <c r="J1574" s="292"/>
      <c r="K1574" s="291"/>
      <c r="L1574" s="293"/>
      <c r="M1574" s="287"/>
      <c r="O1574" s="286"/>
      <c r="P1574" s="269"/>
      <c r="Q1574" s="269"/>
      <c r="R1574" s="269"/>
    </row>
    <row r="1575" spans="1:18" s="285" customFormat="1" ht="39.6" customHeight="1" x14ac:dyDescent="0.25">
      <c r="A1575" s="276"/>
      <c r="B1575" s="276"/>
      <c r="C1575" s="276"/>
      <c r="D1575" s="288"/>
      <c r="E1575" s="290"/>
      <c r="F1575" s="266"/>
      <c r="G1575" s="288"/>
      <c r="H1575" s="291"/>
      <c r="I1575" s="292"/>
      <c r="J1575" s="292"/>
      <c r="K1575" s="291"/>
      <c r="L1575" s="293"/>
      <c r="M1575" s="287"/>
      <c r="O1575" s="286"/>
      <c r="P1575" s="269"/>
      <c r="Q1575" s="269"/>
      <c r="R1575" s="269"/>
    </row>
    <row r="1576" spans="1:18" s="285" customFormat="1" ht="39.6" customHeight="1" x14ac:dyDescent="0.25">
      <c r="A1576" s="276"/>
      <c r="B1576" s="276"/>
      <c r="C1576" s="276"/>
      <c r="D1576" s="288"/>
      <c r="E1576" s="290"/>
      <c r="F1576" s="266"/>
      <c r="G1576" s="288"/>
      <c r="H1576" s="291"/>
      <c r="I1576" s="292"/>
      <c r="J1576" s="292"/>
      <c r="K1576" s="291"/>
      <c r="L1576" s="293"/>
      <c r="M1576" s="287"/>
      <c r="O1576" s="286"/>
      <c r="P1576" s="269"/>
      <c r="Q1576" s="269"/>
      <c r="R1576" s="269"/>
    </row>
    <row r="1577" spans="1:18" s="285" customFormat="1" ht="39.6" customHeight="1" x14ac:dyDescent="0.25">
      <c r="A1577" s="276"/>
      <c r="B1577" s="276"/>
      <c r="C1577" s="276"/>
      <c r="D1577" s="288"/>
      <c r="E1577" s="290"/>
      <c r="F1577" s="266"/>
      <c r="G1577" s="288"/>
      <c r="H1577" s="291"/>
      <c r="I1577" s="292"/>
      <c r="J1577" s="292"/>
      <c r="K1577" s="291"/>
      <c r="L1577" s="293"/>
      <c r="M1577" s="287"/>
      <c r="O1577" s="286"/>
      <c r="P1577" s="269"/>
      <c r="Q1577" s="269"/>
      <c r="R1577" s="269"/>
    </row>
    <row r="1578" spans="1:18" s="285" customFormat="1" ht="39.6" customHeight="1" x14ac:dyDescent="0.25">
      <c r="A1578" s="276"/>
      <c r="B1578" s="276"/>
      <c r="C1578" s="276"/>
      <c r="D1578" s="288"/>
      <c r="E1578" s="290"/>
      <c r="F1578" s="266"/>
      <c r="G1578" s="288"/>
      <c r="H1578" s="291"/>
      <c r="I1578" s="292"/>
      <c r="J1578" s="292"/>
      <c r="K1578" s="291"/>
      <c r="L1578" s="293"/>
      <c r="M1578" s="287"/>
      <c r="O1578" s="286"/>
      <c r="P1578" s="269"/>
      <c r="Q1578" s="269"/>
      <c r="R1578" s="269"/>
    </row>
    <row r="1579" spans="1:18" s="285" customFormat="1" ht="39.6" customHeight="1" x14ac:dyDescent="0.25">
      <c r="A1579" s="276"/>
      <c r="B1579" s="276"/>
      <c r="C1579" s="276"/>
      <c r="D1579" s="288"/>
      <c r="E1579" s="290"/>
      <c r="F1579" s="266"/>
      <c r="G1579" s="288"/>
      <c r="H1579" s="291"/>
      <c r="I1579" s="292"/>
      <c r="J1579" s="292"/>
      <c r="K1579" s="291"/>
      <c r="L1579" s="293"/>
      <c r="M1579" s="287"/>
      <c r="O1579" s="286"/>
      <c r="P1579" s="269"/>
      <c r="Q1579" s="269"/>
      <c r="R1579" s="269"/>
    </row>
    <row r="1580" spans="1:18" s="285" customFormat="1" ht="39.6" customHeight="1" x14ac:dyDescent="0.25">
      <c r="A1580" s="276"/>
      <c r="B1580" s="276"/>
      <c r="C1580" s="276"/>
      <c r="D1580" s="288"/>
      <c r="E1580" s="290"/>
      <c r="F1580" s="266"/>
      <c r="G1580" s="288"/>
      <c r="H1580" s="291"/>
      <c r="I1580" s="292"/>
      <c r="J1580" s="292"/>
      <c r="K1580" s="291"/>
      <c r="L1580" s="293"/>
      <c r="M1580" s="287"/>
      <c r="O1580" s="286"/>
      <c r="P1580" s="269"/>
      <c r="Q1580" s="269"/>
      <c r="R1580" s="269"/>
    </row>
    <row r="1581" spans="1:18" s="285" customFormat="1" ht="39.6" customHeight="1" x14ac:dyDescent="0.25">
      <c r="A1581" s="276"/>
      <c r="B1581" s="276"/>
      <c r="C1581" s="276"/>
      <c r="D1581" s="288"/>
      <c r="E1581" s="290"/>
      <c r="F1581" s="266"/>
      <c r="G1581" s="288"/>
      <c r="H1581" s="291"/>
      <c r="I1581" s="292"/>
      <c r="J1581" s="292"/>
      <c r="K1581" s="291"/>
      <c r="L1581" s="293"/>
      <c r="M1581" s="287"/>
      <c r="O1581" s="286"/>
      <c r="P1581" s="269"/>
      <c r="Q1581" s="269"/>
      <c r="R1581" s="269"/>
    </row>
    <row r="1582" spans="1:18" s="285" customFormat="1" ht="39.6" customHeight="1" x14ac:dyDescent="0.25">
      <c r="A1582" s="276"/>
      <c r="B1582" s="276"/>
      <c r="C1582" s="276"/>
      <c r="D1582" s="288"/>
      <c r="E1582" s="290"/>
      <c r="F1582" s="266"/>
      <c r="G1582" s="288"/>
      <c r="H1582" s="291"/>
      <c r="I1582" s="292"/>
      <c r="J1582" s="292"/>
      <c r="K1582" s="291"/>
      <c r="L1582" s="293"/>
      <c r="M1582" s="287"/>
      <c r="O1582" s="286"/>
      <c r="P1582" s="269"/>
      <c r="Q1582" s="269"/>
      <c r="R1582" s="269"/>
    </row>
    <row r="1583" spans="1:18" s="285" customFormat="1" ht="39.6" customHeight="1" x14ac:dyDescent="0.25">
      <c r="A1583" s="276"/>
      <c r="B1583" s="276"/>
      <c r="C1583" s="276"/>
      <c r="D1583" s="288"/>
      <c r="E1583" s="290"/>
      <c r="F1583" s="266"/>
      <c r="G1583" s="288"/>
      <c r="H1583" s="291"/>
      <c r="I1583" s="292"/>
      <c r="J1583" s="292"/>
      <c r="K1583" s="291"/>
      <c r="L1583" s="293"/>
      <c r="M1583" s="287"/>
      <c r="O1583" s="286"/>
      <c r="P1583" s="269"/>
      <c r="Q1583" s="269"/>
      <c r="R1583" s="269"/>
    </row>
    <row r="1584" spans="1:18" s="285" customFormat="1" ht="39.6" customHeight="1" x14ac:dyDescent="0.25">
      <c r="A1584" s="276"/>
      <c r="B1584" s="276"/>
      <c r="C1584" s="276"/>
      <c r="D1584" s="288"/>
      <c r="E1584" s="290"/>
      <c r="F1584" s="266"/>
      <c r="G1584" s="288"/>
      <c r="H1584" s="291"/>
      <c r="I1584" s="292"/>
      <c r="J1584" s="292"/>
      <c r="K1584" s="291"/>
      <c r="L1584" s="293"/>
      <c r="M1584" s="287"/>
      <c r="O1584" s="286"/>
      <c r="P1584" s="269"/>
      <c r="Q1584" s="269"/>
      <c r="R1584" s="269"/>
    </row>
    <row r="1585" spans="1:18" s="285" customFormat="1" ht="39.6" customHeight="1" x14ac:dyDescent="0.25">
      <c r="A1585" s="276"/>
      <c r="B1585" s="276"/>
      <c r="C1585" s="276"/>
      <c r="D1585" s="288"/>
      <c r="E1585" s="290"/>
      <c r="F1585" s="266"/>
      <c r="G1585" s="288"/>
      <c r="H1585" s="291"/>
      <c r="I1585" s="292"/>
      <c r="J1585" s="292"/>
      <c r="K1585" s="291"/>
      <c r="L1585" s="293"/>
      <c r="M1585" s="287"/>
      <c r="O1585" s="286"/>
      <c r="P1585" s="269"/>
      <c r="Q1585" s="269"/>
      <c r="R1585" s="269"/>
    </row>
    <row r="1586" spans="1:18" s="285" customFormat="1" ht="39.6" customHeight="1" x14ac:dyDescent="0.25">
      <c r="A1586" s="276"/>
      <c r="B1586" s="276"/>
      <c r="C1586" s="276"/>
      <c r="D1586" s="288"/>
      <c r="E1586" s="290"/>
      <c r="F1586" s="266"/>
      <c r="G1586" s="288"/>
      <c r="H1586" s="291"/>
      <c r="I1586" s="292"/>
      <c r="J1586" s="292"/>
      <c r="K1586" s="291"/>
      <c r="L1586" s="293"/>
      <c r="M1586" s="287"/>
      <c r="O1586" s="286"/>
      <c r="P1586" s="269"/>
      <c r="Q1586" s="269"/>
      <c r="R1586" s="269"/>
    </row>
    <row r="1587" spans="1:18" s="285" customFormat="1" ht="39.6" customHeight="1" x14ac:dyDescent="0.25">
      <c r="A1587" s="276"/>
      <c r="B1587" s="276"/>
      <c r="C1587" s="276"/>
      <c r="D1587" s="288"/>
      <c r="E1587" s="290"/>
      <c r="F1587" s="266"/>
      <c r="G1587" s="288"/>
      <c r="H1587" s="291"/>
      <c r="I1587" s="292"/>
      <c r="J1587" s="292"/>
      <c r="K1587" s="291"/>
      <c r="L1587" s="293"/>
      <c r="M1587" s="287"/>
      <c r="O1587" s="286"/>
      <c r="P1587" s="269"/>
      <c r="Q1587" s="269"/>
      <c r="R1587" s="269"/>
    </row>
    <row r="1588" spans="1:18" s="285" customFormat="1" ht="39.6" customHeight="1" x14ac:dyDescent="0.25">
      <c r="A1588" s="276"/>
      <c r="B1588" s="276"/>
      <c r="C1588" s="276"/>
      <c r="D1588" s="288"/>
      <c r="E1588" s="290"/>
      <c r="F1588" s="266"/>
      <c r="G1588" s="288"/>
      <c r="H1588" s="291"/>
      <c r="I1588" s="292"/>
      <c r="J1588" s="292"/>
      <c r="K1588" s="291"/>
      <c r="L1588" s="293"/>
      <c r="M1588" s="287"/>
      <c r="O1588" s="286"/>
      <c r="P1588" s="269"/>
      <c r="Q1588" s="269"/>
      <c r="R1588" s="269"/>
    </row>
    <row r="1589" spans="1:18" s="285" customFormat="1" ht="39.6" customHeight="1" x14ac:dyDescent="0.25">
      <c r="A1589" s="276"/>
      <c r="B1589" s="276"/>
      <c r="C1589" s="276"/>
      <c r="D1589" s="288"/>
      <c r="E1589" s="290"/>
      <c r="F1589" s="266"/>
      <c r="G1589" s="288"/>
      <c r="H1589" s="291"/>
      <c r="I1589" s="292"/>
      <c r="J1589" s="292"/>
      <c r="K1589" s="291"/>
      <c r="L1589" s="293"/>
      <c r="M1589" s="287"/>
      <c r="O1589" s="286"/>
      <c r="P1589" s="269"/>
      <c r="Q1589" s="269"/>
      <c r="R1589" s="269"/>
    </row>
    <row r="1590" spans="1:18" s="285" customFormat="1" ht="39.6" customHeight="1" x14ac:dyDescent="0.25">
      <c r="A1590" s="276"/>
      <c r="B1590" s="276"/>
      <c r="C1590" s="276"/>
      <c r="D1590" s="288"/>
      <c r="E1590" s="290"/>
      <c r="F1590" s="266"/>
      <c r="G1590" s="288"/>
      <c r="H1590" s="291"/>
      <c r="I1590" s="292"/>
      <c r="J1590" s="292"/>
      <c r="K1590" s="291"/>
      <c r="L1590" s="293"/>
      <c r="M1590" s="287"/>
      <c r="O1590" s="286"/>
      <c r="P1590" s="269"/>
      <c r="Q1590" s="269"/>
      <c r="R1590" s="269"/>
    </row>
    <row r="1591" spans="1:18" s="285" customFormat="1" ht="39.6" customHeight="1" x14ac:dyDescent="0.25">
      <c r="A1591" s="276"/>
      <c r="B1591" s="276"/>
      <c r="C1591" s="276"/>
      <c r="D1591" s="288"/>
      <c r="E1591" s="290"/>
      <c r="F1591" s="266"/>
      <c r="G1591" s="288"/>
      <c r="H1591" s="291"/>
      <c r="I1591" s="292"/>
      <c r="J1591" s="292"/>
      <c r="K1591" s="291"/>
      <c r="L1591" s="293"/>
      <c r="M1591" s="287"/>
      <c r="O1591" s="286"/>
      <c r="P1591" s="269"/>
      <c r="Q1591" s="269"/>
      <c r="R1591" s="269"/>
    </row>
    <row r="1592" spans="1:18" s="285" customFormat="1" ht="39.6" customHeight="1" x14ac:dyDescent="0.25">
      <c r="A1592" s="276"/>
      <c r="B1592" s="276"/>
      <c r="C1592" s="276"/>
      <c r="D1592" s="288"/>
      <c r="E1592" s="290"/>
      <c r="F1592" s="266"/>
      <c r="G1592" s="288"/>
      <c r="H1592" s="291"/>
      <c r="I1592" s="292"/>
      <c r="J1592" s="292"/>
      <c r="K1592" s="291"/>
      <c r="L1592" s="293"/>
      <c r="M1592" s="287"/>
      <c r="O1592" s="286"/>
      <c r="P1592" s="269"/>
      <c r="Q1592" s="269"/>
      <c r="R1592" s="269"/>
    </row>
    <row r="1593" spans="1:18" s="285" customFormat="1" ht="39.6" customHeight="1" x14ac:dyDescent="0.25">
      <c r="A1593" s="276"/>
      <c r="B1593" s="276"/>
      <c r="C1593" s="276"/>
      <c r="D1593" s="288"/>
      <c r="E1593" s="290"/>
      <c r="F1593" s="266"/>
      <c r="G1593" s="288"/>
      <c r="H1593" s="291"/>
      <c r="I1593" s="292"/>
      <c r="J1593" s="292"/>
      <c r="K1593" s="291"/>
      <c r="L1593" s="293"/>
      <c r="M1593" s="287"/>
      <c r="O1593" s="286"/>
      <c r="P1593" s="269"/>
      <c r="Q1593" s="269"/>
      <c r="R1593" s="269"/>
    </row>
    <row r="1594" spans="1:18" s="285" customFormat="1" ht="39.6" customHeight="1" x14ac:dyDescent="0.25">
      <c r="A1594" s="276"/>
      <c r="B1594" s="276"/>
      <c r="C1594" s="276"/>
      <c r="D1594" s="288"/>
      <c r="E1594" s="290"/>
      <c r="F1594" s="266"/>
      <c r="G1594" s="288"/>
      <c r="H1594" s="291"/>
      <c r="I1594" s="292"/>
      <c r="J1594" s="292"/>
      <c r="K1594" s="291"/>
      <c r="L1594" s="293"/>
      <c r="M1594" s="287"/>
      <c r="O1594" s="286"/>
      <c r="P1594" s="269"/>
      <c r="Q1594" s="269"/>
      <c r="R1594" s="269"/>
    </row>
    <row r="1595" spans="1:18" s="285" customFormat="1" ht="39.6" customHeight="1" x14ac:dyDescent="0.25">
      <c r="A1595" s="276"/>
      <c r="B1595" s="276"/>
      <c r="C1595" s="276"/>
      <c r="D1595" s="288"/>
      <c r="E1595" s="290"/>
      <c r="F1595" s="266"/>
      <c r="G1595" s="288"/>
      <c r="H1595" s="291"/>
      <c r="I1595" s="292"/>
      <c r="J1595" s="292"/>
      <c r="K1595" s="291"/>
      <c r="L1595" s="293"/>
      <c r="M1595" s="287"/>
      <c r="O1595" s="286"/>
      <c r="P1595" s="269"/>
      <c r="Q1595" s="269"/>
      <c r="R1595" s="269"/>
    </row>
    <row r="1596" spans="1:18" s="285" customFormat="1" ht="39.6" customHeight="1" x14ac:dyDescent="0.25">
      <c r="A1596" s="276"/>
      <c r="B1596" s="276"/>
      <c r="C1596" s="276"/>
      <c r="D1596" s="288"/>
      <c r="E1596" s="290"/>
      <c r="F1596" s="266"/>
      <c r="G1596" s="288"/>
      <c r="H1596" s="291"/>
      <c r="I1596" s="292"/>
      <c r="J1596" s="292"/>
      <c r="K1596" s="291"/>
      <c r="L1596" s="293"/>
      <c r="M1596" s="287"/>
      <c r="O1596" s="286"/>
      <c r="P1596" s="269"/>
      <c r="Q1596" s="269"/>
      <c r="R1596" s="269"/>
    </row>
    <row r="1597" spans="1:18" s="285" customFormat="1" ht="39.6" customHeight="1" x14ac:dyDescent="0.25">
      <c r="A1597" s="276"/>
      <c r="B1597" s="276"/>
      <c r="C1597" s="276"/>
      <c r="D1597" s="288"/>
      <c r="E1597" s="290"/>
      <c r="F1597" s="266"/>
      <c r="G1597" s="288"/>
      <c r="H1597" s="291"/>
      <c r="I1597" s="292"/>
      <c r="J1597" s="292"/>
      <c r="K1597" s="291"/>
      <c r="L1597" s="293"/>
      <c r="M1597" s="287"/>
      <c r="O1597" s="286"/>
      <c r="P1597" s="269"/>
      <c r="Q1597" s="269"/>
      <c r="R1597" s="269"/>
    </row>
    <row r="1598" spans="1:18" s="285" customFormat="1" ht="39.6" customHeight="1" x14ac:dyDescent="0.25">
      <c r="A1598" s="276"/>
      <c r="B1598" s="276"/>
      <c r="C1598" s="276"/>
      <c r="D1598" s="288"/>
      <c r="E1598" s="290"/>
      <c r="F1598" s="266"/>
      <c r="G1598" s="288"/>
      <c r="H1598" s="291"/>
      <c r="I1598" s="292"/>
      <c r="J1598" s="292"/>
      <c r="K1598" s="291"/>
      <c r="L1598" s="293"/>
      <c r="M1598" s="287"/>
      <c r="O1598" s="286"/>
      <c r="P1598" s="269"/>
      <c r="Q1598" s="269"/>
      <c r="R1598" s="269"/>
    </row>
    <row r="1599" spans="1:18" s="285" customFormat="1" ht="39.6" customHeight="1" x14ac:dyDescent="0.25">
      <c r="A1599" s="276"/>
      <c r="B1599" s="276"/>
      <c r="C1599" s="276"/>
      <c r="D1599" s="288"/>
      <c r="E1599" s="290"/>
      <c r="F1599" s="266"/>
      <c r="G1599" s="288"/>
      <c r="H1599" s="291"/>
      <c r="I1599" s="292"/>
      <c r="J1599" s="292"/>
      <c r="K1599" s="291"/>
      <c r="L1599" s="293"/>
      <c r="M1599" s="287"/>
      <c r="O1599" s="286"/>
      <c r="P1599" s="269"/>
      <c r="Q1599" s="269"/>
      <c r="R1599" s="269"/>
    </row>
    <row r="1600" spans="1:18" s="285" customFormat="1" ht="39.6" customHeight="1" x14ac:dyDescent="0.25">
      <c r="A1600" s="276"/>
      <c r="B1600" s="276"/>
      <c r="C1600" s="276"/>
      <c r="D1600" s="288"/>
      <c r="E1600" s="290"/>
      <c r="F1600" s="266"/>
      <c r="G1600" s="288"/>
      <c r="H1600" s="291"/>
      <c r="I1600" s="292"/>
      <c r="J1600" s="292"/>
      <c r="K1600" s="291"/>
      <c r="L1600" s="293"/>
      <c r="M1600" s="287"/>
      <c r="O1600" s="286"/>
      <c r="P1600" s="269"/>
      <c r="Q1600" s="269"/>
      <c r="R1600" s="269"/>
    </row>
    <row r="1601" spans="1:18" s="285" customFormat="1" ht="39.6" customHeight="1" x14ac:dyDescent="0.25">
      <c r="A1601" s="276"/>
      <c r="B1601" s="276"/>
      <c r="C1601" s="276"/>
      <c r="D1601" s="288"/>
      <c r="E1601" s="290"/>
      <c r="F1601" s="266"/>
      <c r="G1601" s="288"/>
      <c r="H1601" s="291"/>
      <c r="I1601" s="292"/>
      <c r="J1601" s="292"/>
      <c r="K1601" s="291"/>
      <c r="L1601" s="293"/>
      <c r="M1601" s="287"/>
      <c r="O1601" s="286"/>
      <c r="P1601" s="269"/>
      <c r="Q1601" s="269"/>
      <c r="R1601" s="269"/>
    </row>
    <row r="1602" spans="1:18" s="285" customFormat="1" ht="39.6" customHeight="1" x14ac:dyDescent="0.25">
      <c r="A1602" s="276"/>
      <c r="B1602" s="276"/>
      <c r="C1602" s="276"/>
      <c r="D1602" s="288"/>
      <c r="E1602" s="290"/>
      <c r="F1602" s="266"/>
      <c r="G1602" s="288"/>
      <c r="H1602" s="291"/>
      <c r="I1602" s="292"/>
      <c r="J1602" s="292"/>
      <c r="K1602" s="291"/>
      <c r="L1602" s="293"/>
      <c r="M1602" s="287"/>
      <c r="O1602" s="286"/>
      <c r="P1602" s="269"/>
      <c r="Q1602" s="269"/>
      <c r="R1602" s="269"/>
    </row>
    <row r="1603" spans="1:18" s="285" customFormat="1" ht="39.6" customHeight="1" x14ac:dyDescent="0.25">
      <c r="A1603" s="276"/>
      <c r="B1603" s="276"/>
      <c r="C1603" s="276"/>
      <c r="D1603" s="288"/>
      <c r="E1603" s="290"/>
      <c r="F1603" s="266"/>
      <c r="G1603" s="288"/>
      <c r="H1603" s="291"/>
      <c r="I1603" s="292"/>
      <c r="J1603" s="292"/>
      <c r="K1603" s="291"/>
      <c r="L1603" s="293"/>
      <c r="M1603" s="287"/>
      <c r="O1603" s="286"/>
      <c r="P1603" s="269"/>
      <c r="Q1603" s="269"/>
      <c r="R1603" s="269"/>
    </row>
    <row r="1604" spans="1:18" s="285" customFormat="1" ht="39.6" customHeight="1" x14ac:dyDescent="0.25">
      <c r="A1604" s="276"/>
      <c r="B1604" s="276"/>
      <c r="C1604" s="276"/>
      <c r="D1604" s="288"/>
      <c r="E1604" s="290"/>
      <c r="F1604" s="266"/>
      <c r="G1604" s="288"/>
      <c r="H1604" s="291"/>
      <c r="I1604" s="292"/>
      <c r="J1604" s="292"/>
      <c r="K1604" s="291"/>
      <c r="L1604" s="293"/>
      <c r="M1604" s="287"/>
      <c r="O1604" s="286"/>
      <c r="P1604" s="269"/>
      <c r="Q1604" s="269"/>
      <c r="R1604" s="269"/>
    </row>
    <row r="1605" spans="1:18" s="285" customFormat="1" ht="39.6" customHeight="1" x14ac:dyDescent="0.25">
      <c r="A1605" s="276"/>
      <c r="B1605" s="276"/>
      <c r="C1605" s="276"/>
      <c r="D1605" s="288"/>
      <c r="E1605" s="290"/>
      <c r="F1605" s="266"/>
      <c r="G1605" s="288"/>
      <c r="H1605" s="291"/>
      <c r="I1605" s="292"/>
      <c r="J1605" s="292"/>
      <c r="K1605" s="291"/>
      <c r="L1605" s="293"/>
      <c r="M1605" s="287"/>
      <c r="O1605" s="286"/>
      <c r="P1605" s="269"/>
      <c r="Q1605" s="269"/>
      <c r="R1605" s="269"/>
    </row>
    <row r="1606" spans="1:18" s="285" customFormat="1" ht="39.6" customHeight="1" x14ac:dyDescent="0.25">
      <c r="A1606" s="276"/>
      <c r="B1606" s="276"/>
      <c r="C1606" s="276"/>
      <c r="D1606" s="288"/>
      <c r="E1606" s="290"/>
      <c r="F1606" s="266"/>
      <c r="G1606" s="288"/>
      <c r="H1606" s="291"/>
      <c r="I1606" s="292"/>
      <c r="J1606" s="292"/>
      <c r="K1606" s="291"/>
      <c r="L1606" s="293"/>
      <c r="M1606" s="287"/>
      <c r="O1606" s="286"/>
      <c r="P1606" s="269"/>
      <c r="Q1606" s="269"/>
      <c r="R1606" s="269"/>
    </row>
    <row r="1607" spans="1:18" s="285" customFormat="1" ht="39.6" customHeight="1" x14ac:dyDescent="0.25">
      <c r="A1607" s="276"/>
      <c r="B1607" s="276"/>
      <c r="C1607" s="276"/>
      <c r="D1607" s="288"/>
      <c r="E1607" s="290"/>
      <c r="F1607" s="266"/>
      <c r="G1607" s="288"/>
      <c r="H1607" s="291"/>
      <c r="I1607" s="292"/>
      <c r="J1607" s="292"/>
      <c r="K1607" s="291"/>
      <c r="L1607" s="293"/>
      <c r="M1607" s="287"/>
      <c r="O1607" s="286"/>
      <c r="P1607" s="269"/>
      <c r="Q1607" s="269"/>
      <c r="R1607" s="269"/>
    </row>
    <row r="1608" spans="1:18" s="285" customFormat="1" ht="39.6" customHeight="1" x14ac:dyDescent="0.25">
      <c r="A1608" s="276"/>
      <c r="B1608" s="276"/>
      <c r="C1608" s="276"/>
      <c r="D1608" s="288"/>
      <c r="E1608" s="290"/>
      <c r="F1608" s="266"/>
      <c r="G1608" s="288"/>
      <c r="H1608" s="291"/>
      <c r="I1608" s="292"/>
      <c r="J1608" s="292"/>
      <c r="K1608" s="291"/>
      <c r="L1608" s="293"/>
      <c r="M1608" s="287"/>
      <c r="O1608" s="286"/>
      <c r="P1608" s="269"/>
      <c r="Q1608" s="269"/>
      <c r="R1608" s="269"/>
    </row>
    <row r="1609" spans="1:18" s="285" customFormat="1" ht="39.6" customHeight="1" x14ac:dyDescent="0.25">
      <c r="A1609" s="276"/>
      <c r="B1609" s="276"/>
      <c r="C1609" s="276"/>
      <c r="D1609" s="288"/>
      <c r="E1609" s="290"/>
      <c r="F1609" s="266"/>
      <c r="G1609" s="288"/>
      <c r="H1609" s="291"/>
      <c r="I1609" s="292"/>
      <c r="J1609" s="292"/>
      <c r="K1609" s="291"/>
      <c r="L1609" s="293"/>
      <c r="M1609" s="287"/>
      <c r="O1609" s="286"/>
      <c r="P1609" s="269"/>
      <c r="Q1609" s="269"/>
      <c r="R1609" s="269"/>
    </row>
    <row r="1610" spans="1:18" s="285" customFormat="1" ht="39.6" customHeight="1" x14ac:dyDescent="0.25">
      <c r="A1610" s="276"/>
      <c r="B1610" s="276"/>
      <c r="C1610" s="276"/>
      <c r="D1610" s="288"/>
      <c r="E1610" s="290"/>
      <c r="F1610" s="266"/>
      <c r="G1610" s="288"/>
      <c r="H1610" s="291"/>
      <c r="I1610" s="292"/>
      <c r="J1610" s="292"/>
      <c r="K1610" s="291"/>
      <c r="L1610" s="293"/>
      <c r="M1610" s="287"/>
      <c r="O1610" s="286"/>
      <c r="P1610" s="269"/>
      <c r="Q1610" s="269"/>
      <c r="R1610" s="269"/>
    </row>
    <row r="1611" spans="1:18" s="285" customFormat="1" ht="39.6" customHeight="1" x14ac:dyDescent="0.25">
      <c r="A1611" s="276"/>
      <c r="B1611" s="276"/>
      <c r="C1611" s="276"/>
      <c r="D1611" s="288"/>
      <c r="E1611" s="290"/>
      <c r="F1611" s="266"/>
      <c r="G1611" s="288"/>
      <c r="H1611" s="291"/>
      <c r="I1611" s="292"/>
      <c r="J1611" s="292"/>
      <c r="K1611" s="291"/>
      <c r="L1611" s="293"/>
      <c r="M1611" s="287"/>
      <c r="O1611" s="286"/>
      <c r="P1611" s="269"/>
      <c r="Q1611" s="269"/>
      <c r="R1611" s="269"/>
    </row>
    <row r="1612" spans="1:18" s="285" customFormat="1" ht="39.6" customHeight="1" x14ac:dyDescent="0.25">
      <c r="A1612" s="276"/>
      <c r="B1612" s="276"/>
      <c r="C1612" s="276"/>
      <c r="D1612" s="288"/>
      <c r="E1612" s="290"/>
      <c r="F1612" s="266"/>
      <c r="G1612" s="288"/>
      <c r="H1612" s="291"/>
      <c r="I1612" s="292"/>
      <c r="J1612" s="292"/>
      <c r="K1612" s="291"/>
      <c r="L1612" s="293"/>
      <c r="M1612" s="287"/>
      <c r="O1612" s="286"/>
      <c r="P1612" s="269"/>
      <c r="Q1612" s="269"/>
      <c r="R1612" s="269"/>
    </row>
    <row r="1613" spans="1:18" s="285" customFormat="1" ht="39.6" customHeight="1" x14ac:dyDescent="0.25">
      <c r="A1613" s="276"/>
      <c r="B1613" s="276"/>
      <c r="C1613" s="276"/>
      <c r="D1613" s="288"/>
      <c r="E1613" s="290"/>
      <c r="F1613" s="266"/>
      <c r="G1613" s="288"/>
      <c r="H1613" s="291"/>
      <c r="I1613" s="292"/>
      <c r="J1613" s="292"/>
      <c r="K1613" s="291"/>
      <c r="L1613" s="293"/>
      <c r="M1613" s="287"/>
      <c r="O1613" s="286"/>
      <c r="P1613" s="269"/>
      <c r="Q1613" s="269"/>
      <c r="R1613" s="269"/>
    </row>
    <row r="1614" spans="1:18" s="285" customFormat="1" ht="39.6" customHeight="1" x14ac:dyDescent="0.25">
      <c r="A1614" s="276"/>
      <c r="B1614" s="276"/>
      <c r="C1614" s="276"/>
      <c r="D1614" s="288"/>
      <c r="E1614" s="290"/>
      <c r="F1614" s="266"/>
      <c r="G1614" s="288"/>
      <c r="H1614" s="291"/>
      <c r="I1614" s="292"/>
      <c r="J1614" s="292"/>
      <c r="K1614" s="291"/>
      <c r="L1614" s="293"/>
      <c r="M1614" s="287"/>
      <c r="O1614" s="286"/>
      <c r="P1614" s="269"/>
      <c r="Q1614" s="269"/>
      <c r="R1614" s="269"/>
    </row>
    <row r="1615" spans="1:18" s="285" customFormat="1" ht="39.6" customHeight="1" x14ac:dyDescent="0.25">
      <c r="A1615" s="276"/>
      <c r="B1615" s="276"/>
      <c r="C1615" s="276"/>
      <c r="D1615" s="288"/>
      <c r="E1615" s="290"/>
      <c r="F1615" s="266"/>
      <c r="G1615" s="288"/>
      <c r="H1615" s="291"/>
      <c r="I1615" s="292"/>
      <c r="J1615" s="292"/>
      <c r="K1615" s="291"/>
      <c r="L1615" s="293"/>
      <c r="M1615" s="287"/>
      <c r="O1615" s="286"/>
      <c r="P1615" s="269"/>
      <c r="Q1615" s="269"/>
      <c r="R1615" s="269"/>
    </row>
    <row r="1616" spans="1:18" s="285" customFormat="1" ht="39.6" customHeight="1" x14ac:dyDescent="0.25">
      <c r="A1616" s="276"/>
      <c r="B1616" s="276"/>
      <c r="C1616" s="276"/>
      <c r="D1616" s="288"/>
      <c r="E1616" s="290"/>
      <c r="F1616" s="266"/>
      <c r="G1616" s="288"/>
      <c r="H1616" s="291"/>
      <c r="I1616" s="292"/>
      <c r="J1616" s="292"/>
      <c r="K1616" s="291"/>
      <c r="L1616" s="293"/>
      <c r="M1616" s="287"/>
      <c r="O1616" s="286"/>
      <c r="P1616" s="269"/>
      <c r="Q1616" s="269"/>
      <c r="R1616" s="269"/>
    </row>
    <row r="1617" spans="1:18" s="285" customFormat="1" ht="39.6" customHeight="1" x14ac:dyDescent="0.25">
      <c r="A1617" s="276"/>
      <c r="B1617" s="276"/>
      <c r="C1617" s="276"/>
      <c r="D1617" s="288"/>
      <c r="E1617" s="290"/>
      <c r="F1617" s="266"/>
      <c r="G1617" s="288"/>
      <c r="H1617" s="291"/>
      <c r="I1617" s="292"/>
      <c r="J1617" s="292"/>
      <c r="K1617" s="291"/>
      <c r="L1617" s="293"/>
      <c r="M1617" s="287"/>
      <c r="O1617" s="286"/>
      <c r="P1617" s="269"/>
      <c r="Q1617" s="269"/>
      <c r="R1617" s="269"/>
    </row>
    <row r="1618" spans="1:18" s="285" customFormat="1" ht="39.6" customHeight="1" x14ac:dyDescent="0.25">
      <c r="A1618" s="276"/>
      <c r="B1618" s="276"/>
      <c r="C1618" s="276"/>
      <c r="D1618" s="288"/>
      <c r="E1618" s="290"/>
      <c r="F1618" s="266"/>
      <c r="G1618" s="288"/>
      <c r="H1618" s="291"/>
      <c r="I1618" s="292"/>
      <c r="J1618" s="292"/>
      <c r="K1618" s="291"/>
      <c r="L1618" s="293"/>
      <c r="M1618" s="287"/>
      <c r="O1618" s="286"/>
      <c r="P1618" s="269"/>
      <c r="Q1618" s="269"/>
      <c r="R1618" s="269"/>
    </row>
    <row r="1619" spans="1:18" s="285" customFormat="1" ht="39.6" customHeight="1" x14ac:dyDescent="0.25">
      <c r="A1619" s="276"/>
      <c r="B1619" s="276"/>
      <c r="C1619" s="276"/>
      <c r="D1619" s="288"/>
      <c r="E1619" s="290"/>
      <c r="F1619" s="266"/>
      <c r="G1619" s="288"/>
      <c r="H1619" s="291"/>
      <c r="I1619" s="292"/>
      <c r="J1619" s="292"/>
      <c r="K1619" s="291"/>
      <c r="L1619" s="293"/>
      <c r="M1619" s="287"/>
      <c r="O1619" s="286"/>
      <c r="P1619" s="269"/>
      <c r="Q1619" s="269"/>
      <c r="R1619" s="269"/>
    </row>
    <row r="1620" spans="1:18" s="285" customFormat="1" ht="39.6" customHeight="1" x14ac:dyDescent="0.25">
      <c r="A1620" s="276"/>
      <c r="B1620" s="276"/>
      <c r="C1620" s="276"/>
      <c r="D1620" s="288"/>
      <c r="E1620" s="290"/>
      <c r="F1620" s="266"/>
      <c r="G1620" s="288"/>
      <c r="H1620" s="291"/>
      <c r="I1620" s="292"/>
      <c r="J1620" s="292"/>
      <c r="K1620" s="291"/>
      <c r="L1620" s="293"/>
      <c r="M1620" s="287"/>
      <c r="O1620" s="286"/>
      <c r="P1620" s="269"/>
      <c r="Q1620" s="269"/>
      <c r="R1620" s="269"/>
    </row>
    <row r="1621" spans="1:18" s="285" customFormat="1" ht="39.6" customHeight="1" x14ac:dyDescent="0.25">
      <c r="A1621" s="276"/>
      <c r="B1621" s="276"/>
      <c r="C1621" s="276"/>
      <c r="D1621" s="288"/>
      <c r="E1621" s="290"/>
      <c r="F1621" s="266"/>
      <c r="G1621" s="288"/>
      <c r="H1621" s="291"/>
      <c r="I1621" s="292"/>
      <c r="J1621" s="292"/>
      <c r="K1621" s="291"/>
      <c r="L1621" s="293"/>
      <c r="M1621" s="287"/>
      <c r="O1621" s="286"/>
      <c r="P1621" s="269"/>
      <c r="Q1621" s="269"/>
      <c r="R1621" s="269"/>
    </row>
    <row r="1622" spans="1:18" s="285" customFormat="1" ht="39.6" customHeight="1" x14ac:dyDescent="0.25">
      <c r="A1622" s="276"/>
      <c r="B1622" s="276"/>
      <c r="C1622" s="276"/>
      <c r="D1622" s="288"/>
      <c r="E1622" s="290"/>
      <c r="F1622" s="266"/>
      <c r="G1622" s="288"/>
      <c r="H1622" s="291"/>
      <c r="I1622" s="292"/>
      <c r="J1622" s="292"/>
      <c r="K1622" s="291"/>
      <c r="L1622" s="293"/>
      <c r="M1622" s="287"/>
      <c r="O1622" s="286"/>
      <c r="P1622" s="269"/>
      <c r="Q1622" s="269"/>
      <c r="R1622" s="269"/>
    </row>
    <row r="1623" spans="1:18" s="285" customFormat="1" ht="39.6" customHeight="1" x14ac:dyDescent="0.25">
      <c r="A1623" s="276"/>
      <c r="B1623" s="276"/>
      <c r="C1623" s="276"/>
      <c r="D1623" s="288"/>
      <c r="E1623" s="290"/>
      <c r="F1623" s="266"/>
      <c r="G1623" s="288"/>
      <c r="H1623" s="291"/>
      <c r="I1623" s="292"/>
      <c r="J1623" s="292"/>
      <c r="K1623" s="291"/>
      <c r="L1623" s="293"/>
      <c r="M1623" s="287"/>
      <c r="O1623" s="286"/>
      <c r="P1623" s="269"/>
      <c r="Q1623" s="269"/>
      <c r="R1623" s="269"/>
    </row>
    <row r="1624" spans="1:18" s="285" customFormat="1" ht="39.6" customHeight="1" x14ac:dyDescent="0.25">
      <c r="A1624" s="276"/>
      <c r="B1624" s="276"/>
      <c r="C1624" s="276"/>
      <c r="D1624" s="288"/>
      <c r="E1624" s="290"/>
      <c r="F1624" s="266"/>
      <c r="G1624" s="288"/>
      <c r="H1624" s="291"/>
      <c r="I1624" s="292"/>
      <c r="J1624" s="292"/>
      <c r="K1624" s="291"/>
      <c r="L1624" s="293"/>
      <c r="M1624" s="287"/>
      <c r="O1624" s="286"/>
      <c r="P1624" s="269"/>
      <c r="Q1624" s="269"/>
      <c r="R1624" s="269"/>
    </row>
    <row r="1625" spans="1:18" s="285" customFormat="1" ht="39.6" customHeight="1" x14ac:dyDescent="0.25">
      <c r="A1625" s="276"/>
      <c r="B1625" s="276"/>
      <c r="C1625" s="276"/>
      <c r="D1625" s="288"/>
      <c r="E1625" s="290"/>
      <c r="F1625" s="266"/>
      <c r="G1625" s="288"/>
      <c r="H1625" s="291"/>
      <c r="I1625" s="292"/>
      <c r="J1625" s="292"/>
      <c r="K1625" s="291"/>
      <c r="L1625" s="293"/>
      <c r="M1625" s="287"/>
      <c r="O1625" s="286"/>
      <c r="P1625" s="269"/>
      <c r="Q1625" s="269"/>
      <c r="R1625" s="269"/>
    </row>
    <row r="1626" spans="1:18" s="285" customFormat="1" ht="39.6" customHeight="1" x14ac:dyDescent="0.25">
      <c r="A1626" s="276"/>
      <c r="B1626" s="276"/>
      <c r="C1626" s="276"/>
      <c r="D1626" s="288"/>
      <c r="E1626" s="290"/>
      <c r="F1626" s="266"/>
      <c r="G1626" s="288"/>
      <c r="H1626" s="291"/>
      <c r="I1626" s="292"/>
      <c r="J1626" s="292"/>
      <c r="K1626" s="291"/>
      <c r="L1626" s="293"/>
      <c r="M1626" s="287"/>
      <c r="O1626" s="286"/>
      <c r="P1626" s="269"/>
      <c r="Q1626" s="269"/>
      <c r="R1626" s="269"/>
    </row>
    <row r="1627" spans="1:18" s="285" customFormat="1" ht="39.6" customHeight="1" x14ac:dyDescent="0.25">
      <c r="A1627" s="276"/>
      <c r="B1627" s="276"/>
      <c r="C1627" s="276"/>
      <c r="D1627" s="288"/>
      <c r="E1627" s="290"/>
      <c r="F1627" s="266"/>
      <c r="G1627" s="288"/>
      <c r="H1627" s="291"/>
      <c r="I1627" s="292"/>
      <c r="J1627" s="292"/>
      <c r="K1627" s="291"/>
      <c r="L1627" s="293"/>
      <c r="M1627" s="287"/>
      <c r="O1627" s="286"/>
      <c r="P1627" s="269"/>
      <c r="Q1627" s="269"/>
      <c r="R1627" s="269"/>
    </row>
    <row r="1628" spans="1:18" s="285" customFormat="1" ht="39.6" customHeight="1" x14ac:dyDescent="0.25">
      <c r="A1628" s="276"/>
      <c r="B1628" s="276"/>
      <c r="C1628" s="276"/>
      <c r="D1628" s="288"/>
      <c r="E1628" s="290"/>
      <c r="F1628" s="266"/>
      <c r="G1628" s="288"/>
      <c r="H1628" s="291"/>
      <c r="I1628" s="292"/>
      <c r="J1628" s="292"/>
      <c r="K1628" s="291"/>
      <c r="L1628" s="293"/>
      <c r="M1628" s="287"/>
      <c r="O1628" s="286"/>
      <c r="P1628" s="269"/>
      <c r="Q1628" s="269"/>
      <c r="R1628" s="269"/>
    </row>
    <row r="1629" spans="1:18" s="285" customFormat="1" ht="39.6" customHeight="1" x14ac:dyDescent="0.25">
      <c r="A1629" s="276"/>
      <c r="B1629" s="276"/>
      <c r="C1629" s="276"/>
      <c r="D1629" s="288"/>
      <c r="E1629" s="290"/>
      <c r="F1629" s="266"/>
      <c r="G1629" s="288"/>
      <c r="H1629" s="291"/>
      <c r="I1629" s="292"/>
      <c r="J1629" s="292"/>
      <c r="K1629" s="291"/>
      <c r="L1629" s="293"/>
      <c r="M1629" s="287"/>
      <c r="O1629" s="286"/>
      <c r="P1629" s="269"/>
      <c r="Q1629" s="269"/>
      <c r="R1629" s="269"/>
    </row>
    <row r="1630" spans="1:18" s="285" customFormat="1" ht="39.6" customHeight="1" x14ac:dyDescent="0.25">
      <c r="A1630" s="276"/>
      <c r="B1630" s="276"/>
      <c r="C1630" s="276"/>
      <c r="D1630" s="288"/>
      <c r="E1630" s="290"/>
      <c r="F1630" s="266"/>
      <c r="G1630" s="288"/>
      <c r="H1630" s="291"/>
      <c r="I1630" s="292"/>
      <c r="J1630" s="292"/>
      <c r="K1630" s="291"/>
      <c r="L1630" s="293"/>
      <c r="M1630" s="287"/>
      <c r="O1630" s="286"/>
      <c r="P1630" s="269"/>
      <c r="Q1630" s="269"/>
      <c r="R1630" s="269"/>
    </row>
    <row r="1631" spans="1:18" s="285" customFormat="1" ht="39.6" customHeight="1" x14ac:dyDescent="0.25">
      <c r="A1631" s="276"/>
      <c r="B1631" s="276"/>
      <c r="C1631" s="276"/>
      <c r="D1631" s="288"/>
      <c r="E1631" s="290"/>
      <c r="F1631" s="266"/>
      <c r="G1631" s="288"/>
      <c r="H1631" s="291"/>
      <c r="I1631" s="292"/>
      <c r="J1631" s="292"/>
      <c r="K1631" s="291"/>
      <c r="L1631" s="293"/>
      <c r="M1631" s="287"/>
      <c r="O1631" s="286"/>
      <c r="P1631" s="269"/>
      <c r="Q1631" s="269"/>
      <c r="R1631" s="269"/>
    </row>
    <row r="1632" spans="1:18" s="285" customFormat="1" ht="39.6" customHeight="1" x14ac:dyDescent="0.25">
      <c r="A1632" s="276"/>
      <c r="B1632" s="276"/>
      <c r="C1632" s="276"/>
      <c r="D1632" s="288"/>
      <c r="E1632" s="290"/>
      <c r="F1632" s="266"/>
      <c r="G1632" s="288"/>
      <c r="H1632" s="291"/>
      <c r="I1632" s="292"/>
      <c r="J1632" s="292"/>
      <c r="K1632" s="291"/>
      <c r="L1632" s="293"/>
      <c r="M1632" s="287"/>
      <c r="O1632" s="286"/>
      <c r="P1632" s="269"/>
      <c r="Q1632" s="269"/>
      <c r="R1632" s="269"/>
    </row>
    <row r="1633" spans="1:18" s="285" customFormat="1" ht="39.6" customHeight="1" x14ac:dyDescent="0.25">
      <c r="A1633" s="276"/>
      <c r="B1633" s="276"/>
      <c r="C1633" s="276"/>
      <c r="D1633" s="288"/>
      <c r="E1633" s="290"/>
      <c r="F1633" s="266"/>
      <c r="G1633" s="288"/>
      <c r="H1633" s="291"/>
      <c r="I1633" s="292"/>
      <c r="J1633" s="292"/>
      <c r="K1633" s="291"/>
      <c r="L1633" s="293"/>
      <c r="M1633" s="287"/>
      <c r="O1633" s="286"/>
      <c r="P1633" s="269"/>
      <c r="Q1633" s="269"/>
      <c r="R1633" s="269"/>
    </row>
    <row r="1634" spans="1:18" s="285" customFormat="1" ht="39.6" customHeight="1" x14ac:dyDescent="0.25">
      <c r="A1634" s="276"/>
      <c r="B1634" s="276"/>
      <c r="C1634" s="276"/>
      <c r="D1634" s="288"/>
      <c r="E1634" s="290"/>
      <c r="F1634" s="266"/>
      <c r="G1634" s="288"/>
      <c r="H1634" s="291"/>
      <c r="I1634" s="292"/>
      <c r="J1634" s="292"/>
      <c r="K1634" s="291"/>
      <c r="L1634" s="293"/>
      <c r="M1634" s="287"/>
      <c r="O1634" s="286"/>
      <c r="P1634" s="269"/>
      <c r="Q1634" s="269"/>
      <c r="R1634" s="269"/>
    </row>
    <row r="1635" spans="1:18" s="285" customFormat="1" ht="39.6" customHeight="1" x14ac:dyDescent="0.25">
      <c r="A1635" s="276"/>
      <c r="B1635" s="276"/>
      <c r="C1635" s="276"/>
      <c r="D1635" s="288"/>
      <c r="E1635" s="290"/>
      <c r="F1635" s="266"/>
      <c r="G1635" s="288"/>
      <c r="H1635" s="291"/>
      <c r="I1635" s="292"/>
      <c r="J1635" s="292"/>
      <c r="K1635" s="291"/>
      <c r="L1635" s="293"/>
      <c r="M1635" s="287"/>
      <c r="O1635" s="286"/>
      <c r="P1635" s="269"/>
      <c r="Q1635" s="269"/>
      <c r="R1635" s="269"/>
    </row>
    <row r="1636" spans="1:18" s="285" customFormat="1" ht="39.6" customHeight="1" x14ac:dyDescent="0.25">
      <c r="A1636" s="276"/>
      <c r="B1636" s="276"/>
      <c r="C1636" s="276"/>
      <c r="D1636" s="288"/>
      <c r="E1636" s="290"/>
      <c r="F1636" s="266"/>
      <c r="G1636" s="288"/>
      <c r="H1636" s="291"/>
      <c r="I1636" s="292"/>
      <c r="J1636" s="292"/>
      <c r="K1636" s="291"/>
      <c r="L1636" s="293"/>
      <c r="M1636" s="287"/>
      <c r="O1636" s="286"/>
      <c r="P1636" s="269"/>
      <c r="Q1636" s="269"/>
      <c r="R1636" s="269"/>
    </row>
    <row r="1637" spans="1:18" s="285" customFormat="1" ht="39.6" customHeight="1" x14ac:dyDescent="0.25">
      <c r="A1637" s="276"/>
      <c r="B1637" s="276"/>
      <c r="C1637" s="276"/>
      <c r="D1637" s="288"/>
      <c r="E1637" s="290"/>
      <c r="F1637" s="266"/>
      <c r="G1637" s="288"/>
      <c r="H1637" s="291"/>
      <c r="I1637" s="292"/>
      <c r="J1637" s="292"/>
      <c r="K1637" s="291"/>
      <c r="L1637" s="293"/>
      <c r="M1637" s="287"/>
      <c r="O1637" s="286"/>
      <c r="P1637" s="269"/>
      <c r="Q1637" s="269"/>
      <c r="R1637" s="269"/>
    </row>
    <row r="1638" spans="1:18" s="285" customFormat="1" ht="39.6" customHeight="1" x14ac:dyDescent="0.25">
      <c r="A1638" s="276"/>
      <c r="B1638" s="276"/>
      <c r="C1638" s="276"/>
      <c r="D1638" s="288"/>
      <c r="E1638" s="290"/>
      <c r="F1638" s="266"/>
      <c r="G1638" s="288"/>
      <c r="H1638" s="291"/>
      <c r="I1638" s="292"/>
      <c r="J1638" s="292"/>
      <c r="K1638" s="291"/>
      <c r="L1638" s="293"/>
      <c r="M1638" s="287"/>
      <c r="O1638" s="286"/>
      <c r="P1638" s="269"/>
      <c r="Q1638" s="269"/>
      <c r="R1638" s="269"/>
    </row>
    <row r="1639" spans="1:18" s="285" customFormat="1" ht="39.6" customHeight="1" x14ac:dyDescent="0.25">
      <c r="A1639" s="276"/>
      <c r="B1639" s="276"/>
      <c r="C1639" s="276"/>
      <c r="D1639" s="288"/>
      <c r="E1639" s="290"/>
      <c r="F1639" s="266"/>
      <c r="G1639" s="288"/>
      <c r="H1639" s="291"/>
      <c r="I1639" s="292"/>
      <c r="J1639" s="292"/>
      <c r="K1639" s="291"/>
      <c r="L1639" s="293"/>
      <c r="M1639" s="287"/>
      <c r="O1639" s="286"/>
      <c r="P1639" s="269"/>
      <c r="Q1639" s="269"/>
      <c r="R1639" s="269"/>
    </row>
    <row r="1640" spans="1:18" s="285" customFormat="1" ht="39.6" customHeight="1" x14ac:dyDescent="0.25">
      <c r="A1640" s="276"/>
      <c r="B1640" s="276"/>
      <c r="C1640" s="276"/>
      <c r="D1640" s="288"/>
      <c r="E1640" s="290"/>
      <c r="F1640" s="266"/>
      <c r="G1640" s="288"/>
      <c r="H1640" s="291"/>
      <c r="I1640" s="292"/>
      <c r="J1640" s="292"/>
      <c r="K1640" s="291"/>
      <c r="L1640" s="293"/>
      <c r="M1640" s="287"/>
      <c r="O1640" s="286"/>
      <c r="P1640" s="269"/>
      <c r="Q1640" s="269"/>
      <c r="R1640" s="269"/>
    </row>
    <row r="1641" spans="1:18" s="285" customFormat="1" ht="39.6" customHeight="1" x14ac:dyDescent="0.25">
      <c r="A1641" s="276"/>
      <c r="B1641" s="276"/>
      <c r="C1641" s="276"/>
      <c r="D1641" s="288"/>
      <c r="E1641" s="290"/>
      <c r="F1641" s="266"/>
      <c r="G1641" s="288"/>
      <c r="H1641" s="291"/>
      <c r="I1641" s="292"/>
      <c r="J1641" s="292"/>
      <c r="K1641" s="291"/>
      <c r="L1641" s="293"/>
      <c r="M1641" s="287"/>
      <c r="O1641" s="286"/>
      <c r="P1641" s="269"/>
      <c r="Q1641" s="269"/>
      <c r="R1641" s="269"/>
    </row>
    <row r="1642" spans="1:18" s="285" customFormat="1" ht="39.6" customHeight="1" x14ac:dyDescent="0.25">
      <c r="A1642" s="276"/>
      <c r="B1642" s="276"/>
      <c r="C1642" s="276"/>
      <c r="D1642" s="288"/>
      <c r="E1642" s="290"/>
      <c r="F1642" s="266"/>
      <c r="G1642" s="288"/>
      <c r="H1642" s="291"/>
      <c r="I1642" s="292"/>
      <c r="J1642" s="292"/>
      <c r="K1642" s="291"/>
      <c r="L1642" s="293"/>
      <c r="M1642" s="287"/>
      <c r="O1642" s="286"/>
      <c r="P1642" s="269"/>
      <c r="Q1642" s="269"/>
      <c r="R1642" s="269"/>
    </row>
    <row r="1643" spans="1:18" s="285" customFormat="1" ht="39.6" customHeight="1" x14ac:dyDescent="0.25">
      <c r="A1643" s="276"/>
      <c r="B1643" s="276"/>
      <c r="C1643" s="276"/>
      <c r="D1643" s="288"/>
      <c r="E1643" s="290"/>
      <c r="F1643" s="266"/>
      <c r="G1643" s="288"/>
      <c r="H1643" s="291"/>
      <c r="I1643" s="292"/>
      <c r="J1643" s="292"/>
      <c r="K1643" s="291"/>
      <c r="L1643" s="293"/>
      <c r="M1643" s="287"/>
      <c r="O1643" s="286"/>
      <c r="P1643" s="269"/>
      <c r="Q1643" s="269"/>
      <c r="R1643" s="269"/>
    </row>
    <row r="1644" spans="1:18" s="285" customFormat="1" ht="39.6" customHeight="1" x14ac:dyDescent="0.25">
      <c r="A1644" s="276"/>
      <c r="B1644" s="276"/>
      <c r="C1644" s="276"/>
      <c r="D1644" s="288"/>
      <c r="E1644" s="290"/>
      <c r="F1644" s="266"/>
      <c r="G1644" s="288"/>
      <c r="H1644" s="291"/>
      <c r="I1644" s="292"/>
      <c r="J1644" s="292"/>
      <c r="K1644" s="291"/>
      <c r="L1644" s="293"/>
      <c r="M1644" s="287"/>
      <c r="O1644" s="286"/>
      <c r="P1644" s="269"/>
      <c r="Q1644" s="269"/>
      <c r="R1644" s="269"/>
    </row>
    <row r="1645" spans="1:18" s="285" customFormat="1" ht="39.6" customHeight="1" x14ac:dyDescent="0.25">
      <c r="A1645" s="276"/>
      <c r="B1645" s="276"/>
      <c r="C1645" s="276"/>
      <c r="D1645" s="288"/>
      <c r="E1645" s="290"/>
      <c r="F1645" s="266"/>
      <c r="G1645" s="288"/>
      <c r="H1645" s="291"/>
      <c r="I1645" s="292"/>
      <c r="J1645" s="292"/>
      <c r="K1645" s="291"/>
      <c r="L1645" s="293"/>
      <c r="M1645" s="287"/>
      <c r="O1645" s="286"/>
      <c r="P1645" s="269"/>
      <c r="Q1645" s="269"/>
      <c r="R1645" s="269"/>
    </row>
    <row r="1646" spans="1:18" s="285" customFormat="1" ht="39.6" customHeight="1" x14ac:dyDescent="0.25">
      <c r="A1646" s="276"/>
      <c r="B1646" s="276"/>
      <c r="C1646" s="276"/>
      <c r="D1646" s="288"/>
      <c r="E1646" s="290"/>
      <c r="F1646" s="266"/>
      <c r="G1646" s="288"/>
      <c r="H1646" s="291"/>
      <c r="I1646" s="292"/>
      <c r="J1646" s="292"/>
      <c r="K1646" s="291"/>
      <c r="L1646" s="293"/>
      <c r="M1646" s="287"/>
      <c r="O1646" s="286"/>
      <c r="P1646" s="269"/>
      <c r="Q1646" s="269"/>
      <c r="R1646" s="269"/>
    </row>
    <row r="1647" spans="1:18" s="285" customFormat="1" ht="39.6" customHeight="1" x14ac:dyDescent="0.25">
      <c r="A1647" s="276"/>
      <c r="B1647" s="276"/>
      <c r="C1647" s="276"/>
      <c r="D1647" s="288"/>
      <c r="E1647" s="290"/>
      <c r="F1647" s="266"/>
      <c r="G1647" s="288"/>
      <c r="H1647" s="291"/>
      <c r="I1647" s="292"/>
      <c r="J1647" s="292"/>
      <c r="K1647" s="291"/>
      <c r="L1647" s="293"/>
      <c r="M1647" s="287"/>
      <c r="O1647" s="286"/>
      <c r="P1647" s="269"/>
      <c r="Q1647" s="269"/>
      <c r="R1647" s="269"/>
    </row>
    <row r="1648" spans="1:18" s="285" customFormat="1" ht="39.6" customHeight="1" x14ac:dyDescent="0.25">
      <c r="A1648" s="276"/>
      <c r="B1648" s="276"/>
      <c r="C1648" s="276"/>
      <c r="D1648" s="288"/>
      <c r="E1648" s="290"/>
      <c r="F1648" s="266"/>
      <c r="G1648" s="288"/>
      <c r="H1648" s="291"/>
      <c r="I1648" s="292"/>
      <c r="J1648" s="292"/>
      <c r="K1648" s="291"/>
      <c r="L1648" s="293"/>
      <c r="M1648" s="287"/>
      <c r="O1648" s="286"/>
      <c r="P1648" s="269"/>
      <c r="Q1648" s="269"/>
      <c r="R1648" s="269"/>
    </row>
    <row r="1649" spans="1:18" s="285" customFormat="1" ht="39.6" customHeight="1" x14ac:dyDescent="0.25">
      <c r="A1649" s="276"/>
      <c r="B1649" s="276"/>
      <c r="C1649" s="276"/>
      <c r="D1649" s="288"/>
      <c r="E1649" s="290"/>
      <c r="F1649" s="266"/>
      <c r="G1649" s="288"/>
      <c r="H1649" s="291"/>
      <c r="I1649" s="292"/>
      <c r="J1649" s="292"/>
      <c r="K1649" s="291"/>
      <c r="L1649" s="293"/>
      <c r="M1649" s="287"/>
      <c r="O1649" s="286"/>
      <c r="P1649" s="269"/>
      <c r="Q1649" s="269"/>
      <c r="R1649" s="269"/>
    </row>
    <row r="1650" spans="1:18" s="285" customFormat="1" ht="39.6" customHeight="1" x14ac:dyDescent="0.25">
      <c r="A1650" s="276"/>
      <c r="B1650" s="276"/>
      <c r="C1650" s="276"/>
      <c r="D1650" s="288"/>
      <c r="E1650" s="290"/>
      <c r="F1650" s="266"/>
      <c r="G1650" s="288"/>
      <c r="H1650" s="291"/>
      <c r="I1650" s="292"/>
      <c r="J1650" s="292"/>
      <c r="K1650" s="291"/>
      <c r="L1650" s="293"/>
      <c r="M1650" s="287"/>
      <c r="O1650" s="286"/>
      <c r="P1650" s="269"/>
      <c r="Q1650" s="269"/>
      <c r="R1650" s="269"/>
    </row>
    <row r="1651" spans="1:18" s="285" customFormat="1" ht="39.6" customHeight="1" x14ac:dyDescent="0.25">
      <c r="A1651" s="276"/>
      <c r="B1651" s="276"/>
      <c r="C1651" s="276"/>
      <c r="D1651" s="288"/>
      <c r="E1651" s="290"/>
      <c r="F1651" s="266"/>
      <c r="G1651" s="288"/>
      <c r="H1651" s="291"/>
      <c r="I1651" s="292"/>
      <c r="J1651" s="292"/>
      <c r="K1651" s="291"/>
      <c r="L1651" s="293"/>
      <c r="M1651" s="287"/>
      <c r="O1651" s="286"/>
      <c r="P1651" s="269"/>
      <c r="Q1651" s="269"/>
      <c r="R1651" s="269"/>
    </row>
    <row r="1652" spans="1:18" s="285" customFormat="1" ht="39.6" customHeight="1" x14ac:dyDescent="0.25">
      <c r="A1652" s="276"/>
      <c r="B1652" s="276"/>
      <c r="C1652" s="276"/>
      <c r="D1652" s="288"/>
      <c r="E1652" s="290"/>
      <c r="F1652" s="266"/>
      <c r="G1652" s="288"/>
      <c r="H1652" s="291"/>
      <c r="I1652" s="292"/>
      <c r="J1652" s="292"/>
      <c r="K1652" s="291"/>
      <c r="L1652" s="293"/>
      <c r="M1652" s="287"/>
      <c r="O1652" s="286"/>
      <c r="P1652" s="269"/>
      <c r="Q1652" s="269"/>
      <c r="R1652" s="269"/>
    </row>
    <row r="1653" spans="1:18" s="285" customFormat="1" ht="39.6" customHeight="1" x14ac:dyDescent="0.25">
      <c r="A1653" s="276"/>
      <c r="B1653" s="276"/>
      <c r="C1653" s="276"/>
      <c r="D1653" s="288"/>
      <c r="E1653" s="290"/>
      <c r="F1653" s="266"/>
      <c r="G1653" s="288"/>
      <c r="H1653" s="291"/>
      <c r="I1653" s="292"/>
      <c r="J1653" s="292"/>
      <c r="K1653" s="291"/>
      <c r="L1653" s="293"/>
      <c r="M1653" s="287"/>
      <c r="O1653" s="286"/>
      <c r="P1653" s="269"/>
      <c r="Q1653" s="269"/>
      <c r="R1653" s="269"/>
    </row>
    <row r="1654" spans="1:18" s="285" customFormat="1" ht="39.6" customHeight="1" x14ac:dyDescent="0.25">
      <c r="A1654" s="276"/>
      <c r="B1654" s="276"/>
      <c r="C1654" s="276"/>
      <c r="D1654" s="288"/>
      <c r="E1654" s="290"/>
      <c r="F1654" s="266"/>
      <c r="G1654" s="288"/>
      <c r="H1654" s="291"/>
      <c r="I1654" s="292"/>
      <c r="J1654" s="292"/>
      <c r="K1654" s="291"/>
      <c r="L1654" s="293"/>
      <c r="M1654" s="287"/>
      <c r="O1654" s="286"/>
      <c r="P1654" s="269"/>
      <c r="Q1654" s="269"/>
      <c r="R1654" s="269"/>
    </row>
    <row r="1655" spans="1:18" s="285" customFormat="1" ht="39.6" customHeight="1" x14ac:dyDescent="0.25">
      <c r="A1655" s="276"/>
      <c r="B1655" s="276"/>
      <c r="C1655" s="276"/>
      <c r="D1655" s="288"/>
      <c r="E1655" s="290"/>
      <c r="F1655" s="266"/>
      <c r="G1655" s="288"/>
      <c r="H1655" s="291"/>
      <c r="I1655" s="292"/>
      <c r="J1655" s="292"/>
      <c r="K1655" s="291"/>
      <c r="L1655" s="293"/>
      <c r="M1655" s="287"/>
      <c r="O1655" s="286"/>
      <c r="P1655" s="269"/>
      <c r="Q1655" s="269"/>
      <c r="R1655" s="269"/>
    </row>
    <row r="1656" spans="1:18" s="285" customFormat="1" ht="39.6" customHeight="1" x14ac:dyDescent="0.25">
      <c r="A1656" s="276"/>
      <c r="B1656" s="276"/>
      <c r="C1656" s="276"/>
      <c r="D1656" s="288"/>
      <c r="E1656" s="290"/>
      <c r="F1656" s="266"/>
      <c r="G1656" s="288"/>
      <c r="H1656" s="291"/>
      <c r="I1656" s="292"/>
      <c r="J1656" s="292"/>
      <c r="K1656" s="291"/>
      <c r="L1656" s="293"/>
      <c r="M1656" s="287"/>
      <c r="O1656" s="286"/>
      <c r="P1656" s="269"/>
      <c r="Q1656" s="269"/>
      <c r="R1656" s="269"/>
    </row>
    <row r="1657" spans="1:18" s="285" customFormat="1" ht="39.6" customHeight="1" x14ac:dyDescent="0.25">
      <c r="A1657" s="276"/>
      <c r="B1657" s="276"/>
      <c r="C1657" s="276"/>
      <c r="D1657" s="288"/>
      <c r="E1657" s="290"/>
      <c r="F1657" s="266"/>
      <c r="G1657" s="288"/>
      <c r="H1657" s="291"/>
      <c r="I1657" s="292"/>
      <c r="J1657" s="292"/>
      <c r="K1657" s="291"/>
      <c r="L1657" s="293"/>
      <c r="M1657" s="287"/>
      <c r="O1657" s="286"/>
      <c r="P1657" s="269"/>
      <c r="Q1657" s="269"/>
      <c r="R1657" s="269"/>
    </row>
    <row r="1658" spans="1:18" s="285" customFormat="1" ht="39.6" customHeight="1" x14ac:dyDescent="0.25">
      <c r="A1658" s="276"/>
      <c r="B1658" s="276"/>
      <c r="C1658" s="276"/>
      <c r="D1658" s="288"/>
      <c r="E1658" s="290"/>
      <c r="F1658" s="266"/>
      <c r="G1658" s="288"/>
      <c r="H1658" s="291"/>
      <c r="I1658" s="292"/>
      <c r="J1658" s="292"/>
      <c r="K1658" s="291"/>
      <c r="L1658" s="293"/>
      <c r="M1658" s="287"/>
      <c r="O1658" s="286"/>
      <c r="P1658" s="269"/>
      <c r="Q1658" s="269"/>
      <c r="R1658" s="269"/>
    </row>
    <row r="1659" spans="1:18" s="285" customFormat="1" ht="39.6" customHeight="1" x14ac:dyDescent="0.25">
      <c r="A1659" s="276"/>
      <c r="B1659" s="276"/>
      <c r="C1659" s="276"/>
      <c r="D1659" s="288"/>
      <c r="E1659" s="290"/>
      <c r="F1659" s="266"/>
      <c r="G1659" s="288"/>
      <c r="H1659" s="291"/>
      <c r="I1659" s="292"/>
      <c r="J1659" s="292"/>
      <c r="K1659" s="291"/>
      <c r="L1659" s="293"/>
      <c r="M1659" s="287"/>
      <c r="O1659" s="286"/>
      <c r="P1659" s="269"/>
      <c r="Q1659" s="269"/>
      <c r="R1659" s="269"/>
    </row>
    <row r="1660" spans="1:18" s="285" customFormat="1" ht="39.6" customHeight="1" x14ac:dyDescent="0.25">
      <c r="A1660" s="276"/>
      <c r="B1660" s="276"/>
      <c r="C1660" s="276"/>
      <c r="D1660" s="288"/>
      <c r="E1660" s="290"/>
      <c r="F1660" s="266"/>
      <c r="G1660" s="288"/>
      <c r="H1660" s="291"/>
      <c r="I1660" s="292"/>
      <c r="J1660" s="292"/>
      <c r="K1660" s="291"/>
      <c r="L1660" s="293"/>
      <c r="M1660" s="287"/>
      <c r="O1660" s="286"/>
      <c r="P1660" s="269"/>
      <c r="Q1660" s="269"/>
      <c r="R1660" s="269"/>
    </row>
    <row r="1661" spans="1:18" s="285" customFormat="1" ht="39.6" customHeight="1" x14ac:dyDescent="0.25">
      <c r="A1661" s="276"/>
      <c r="B1661" s="276"/>
      <c r="C1661" s="276"/>
      <c r="D1661" s="288"/>
      <c r="E1661" s="290"/>
      <c r="F1661" s="266"/>
      <c r="G1661" s="288"/>
      <c r="H1661" s="291"/>
      <c r="I1661" s="292"/>
      <c r="J1661" s="292"/>
      <c r="K1661" s="291"/>
      <c r="L1661" s="293"/>
      <c r="M1661" s="287"/>
      <c r="O1661" s="286"/>
      <c r="P1661" s="269"/>
      <c r="Q1661" s="269"/>
      <c r="R1661" s="269"/>
    </row>
    <row r="1662" spans="1:18" s="285" customFormat="1" ht="39.6" customHeight="1" x14ac:dyDescent="0.25">
      <c r="A1662" s="276"/>
      <c r="B1662" s="276"/>
      <c r="C1662" s="276"/>
      <c r="D1662" s="288"/>
      <c r="E1662" s="290"/>
      <c r="F1662" s="266"/>
      <c r="G1662" s="288"/>
      <c r="H1662" s="291"/>
      <c r="I1662" s="292"/>
      <c r="J1662" s="292"/>
      <c r="K1662" s="291"/>
      <c r="L1662" s="293"/>
      <c r="M1662" s="287"/>
      <c r="O1662" s="286"/>
      <c r="P1662" s="269"/>
      <c r="Q1662" s="269"/>
      <c r="R1662" s="269"/>
    </row>
    <row r="1663" spans="1:18" s="285" customFormat="1" ht="39.6" customHeight="1" x14ac:dyDescent="0.25">
      <c r="A1663" s="276"/>
      <c r="B1663" s="276"/>
      <c r="C1663" s="276"/>
      <c r="D1663" s="288"/>
      <c r="E1663" s="290"/>
      <c r="F1663" s="266"/>
      <c r="G1663" s="288"/>
      <c r="H1663" s="291"/>
      <c r="I1663" s="292"/>
      <c r="J1663" s="292"/>
      <c r="K1663" s="291"/>
      <c r="L1663" s="293"/>
      <c r="M1663" s="287"/>
      <c r="O1663" s="286"/>
      <c r="P1663" s="269"/>
      <c r="Q1663" s="269"/>
      <c r="R1663" s="269"/>
    </row>
    <row r="1664" spans="1:18" s="285" customFormat="1" ht="39.6" customHeight="1" x14ac:dyDescent="0.25">
      <c r="A1664" s="276"/>
      <c r="B1664" s="276"/>
      <c r="C1664" s="276"/>
      <c r="D1664" s="288"/>
      <c r="E1664" s="290"/>
      <c r="F1664" s="266"/>
      <c r="G1664" s="288"/>
      <c r="H1664" s="291"/>
      <c r="I1664" s="292"/>
      <c r="J1664" s="292"/>
      <c r="K1664" s="291"/>
      <c r="L1664" s="293"/>
      <c r="M1664" s="287"/>
      <c r="O1664" s="286"/>
      <c r="P1664" s="269"/>
      <c r="Q1664" s="269"/>
      <c r="R1664" s="269"/>
    </row>
    <row r="1665" spans="1:18" s="285" customFormat="1" ht="39.6" customHeight="1" x14ac:dyDescent="0.25">
      <c r="A1665" s="276"/>
      <c r="B1665" s="276"/>
      <c r="C1665" s="276"/>
      <c r="D1665" s="288"/>
      <c r="E1665" s="290"/>
      <c r="F1665" s="266"/>
      <c r="G1665" s="288"/>
      <c r="H1665" s="291"/>
      <c r="I1665" s="292"/>
      <c r="J1665" s="292"/>
      <c r="K1665" s="291"/>
      <c r="L1665" s="293"/>
      <c r="M1665" s="287"/>
      <c r="O1665" s="286"/>
      <c r="P1665" s="269"/>
      <c r="Q1665" s="269"/>
      <c r="R1665" s="269"/>
    </row>
    <row r="1666" spans="1:18" s="285" customFormat="1" ht="39.6" customHeight="1" x14ac:dyDescent="0.25">
      <c r="A1666" s="276"/>
      <c r="B1666" s="276"/>
      <c r="C1666" s="276"/>
      <c r="D1666" s="288"/>
      <c r="E1666" s="290"/>
      <c r="F1666" s="266"/>
      <c r="G1666" s="288"/>
      <c r="H1666" s="291"/>
      <c r="I1666" s="292"/>
      <c r="J1666" s="292"/>
      <c r="K1666" s="291"/>
      <c r="L1666" s="293"/>
      <c r="M1666" s="287"/>
      <c r="O1666" s="286"/>
      <c r="P1666" s="269"/>
      <c r="Q1666" s="269"/>
      <c r="R1666" s="269"/>
    </row>
    <row r="1667" spans="1:18" s="285" customFormat="1" ht="39.6" customHeight="1" x14ac:dyDescent="0.25">
      <c r="A1667" s="276"/>
      <c r="B1667" s="276"/>
      <c r="C1667" s="276"/>
      <c r="D1667" s="288"/>
      <c r="E1667" s="290"/>
      <c r="F1667" s="266"/>
      <c r="G1667" s="288"/>
      <c r="H1667" s="291"/>
      <c r="I1667" s="292"/>
      <c r="J1667" s="292"/>
      <c r="K1667" s="291"/>
      <c r="L1667" s="293"/>
      <c r="M1667" s="287"/>
      <c r="O1667" s="286"/>
      <c r="P1667" s="269"/>
      <c r="Q1667" s="269"/>
      <c r="R1667" s="269"/>
    </row>
    <row r="1668" spans="1:18" s="285" customFormat="1" ht="39.6" customHeight="1" x14ac:dyDescent="0.25">
      <c r="A1668" s="276"/>
      <c r="B1668" s="276"/>
      <c r="C1668" s="276"/>
      <c r="D1668" s="288"/>
      <c r="E1668" s="290"/>
      <c r="F1668" s="266"/>
      <c r="G1668" s="288"/>
      <c r="H1668" s="291"/>
      <c r="I1668" s="292"/>
      <c r="J1668" s="292"/>
      <c r="K1668" s="291"/>
      <c r="L1668" s="293"/>
      <c r="M1668" s="287"/>
      <c r="O1668" s="286"/>
      <c r="P1668" s="269"/>
      <c r="Q1668" s="269"/>
      <c r="R1668" s="269"/>
    </row>
    <row r="1669" spans="1:18" s="285" customFormat="1" ht="39.6" customHeight="1" x14ac:dyDescent="0.25">
      <c r="A1669" s="276"/>
      <c r="B1669" s="276"/>
      <c r="C1669" s="276"/>
      <c r="D1669" s="288"/>
      <c r="E1669" s="290"/>
      <c r="F1669" s="266"/>
      <c r="G1669" s="288"/>
      <c r="H1669" s="291"/>
      <c r="I1669" s="292"/>
      <c r="J1669" s="292"/>
      <c r="K1669" s="291"/>
      <c r="L1669" s="293"/>
      <c r="M1669" s="287"/>
      <c r="O1669" s="286"/>
      <c r="P1669" s="269"/>
      <c r="Q1669" s="269"/>
      <c r="R1669" s="269"/>
    </row>
    <row r="1670" spans="1:18" s="285" customFormat="1" ht="39.6" customHeight="1" x14ac:dyDescent="0.25">
      <c r="A1670" s="276"/>
      <c r="B1670" s="276"/>
      <c r="C1670" s="276"/>
      <c r="D1670" s="288"/>
      <c r="E1670" s="290"/>
      <c r="F1670" s="266"/>
      <c r="G1670" s="288"/>
      <c r="H1670" s="291"/>
      <c r="I1670" s="292"/>
      <c r="J1670" s="292"/>
      <c r="K1670" s="291"/>
      <c r="L1670" s="293"/>
      <c r="M1670" s="287"/>
      <c r="O1670" s="286"/>
      <c r="P1670" s="269"/>
      <c r="Q1670" s="269"/>
      <c r="R1670" s="269"/>
    </row>
    <row r="1671" spans="1:18" s="285" customFormat="1" ht="39.6" customHeight="1" x14ac:dyDescent="0.25">
      <c r="A1671" s="276"/>
      <c r="B1671" s="276"/>
      <c r="C1671" s="276"/>
      <c r="D1671" s="288"/>
      <c r="E1671" s="290"/>
      <c r="F1671" s="266"/>
      <c r="G1671" s="288"/>
      <c r="H1671" s="291"/>
      <c r="I1671" s="292"/>
      <c r="J1671" s="292"/>
      <c r="K1671" s="291"/>
      <c r="L1671" s="293"/>
      <c r="M1671" s="287"/>
      <c r="O1671" s="286"/>
      <c r="P1671" s="269"/>
      <c r="Q1671" s="269"/>
      <c r="R1671" s="269"/>
    </row>
    <row r="1672" spans="1:18" s="285" customFormat="1" ht="39.6" customHeight="1" x14ac:dyDescent="0.25">
      <c r="A1672" s="276"/>
      <c r="B1672" s="276"/>
      <c r="C1672" s="276"/>
      <c r="D1672" s="288"/>
      <c r="E1672" s="290"/>
      <c r="F1672" s="266"/>
      <c r="G1672" s="288"/>
      <c r="H1672" s="291"/>
      <c r="I1672" s="292"/>
      <c r="J1672" s="292"/>
      <c r="K1672" s="291"/>
      <c r="L1672" s="293"/>
      <c r="M1672" s="287"/>
      <c r="O1672" s="286"/>
      <c r="P1672" s="269"/>
      <c r="Q1672" s="269"/>
      <c r="R1672" s="269"/>
    </row>
    <row r="1673" spans="1:18" s="285" customFormat="1" ht="39.6" customHeight="1" x14ac:dyDescent="0.25">
      <c r="A1673" s="276"/>
      <c r="B1673" s="276"/>
      <c r="C1673" s="276"/>
      <c r="D1673" s="288"/>
      <c r="E1673" s="290"/>
      <c r="F1673" s="266"/>
      <c r="G1673" s="288"/>
      <c r="H1673" s="291"/>
      <c r="I1673" s="292"/>
      <c r="J1673" s="292"/>
      <c r="K1673" s="291"/>
      <c r="L1673" s="293"/>
      <c r="M1673" s="287"/>
      <c r="O1673" s="286"/>
      <c r="P1673" s="269"/>
      <c r="Q1673" s="269"/>
      <c r="R1673" s="269"/>
    </row>
    <row r="1674" spans="1:18" s="285" customFormat="1" ht="39.6" customHeight="1" x14ac:dyDescent="0.25">
      <c r="A1674" s="276"/>
      <c r="B1674" s="276"/>
      <c r="C1674" s="276"/>
      <c r="D1674" s="288"/>
      <c r="E1674" s="290"/>
      <c r="F1674" s="266"/>
      <c r="G1674" s="288"/>
      <c r="H1674" s="291"/>
      <c r="I1674" s="292"/>
      <c r="J1674" s="292"/>
      <c r="K1674" s="291"/>
      <c r="L1674" s="293"/>
      <c r="M1674" s="287"/>
      <c r="O1674" s="286"/>
      <c r="P1674" s="269"/>
      <c r="Q1674" s="269"/>
      <c r="R1674" s="269"/>
    </row>
    <row r="1675" spans="1:18" s="285" customFormat="1" ht="39.6" customHeight="1" x14ac:dyDescent="0.25">
      <c r="A1675" s="276"/>
      <c r="B1675" s="276"/>
      <c r="C1675" s="276"/>
      <c r="D1675" s="288"/>
      <c r="E1675" s="290"/>
      <c r="F1675" s="266"/>
      <c r="G1675" s="288"/>
      <c r="H1675" s="291"/>
      <c r="I1675" s="292"/>
      <c r="J1675" s="292"/>
      <c r="K1675" s="291"/>
      <c r="L1675" s="293"/>
      <c r="M1675" s="287"/>
      <c r="O1675" s="286"/>
      <c r="P1675" s="269"/>
      <c r="Q1675" s="269"/>
      <c r="R1675" s="269"/>
    </row>
    <row r="1676" spans="1:18" s="285" customFormat="1" ht="39.6" customHeight="1" x14ac:dyDescent="0.25">
      <c r="A1676" s="276"/>
      <c r="B1676" s="276"/>
      <c r="C1676" s="276"/>
      <c r="D1676" s="288"/>
      <c r="E1676" s="290"/>
      <c r="F1676" s="266"/>
      <c r="G1676" s="288"/>
      <c r="H1676" s="291"/>
      <c r="I1676" s="292"/>
      <c r="J1676" s="292"/>
      <c r="K1676" s="291"/>
      <c r="L1676" s="293"/>
      <c r="M1676" s="287"/>
      <c r="O1676" s="286"/>
      <c r="P1676" s="269"/>
      <c r="Q1676" s="269"/>
      <c r="R1676" s="269"/>
    </row>
    <row r="1677" spans="1:18" s="285" customFormat="1" ht="39.6" customHeight="1" x14ac:dyDescent="0.25">
      <c r="A1677" s="276"/>
      <c r="B1677" s="276"/>
      <c r="C1677" s="276"/>
      <c r="D1677" s="288"/>
      <c r="E1677" s="290"/>
      <c r="F1677" s="266"/>
      <c r="G1677" s="288"/>
      <c r="H1677" s="291"/>
      <c r="I1677" s="292"/>
      <c r="J1677" s="292"/>
      <c r="K1677" s="291"/>
      <c r="L1677" s="293"/>
      <c r="M1677" s="287"/>
      <c r="O1677" s="286"/>
      <c r="P1677" s="269"/>
      <c r="Q1677" s="269"/>
      <c r="R1677" s="269"/>
    </row>
    <row r="1678" spans="1:18" s="285" customFormat="1" ht="39.6" customHeight="1" x14ac:dyDescent="0.25">
      <c r="A1678" s="276"/>
      <c r="B1678" s="276"/>
      <c r="C1678" s="276"/>
      <c r="D1678" s="288"/>
      <c r="E1678" s="290"/>
      <c r="F1678" s="266"/>
      <c r="G1678" s="288"/>
      <c r="H1678" s="291"/>
      <c r="I1678" s="292"/>
      <c r="J1678" s="292"/>
      <c r="K1678" s="291"/>
      <c r="L1678" s="293"/>
      <c r="M1678" s="287"/>
      <c r="O1678" s="286"/>
      <c r="P1678" s="269"/>
      <c r="Q1678" s="269"/>
      <c r="R1678" s="269"/>
    </row>
    <row r="1679" spans="1:18" s="285" customFormat="1" ht="39.6" customHeight="1" x14ac:dyDescent="0.25">
      <c r="A1679" s="276"/>
      <c r="B1679" s="276"/>
      <c r="C1679" s="276"/>
      <c r="D1679" s="288"/>
      <c r="E1679" s="290"/>
      <c r="F1679" s="266"/>
      <c r="G1679" s="288"/>
      <c r="H1679" s="291"/>
      <c r="I1679" s="292"/>
      <c r="J1679" s="292"/>
      <c r="K1679" s="291"/>
      <c r="L1679" s="293"/>
      <c r="M1679" s="287"/>
      <c r="O1679" s="286"/>
      <c r="P1679" s="269"/>
      <c r="Q1679" s="269"/>
      <c r="R1679" s="269"/>
    </row>
    <row r="1680" spans="1:18" s="285" customFormat="1" ht="39.6" customHeight="1" x14ac:dyDescent="0.25">
      <c r="A1680" s="276"/>
      <c r="B1680" s="276"/>
      <c r="C1680" s="276"/>
      <c r="D1680" s="288"/>
      <c r="E1680" s="290"/>
      <c r="F1680" s="266"/>
      <c r="G1680" s="288"/>
      <c r="H1680" s="291"/>
      <c r="I1680" s="292"/>
      <c r="J1680" s="292"/>
      <c r="K1680" s="291"/>
      <c r="L1680" s="293"/>
      <c r="M1680" s="287"/>
      <c r="O1680" s="286"/>
      <c r="P1680" s="269"/>
      <c r="Q1680" s="269"/>
      <c r="R1680" s="269"/>
    </row>
    <row r="1681" spans="1:18" s="285" customFormat="1" ht="39.6" customHeight="1" x14ac:dyDescent="0.25">
      <c r="A1681" s="276"/>
      <c r="B1681" s="276"/>
      <c r="C1681" s="276"/>
      <c r="D1681" s="288"/>
      <c r="E1681" s="290"/>
      <c r="F1681" s="266"/>
      <c r="G1681" s="288"/>
      <c r="H1681" s="291"/>
      <c r="I1681" s="292"/>
      <c r="J1681" s="292"/>
      <c r="K1681" s="291"/>
      <c r="L1681" s="293"/>
      <c r="M1681" s="287"/>
      <c r="O1681" s="286"/>
      <c r="P1681" s="269"/>
      <c r="Q1681" s="269"/>
      <c r="R1681" s="269"/>
    </row>
    <row r="1682" spans="1:18" s="285" customFormat="1" ht="39.6" customHeight="1" x14ac:dyDescent="0.25">
      <c r="A1682" s="276"/>
      <c r="B1682" s="276"/>
      <c r="C1682" s="276"/>
      <c r="D1682" s="288"/>
      <c r="E1682" s="290"/>
      <c r="F1682" s="266"/>
      <c r="G1682" s="288"/>
      <c r="H1682" s="291"/>
      <c r="I1682" s="292"/>
      <c r="J1682" s="292"/>
      <c r="K1682" s="291"/>
      <c r="L1682" s="293"/>
      <c r="M1682" s="287"/>
      <c r="O1682" s="286"/>
      <c r="P1682" s="269"/>
      <c r="Q1682" s="269"/>
      <c r="R1682" s="269"/>
    </row>
    <row r="1683" spans="1:18" s="285" customFormat="1" ht="39.6" customHeight="1" x14ac:dyDescent="0.25">
      <c r="A1683" s="276"/>
      <c r="B1683" s="276"/>
      <c r="C1683" s="276"/>
      <c r="D1683" s="288"/>
      <c r="E1683" s="290"/>
      <c r="F1683" s="266"/>
      <c r="G1683" s="288"/>
      <c r="H1683" s="291"/>
      <c r="I1683" s="292"/>
      <c r="J1683" s="292"/>
      <c r="K1683" s="291"/>
      <c r="L1683" s="293"/>
      <c r="M1683" s="287"/>
      <c r="O1683" s="286"/>
      <c r="P1683" s="269"/>
      <c r="Q1683" s="269"/>
      <c r="R1683" s="269"/>
    </row>
    <row r="1684" spans="1:18" s="285" customFormat="1" ht="39.6" customHeight="1" x14ac:dyDescent="0.25">
      <c r="A1684" s="276"/>
      <c r="B1684" s="276"/>
      <c r="C1684" s="276"/>
      <c r="D1684" s="288"/>
      <c r="E1684" s="290"/>
      <c r="F1684" s="266"/>
      <c r="G1684" s="288"/>
      <c r="H1684" s="291"/>
      <c r="I1684" s="292"/>
      <c r="J1684" s="292"/>
      <c r="K1684" s="291"/>
      <c r="L1684" s="293"/>
      <c r="M1684" s="287"/>
      <c r="O1684" s="286"/>
      <c r="P1684" s="269"/>
      <c r="Q1684" s="269"/>
      <c r="R1684" s="269"/>
    </row>
    <row r="1685" spans="1:18" s="285" customFormat="1" ht="39.6" customHeight="1" x14ac:dyDescent="0.25">
      <c r="A1685" s="276"/>
      <c r="B1685" s="276"/>
      <c r="C1685" s="276"/>
      <c r="D1685" s="288"/>
      <c r="E1685" s="290"/>
      <c r="F1685" s="266"/>
      <c r="G1685" s="288"/>
      <c r="H1685" s="291"/>
      <c r="I1685" s="292"/>
      <c r="J1685" s="292"/>
      <c r="K1685" s="291"/>
      <c r="L1685" s="293"/>
      <c r="M1685" s="287"/>
      <c r="O1685" s="286"/>
      <c r="P1685" s="269"/>
      <c r="Q1685" s="269"/>
      <c r="R1685" s="269"/>
    </row>
    <row r="1686" spans="1:18" s="285" customFormat="1" ht="39.6" customHeight="1" x14ac:dyDescent="0.25">
      <c r="A1686" s="276"/>
      <c r="B1686" s="276"/>
      <c r="C1686" s="276"/>
      <c r="D1686" s="288"/>
      <c r="E1686" s="290"/>
      <c r="F1686" s="266"/>
      <c r="G1686" s="288"/>
      <c r="H1686" s="291"/>
      <c r="I1686" s="292"/>
      <c r="J1686" s="292"/>
      <c r="K1686" s="291"/>
      <c r="L1686" s="293"/>
      <c r="M1686" s="287"/>
      <c r="O1686" s="286"/>
      <c r="P1686" s="269"/>
      <c r="Q1686" s="269"/>
      <c r="R1686" s="269"/>
    </row>
    <row r="1687" spans="1:18" s="285" customFormat="1" ht="39.6" customHeight="1" x14ac:dyDescent="0.25">
      <c r="A1687" s="276"/>
      <c r="B1687" s="276"/>
      <c r="C1687" s="276"/>
      <c r="D1687" s="288"/>
      <c r="E1687" s="290"/>
      <c r="F1687" s="266"/>
      <c r="G1687" s="288"/>
      <c r="H1687" s="291"/>
      <c r="I1687" s="292"/>
      <c r="J1687" s="292"/>
      <c r="K1687" s="291"/>
      <c r="L1687" s="293"/>
      <c r="M1687" s="287"/>
      <c r="O1687" s="286"/>
      <c r="P1687" s="269"/>
      <c r="Q1687" s="269"/>
      <c r="R1687" s="269"/>
    </row>
    <row r="1688" spans="1:18" s="285" customFormat="1" ht="39.6" customHeight="1" x14ac:dyDescent="0.25">
      <c r="A1688" s="276"/>
      <c r="B1688" s="276"/>
      <c r="C1688" s="276"/>
      <c r="D1688" s="288"/>
      <c r="E1688" s="290"/>
      <c r="F1688" s="266"/>
      <c r="G1688" s="288"/>
      <c r="H1688" s="291"/>
      <c r="I1688" s="292"/>
      <c r="J1688" s="292"/>
      <c r="K1688" s="291"/>
      <c r="L1688" s="293"/>
      <c r="M1688" s="287"/>
      <c r="O1688" s="286"/>
      <c r="P1688" s="269"/>
      <c r="Q1688" s="269"/>
      <c r="R1688" s="269"/>
    </row>
    <row r="1689" spans="1:18" s="285" customFormat="1" ht="39.6" customHeight="1" x14ac:dyDescent="0.25">
      <c r="A1689" s="276"/>
      <c r="B1689" s="276"/>
      <c r="C1689" s="276"/>
      <c r="D1689" s="288"/>
      <c r="E1689" s="290"/>
      <c r="F1689" s="266"/>
      <c r="G1689" s="288"/>
      <c r="H1689" s="291"/>
      <c r="I1689" s="292"/>
      <c r="J1689" s="292"/>
      <c r="K1689" s="291"/>
      <c r="L1689" s="293"/>
      <c r="M1689" s="287"/>
      <c r="O1689" s="286"/>
      <c r="P1689" s="269"/>
      <c r="Q1689" s="269"/>
      <c r="R1689" s="269"/>
    </row>
    <row r="1690" spans="1:18" s="285" customFormat="1" ht="39.6" customHeight="1" x14ac:dyDescent="0.25">
      <c r="A1690" s="276"/>
      <c r="B1690" s="276"/>
      <c r="C1690" s="276"/>
      <c r="D1690" s="288"/>
      <c r="E1690" s="290"/>
      <c r="F1690" s="266"/>
      <c r="G1690" s="288"/>
      <c r="H1690" s="291"/>
      <c r="I1690" s="292"/>
      <c r="J1690" s="292"/>
      <c r="K1690" s="291"/>
      <c r="L1690" s="293"/>
      <c r="M1690" s="287"/>
      <c r="O1690" s="286"/>
      <c r="P1690" s="269"/>
      <c r="Q1690" s="269"/>
      <c r="R1690" s="269"/>
    </row>
    <row r="1691" spans="1:18" s="285" customFormat="1" ht="39.6" customHeight="1" x14ac:dyDescent="0.25">
      <c r="A1691" s="276"/>
      <c r="B1691" s="276"/>
      <c r="C1691" s="276"/>
      <c r="D1691" s="288"/>
      <c r="E1691" s="290"/>
      <c r="F1691" s="266"/>
      <c r="G1691" s="288"/>
      <c r="H1691" s="291"/>
      <c r="I1691" s="292"/>
      <c r="J1691" s="292"/>
      <c r="K1691" s="291"/>
      <c r="L1691" s="293"/>
      <c r="M1691" s="287"/>
      <c r="O1691" s="286"/>
      <c r="P1691" s="269"/>
      <c r="Q1691" s="269"/>
      <c r="R1691" s="269"/>
    </row>
    <row r="1692" spans="1:18" s="285" customFormat="1" ht="39.6" customHeight="1" x14ac:dyDescent="0.25">
      <c r="A1692" s="276"/>
      <c r="B1692" s="276"/>
      <c r="C1692" s="276"/>
      <c r="D1692" s="288"/>
      <c r="E1692" s="290"/>
      <c r="F1692" s="266"/>
      <c r="G1692" s="288"/>
      <c r="H1692" s="291"/>
      <c r="I1692" s="292"/>
      <c r="J1692" s="292"/>
      <c r="K1692" s="291"/>
      <c r="L1692" s="293"/>
      <c r="M1692" s="287"/>
      <c r="O1692" s="286"/>
      <c r="P1692" s="269"/>
      <c r="Q1692" s="269"/>
      <c r="R1692" s="269"/>
    </row>
    <row r="1693" spans="1:18" s="285" customFormat="1" ht="39.6" customHeight="1" x14ac:dyDescent="0.25">
      <c r="A1693" s="276"/>
      <c r="B1693" s="276"/>
      <c r="C1693" s="276"/>
      <c r="D1693" s="288"/>
      <c r="E1693" s="290"/>
      <c r="F1693" s="266"/>
      <c r="G1693" s="288"/>
      <c r="H1693" s="291"/>
      <c r="I1693" s="292"/>
      <c r="J1693" s="292"/>
      <c r="K1693" s="291"/>
      <c r="L1693" s="293"/>
      <c r="M1693" s="287"/>
      <c r="O1693" s="286"/>
      <c r="P1693" s="269"/>
      <c r="Q1693" s="269"/>
      <c r="R1693" s="269"/>
    </row>
    <row r="1694" spans="1:18" s="285" customFormat="1" ht="39.6" customHeight="1" x14ac:dyDescent="0.25">
      <c r="A1694" s="276"/>
      <c r="B1694" s="276"/>
      <c r="C1694" s="276"/>
      <c r="D1694" s="288"/>
      <c r="E1694" s="290"/>
      <c r="F1694" s="266"/>
      <c r="G1694" s="288"/>
      <c r="H1694" s="291"/>
      <c r="I1694" s="292"/>
      <c r="J1694" s="292"/>
      <c r="K1694" s="291"/>
      <c r="L1694" s="293"/>
      <c r="M1694" s="287"/>
      <c r="O1694" s="286"/>
      <c r="P1694" s="269"/>
      <c r="Q1694" s="269"/>
      <c r="R1694" s="269"/>
    </row>
    <row r="1695" spans="1:18" s="285" customFormat="1" ht="39.6" customHeight="1" x14ac:dyDescent="0.25">
      <c r="A1695" s="276"/>
      <c r="B1695" s="276"/>
      <c r="C1695" s="276"/>
      <c r="D1695" s="288"/>
      <c r="E1695" s="290"/>
      <c r="F1695" s="266"/>
      <c r="G1695" s="288"/>
      <c r="H1695" s="291"/>
      <c r="I1695" s="292"/>
      <c r="J1695" s="292"/>
      <c r="K1695" s="291"/>
      <c r="L1695" s="293"/>
      <c r="M1695" s="287"/>
      <c r="O1695" s="286"/>
      <c r="P1695" s="269"/>
      <c r="Q1695" s="269"/>
      <c r="R1695" s="269"/>
    </row>
    <row r="1696" spans="1:18" s="285" customFormat="1" ht="39.6" customHeight="1" x14ac:dyDescent="0.25">
      <c r="A1696" s="276"/>
      <c r="B1696" s="276"/>
      <c r="C1696" s="276"/>
      <c r="D1696" s="288"/>
      <c r="E1696" s="290"/>
      <c r="F1696" s="266"/>
      <c r="G1696" s="288"/>
      <c r="H1696" s="291"/>
      <c r="I1696" s="292"/>
      <c r="J1696" s="292"/>
      <c r="K1696" s="291"/>
      <c r="L1696" s="293"/>
      <c r="M1696" s="287"/>
      <c r="O1696" s="286"/>
      <c r="P1696" s="269"/>
      <c r="Q1696" s="269"/>
      <c r="R1696" s="269"/>
    </row>
    <row r="1697" spans="1:18" s="285" customFormat="1" ht="39.6" customHeight="1" x14ac:dyDescent="0.25">
      <c r="A1697" s="276"/>
      <c r="B1697" s="276"/>
      <c r="C1697" s="276"/>
      <c r="D1697" s="288"/>
      <c r="E1697" s="290"/>
      <c r="F1697" s="266"/>
      <c r="G1697" s="288"/>
      <c r="H1697" s="291"/>
      <c r="I1697" s="292"/>
      <c r="J1697" s="292"/>
      <c r="K1697" s="291"/>
      <c r="L1697" s="293"/>
      <c r="M1697" s="287"/>
      <c r="O1697" s="286"/>
      <c r="P1697" s="269"/>
      <c r="Q1697" s="269"/>
      <c r="R1697" s="269"/>
    </row>
    <row r="1698" spans="1:18" s="285" customFormat="1" ht="39.6" customHeight="1" x14ac:dyDescent="0.25">
      <c r="A1698" s="276"/>
      <c r="B1698" s="276"/>
      <c r="C1698" s="276"/>
      <c r="D1698" s="288"/>
      <c r="E1698" s="290"/>
      <c r="F1698" s="266"/>
      <c r="G1698" s="288"/>
      <c r="H1698" s="291"/>
      <c r="I1698" s="292"/>
      <c r="J1698" s="292"/>
      <c r="K1698" s="291"/>
      <c r="L1698" s="293"/>
      <c r="M1698" s="287"/>
      <c r="O1698" s="286"/>
      <c r="P1698" s="269"/>
      <c r="Q1698" s="269"/>
      <c r="R1698" s="269"/>
    </row>
    <row r="1699" spans="1:18" s="285" customFormat="1" ht="39.6" customHeight="1" x14ac:dyDescent="0.25">
      <c r="A1699" s="276"/>
      <c r="B1699" s="276"/>
      <c r="C1699" s="276"/>
      <c r="D1699" s="288"/>
      <c r="E1699" s="290"/>
      <c r="F1699" s="266"/>
      <c r="G1699" s="288"/>
      <c r="H1699" s="291"/>
      <c r="I1699" s="292"/>
      <c r="J1699" s="292"/>
      <c r="K1699" s="291"/>
      <c r="L1699" s="293"/>
      <c r="M1699" s="287"/>
      <c r="O1699" s="286"/>
      <c r="P1699" s="269"/>
      <c r="Q1699" s="269"/>
      <c r="R1699" s="269"/>
    </row>
    <row r="1700" spans="1:18" s="285" customFormat="1" ht="39.6" customHeight="1" x14ac:dyDescent="0.25">
      <c r="A1700" s="276"/>
      <c r="B1700" s="276"/>
      <c r="C1700" s="276"/>
      <c r="D1700" s="288"/>
      <c r="E1700" s="290"/>
      <c r="F1700" s="266"/>
      <c r="G1700" s="288"/>
      <c r="H1700" s="291"/>
      <c r="I1700" s="292"/>
      <c r="J1700" s="292"/>
      <c r="K1700" s="291"/>
      <c r="L1700" s="293"/>
      <c r="M1700" s="287"/>
      <c r="O1700" s="286"/>
      <c r="P1700" s="269"/>
      <c r="Q1700" s="269"/>
      <c r="R1700" s="269"/>
    </row>
    <row r="1701" spans="1:18" s="285" customFormat="1" ht="39.6" customHeight="1" x14ac:dyDescent="0.25">
      <c r="A1701" s="276"/>
      <c r="B1701" s="276"/>
      <c r="C1701" s="276"/>
      <c r="D1701" s="288"/>
      <c r="E1701" s="290"/>
      <c r="F1701" s="266"/>
      <c r="G1701" s="288"/>
      <c r="H1701" s="291"/>
      <c r="I1701" s="292"/>
      <c r="J1701" s="292"/>
      <c r="K1701" s="291"/>
      <c r="L1701" s="293"/>
      <c r="M1701" s="287"/>
      <c r="O1701" s="286"/>
      <c r="P1701" s="269"/>
      <c r="Q1701" s="269"/>
      <c r="R1701" s="269"/>
    </row>
    <row r="1702" spans="1:18" s="285" customFormat="1" ht="39.6" customHeight="1" x14ac:dyDescent="0.25">
      <c r="A1702" s="276"/>
      <c r="B1702" s="276"/>
      <c r="C1702" s="276"/>
      <c r="D1702" s="288"/>
      <c r="E1702" s="290"/>
      <c r="F1702" s="266"/>
      <c r="G1702" s="288"/>
      <c r="H1702" s="291"/>
      <c r="I1702" s="292"/>
      <c r="J1702" s="292"/>
      <c r="K1702" s="291"/>
      <c r="L1702" s="293"/>
      <c r="M1702" s="287"/>
      <c r="O1702" s="286"/>
      <c r="P1702" s="269"/>
      <c r="Q1702" s="269"/>
      <c r="R1702" s="269"/>
    </row>
    <row r="1703" spans="1:18" s="285" customFormat="1" ht="39.6" customHeight="1" x14ac:dyDescent="0.25">
      <c r="A1703" s="276"/>
      <c r="B1703" s="276"/>
      <c r="C1703" s="276"/>
      <c r="D1703" s="288"/>
      <c r="E1703" s="290"/>
      <c r="F1703" s="266"/>
      <c r="G1703" s="288"/>
      <c r="H1703" s="291"/>
      <c r="I1703" s="292"/>
      <c r="J1703" s="292"/>
      <c r="K1703" s="291"/>
      <c r="L1703" s="293"/>
      <c r="M1703" s="287"/>
      <c r="O1703" s="286"/>
      <c r="P1703" s="269"/>
      <c r="Q1703" s="269"/>
      <c r="R1703" s="269"/>
    </row>
    <row r="1704" spans="1:18" s="285" customFormat="1" ht="39.6" customHeight="1" x14ac:dyDescent="0.25">
      <c r="A1704" s="276"/>
      <c r="B1704" s="276"/>
      <c r="C1704" s="276"/>
      <c r="D1704" s="288"/>
      <c r="E1704" s="290"/>
      <c r="F1704" s="266"/>
      <c r="G1704" s="288"/>
      <c r="H1704" s="291"/>
      <c r="I1704" s="292"/>
      <c r="J1704" s="292"/>
      <c r="K1704" s="291"/>
      <c r="L1704" s="293"/>
      <c r="M1704" s="287"/>
      <c r="O1704" s="286"/>
      <c r="P1704" s="269"/>
      <c r="Q1704" s="269"/>
      <c r="R1704" s="269"/>
    </row>
    <row r="1705" spans="1:18" s="285" customFormat="1" ht="39.6" customHeight="1" x14ac:dyDescent="0.25">
      <c r="A1705" s="276"/>
      <c r="B1705" s="276"/>
      <c r="C1705" s="276"/>
      <c r="D1705" s="288"/>
      <c r="E1705" s="290"/>
      <c r="F1705" s="266"/>
      <c r="G1705" s="288"/>
      <c r="H1705" s="291"/>
      <c r="I1705" s="292"/>
      <c r="J1705" s="292"/>
      <c r="K1705" s="291"/>
      <c r="L1705" s="293"/>
      <c r="M1705" s="287"/>
      <c r="O1705" s="286"/>
      <c r="P1705" s="269"/>
      <c r="Q1705" s="269"/>
      <c r="R1705" s="269"/>
    </row>
    <row r="1706" spans="1:18" s="285" customFormat="1" ht="39.6" customHeight="1" x14ac:dyDescent="0.25">
      <c r="A1706" s="276"/>
      <c r="B1706" s="276"/>
      <c r="C1706" s="276"/>
      <c r="D1706" s="288"/>
      <c r="E1706" s="290"/>
      <c r="F1706" s="266"/>
      <c r="G1706" s="288"/>
      <c r="H1706" s="291"/>
      <c r="I1706" s="292"/>
      <c r="J1706" s="292"/>
      <c r="K1706" s="291"/>
      <c r="L1706" s="293"/>
      <c r="M1706" s="287"/>
      <c r="O1706" s="286"/>
      <c r="P1706" s="269"/>
      <c r="Q1706" s="269"/>
      <c r="R1706" s="269"/>
    </row>
    <row r="1707" spans="1:18" s="285" customFormat="1" ht="39.6" customHeight="1" x14ac:dyDescent="0.25">
      <c r="A1707" s="276"/>
      <c r="B1707" s="276"/>
      <c r="C1707" s="276"/>
      <c r="D1707" s="288"/>
      <c r="E1707" s="290"/>
      <c r="F1707" s="266"/>
      <c r="G1707" s="288"/>
      <c r="H1707" s="291"/>
      <c r="I1707" s="292"/>
      <c r="J1707" s="292"/>
      <c r="K1707" s="291"/>
      <c r="L1707" s="293"/>
      <c r="M1707" s="287"/>
      <c r="O1707" s="286"/>
      <c r="P1707" s="269"/>
      <c r="Q1707" s="269"/>
      <c r="R1707" s="269"/>
    </row>
    <row r="1708" spans="1:18" s="285" customFormat="1" ht="39.6" customHeight="1" x14ac:dyDescent="0.25">
      <c r="A1708" s="276"/>
      <c r="B1708" s="276"/>
      <c r="C1708" s="276"/>
      <c r="D1708" s="288"/>
      <c r="E1708" s="290"/>
      <c r="F1708" s="266"/>
      <c r="G1708" s="288"/>
      <c r="H1708" s="291"/>
      <c r="I1708" s="292"/>
      <c r="J1708" s="292"/>
      <c r="K1708" s="291"/>
      <c r="L1708" s="293"/>
      <c r="M1708" s="287"/>
      <c r="O1708" s="286"/>
      <c r="P1708" s="269"/>
      <c r="Q1708" s="269"/>
      <c r="R1708" s="269"/>
    </row>
    <row r="1709" spans="1:18" s="285" customFormat="1" ht="39.6" customHeight="1" x14ac:dyDescent="0.25">
      <c r="A1709" s="276"/>
      <c r="B1709" s="276"/>
      <c r="C1709" s="276"/>
      <c r="D1709" s="288"/>
      <c r="E1709" s="290"/>
      <c r="F1709" s="266"/>
      <c r="G1709" s="288"/>
      <c r="H1709" s="291"/>
      <c r="I1709" s="292"/>
      <c r="J1709" s="292"/>
      <c r="K1709" s="291"/>
      <c r="L1709" s="293"/>
      <c r="M1709" s="287"/>
      <c r="O1709" s="286"/>
      <c r="P1709" s="269"/>
      <c r="Q1709" s="269"/>
      <c r="R1709" s="269"/>
    </row>
    <row r="1710" spans="1:18" s="285" customFormat="1" ht="39.6" customHeight="1" x14ac:dyDescent="0.25">
      <c r="A1710" s="276"/>
      <c r="B1710" s="276"/>
      <c r="C1710" s="276"/>
      <c r="D1710" s="288"/>
      <c r="E1710" s="290"/>
      <c r="F1710" s="266"/>
      <c r="G1710" s="288"/>
      <c r="H1710" s="291"/>
      <c r="I1710" s="292"/>
      <c r="J1710" s="292"/>
      <c r="K1710" s="291"/>
      <c r="L1710" s="293"/>
      <c r="M1710" s="287"/>
      <c r="O1710" s="286"/>
      <c r="P1710" s="269"/>
      <c r="Q1710" s="269"/>
      <c r="R1710" s="269"/>
    </row>
    <row r="1711" spans="1:18" s="285" customFormat="1" ht="39.6" customHeight="1" x14ac:dyDescent="0.25">
      <c r="A1711" s="276"/>
      <c r="B1711" s="276"/>
      <c r="C1711" s="276"/>
      <c r="D1711" s="288"/>
      <c r="E1711" s="290"/>
      <c r="F1711" s="266"/>
      <c r="G1711" s="288"/>
      <c r="H1711" s="291"/>
      <c r="I1711" s="292"/>
      <c r="J1711" s="292"/>
      <c r="K1711" s="291"/>
      <c r="L1711" s="293"/>
      <c r="M1711" s="287"/>
      <c r="O1711" s="286"/>
      <c r="P1711" s="269"/>
      <c r="Q1711" s="269"/>
      <c r="R1711" s="269"/>
    </row>
    <row r="1712" spans="1:18" s="285" customFormat="1" ht="39.6" customHeight="1" x14ac:dyDescent="0.25">
      <c r="A1712" s="276"/>
      <c r="B1712" s="276"/>
      <c r="C1712" s="276"/>
      <c r="D1712" s="288"/>
      <c r="E1712" s="290"/>
      <c r="F1712" s="266"/>
      <c r="G1712" s="288"/>
      <c r="H1712" s="291"/>
      <c r="I1712" s="292"/>
      <c r="J1712" s="292"/>
      <c r="K1712" s="291"/>
      <c r="L1712" s="293"/>
      <c r="M1712" s="287"/>
      <c r="O1712" s="286"/>
      <c r="P1712" s="269"/>
      <c r="Q1712" s="269"/>
      <c r="R1712" s="269"/>
    </row>
    <row r="1713" spans="1:18" s="285" customFormat="1" ht="39.6" customHeight="1" x14ac:dyDescent="0.25">
      <c r="A1713" s="276"/>
      <c r="B1713" s="276"/>
      <c r="C1713" s="276"/>
      <c r="D1713" s="288"/>
      <c r="E1713" s="290"/>
      <c r="F1713" s="266"/>
      <c r="G1713" s="288"/>
      <c r="H1713" s="291"/>
      <c r="I1713" s="292"/>
      <c r="J1713" s="292"/>
      <c r="K1713" s="291"/>
      <c r="L1713" s="293"/>
      <c r="M1713" s="287"/>
      <c r="O1713" s="286"/>
      <c r="P1713" s="269"/>
      <c r="Q1713" s="269"/>
      <c r="R1713" s="269"/>
    </row>
    <row r="1714" spans="1:18" s="285" customFormat="1" ht="39.6" customHeight="1" x14ac:dyDescent="0.25">
      <c r="A1714" s="276"/>
      <c r="B1714" s="276"/>
      <c r="C1714" s="276"/>
      <c r="D1714" s="288"/>
      <c r="E1714" s="290"/>
      <c r="F1714" s="266"/>
      <c r="G1714" s="288"/>
      <c r="H1714" s="291"/>
      <c r="I1714" s="292"/>
      <c r="J1714" s="292"/>
      <c r="K1714" s="291"/>
      <c r="L1714" s="293"/>
      <c r="M1714" s="287"/>
      <c r="O1714" s="286"/>
      <c r="P1714" s="269"/>
      <c r="Q1714" s="269"/>
      <c r="R1714" s="269"/>
    </row>
    <row r="1715" spans="1:18" s="285" customFormat="1" ht="39.6" customHeight="1" x14ac:dyDescent="0.25">
      <c r="A1715" s="276"/>
      <c r="B1715" s="276"/>
      <c r="C1715" s="276"/>
      <c r="D1715" s="288"/>
      <c r="E1715" s="290"/>
      <c r="F1715" s="266"/>
      <c r="G1715" s="288"/>
      <c r="H1715" s="291"/>
      <c r="I1715" s="292"/>
      <c r="J1715" s="292"/>
      <c r="K1715" s="291"/>
      <c r="L1715" s="293"/>
      <c r="M1715" s="287"/>
      <c r="O1715" s="286"/>
      <c r="P1715" s="269"/>
      <c r="Q1715" s="269"/>
      <c r="R1715" s="269"/>
    </row>
    <row r="1716" spans="1:18" s="285" customFormat="1" ht="39.6" customHeight="1" x14ac:dyDescent="0.25">
      <c r="A1716" s="276"/>
      <c r="B1716" s="276"/>
      <c r="C1716" s="276"/>
      <c r="D1716" s="288"/>
      <c r="E1716" s="290"/>
      <c r="F1716" s="266"/>
      <c r="G1716" s="288"/>
      <c r="H1716" s="291"/>
      <c r="I1716" s="292"/>
      <c r="J1716" s="292"/>
      <c r="K1716" s="291"/>
      <c r="L1716" s="293"/>
      <c r="M1716" s="287"/>
      <c r="O1716" s="286"/>
      <c r="P1716" s="269"/>
      <c r="Q1716" s="269"/>
      <c r="R1716" s="269"/>
    </row>
    <row r="1717" spans="1:18" s="285" customFormat="1" ht="39.6" customHeight="1" x14ac:dyDescent="0.25">
      <c r="A1717" s="276"/>
      <c r="B1717" s="276"/>
      <c r="C1717" s="276"/>
      <c r="D1717" s="288"/>
      <c r="E1717" s="290"/>
      <c r="F1717" s="266"/>
      <c r="G1717" s="288"/>
      <c r="H1717" s="291"/>
      <c r="I1717" s="292"/>
      <c r="J1717" s="292"/>
      <c r="K1717" s="291"/>
      <c r="L1717" s="293"/>
      <c r="M1717" s="287"/>
      <c r="O1717" s="286"/>
      <c r="P1717" s="269"/>
      <c r="Q1717" s="269"/>
      <c r="R1717" s="269"/>
    </row>
    <row r="1718" spans="1:18" s="285" customFormat="1" ht="39.6" customHeight="1" x14ac:dyDescent="0.25">
      <c r="A1718" s="276"/>
      <c r="B1718" s="276"/>
      <c r="C1718" s="276"/>
      <c r="D1718" s="288"/>
      <c r="E1718" s="290"/>
      <c r="F1718" s="266"/>
      <c r="G1718" s="288"/>
      <c r="H1718" s="291"/>
      <c r="I1718" s="292"/>
      <c r="J1718" s="292"/>
      <c r="K1718" s="291"/>
      <c r="L1718" s="293"/>
      <c r="M1718" s="287"/>
      <c r="O1718" s="286"/>
      <c r="P1718" s="269"/>
      <c r="Q1718" s="269"/>
      <c r="R1718" s="269"/>
    </row>
    <row r="1719" spans="1:18" s="285" customFormat="1" ht="39.6" customHeight="1" x14ac:dyDescent="0.25">
      <c r="A1719" s="276"/>
      <c r="B1719" s="276"/>
      <c r="C1719" s="276"/>
      <c r="D1719" s="288"/>
      <c r="E1719" s="290"/>
      <c r="F1719" s="266"/>
      <c r="G1719" s="288"/>
      <c r="H1719" s="291"/>
      <c r="I1719" s="292"/>
      <c r="J1719" s="292"/>
      <c r="K1719" s="291"/>
      <c r="L1719" s="293"/>
      <c r="M1719" s="287"/>
      <c r="O1719" s="286"/>
      <c r="P1719" s="269"/>
      <c r="Q1719" s="269"/>
      <c r="R1719" s="269"/>
    </row>
    <row r="1720" spans="1:18" s="285" customFormat="1" ht="39.6" customHeight="1" x14ac:dyDescent="0.25">
      <c r="A1720" s="276"/>
      <c r="B1720" s="276"/>
      <c r="C1720" s="276"/>
      <c r="D1720" s="288"/>
      <c r="E1720" s="290"/>
      <c r="F1720" s="266"/>
      <c r="G1720" s="288"/>
      <c r="H1720" s="291"/>
      <c r="I1720" s="292"/>
      <c r="J1720" s="292"/>
      <c r="K1720" s="291"/>
      <c r="L1720" s="293"/>
      <c r="M1720" s="287"/>
      <c r="O1720" s="286"/>
      <c r="P1720" s="269"/>
      <c r="Q1720" s="269"/>
      <c r="R1720" s="269"/>
    </row>
    <row r="1721" spans="1:18" s="285" customFormat="1" ht="39.6" customHeight="1" x14ac:dyDescent="0.25">
      <c r="A1721" s="276"/>
      <c r="B1721" s="276"/>
      <c r="C1721" s="276"/>
      <c r="D1721" s="288"/>
      <c r="E1721" s="290"/>
      <c r="F1721" s="266"/>
      <c r="G1721" s="288"/>
      <c r="H1721" s="291"/>
      <c r="I1721" s="292"/>
      <c r="J1721" s="292"/>
      <c r="K1721" s="291"/>
      <c r="L1721" s="293"/>
      <c r="M1721" s="287"/>
      <c r="O1721" s="286"/>
      <c r="P1721" s="269"/>
      <c r="Q1721" s="269"/>
      <c r="R1721" s="269"/>
    </row>
    <row r="1722" spans="1:18" s="285" customFormat="1" ht="39.6" customHeight="1" x14ac:dyDescent="0.25">
      <c r="A1722" s="276"/>
      <c r="B1722" s="276"/>
      <c r="C1722" s="276"/>
      <c r="D1722" s="288"/>
      <c r="E1722" s="290"/>
      <c r="F1722" s="266"/>
      <c r="G1722" s="288"/>
      <c r="H1722" s="291"/>
      <c r="I1722" s="292"/>
      <c r="J1722" s="292"/>
      <c r="K1722" s="291"/>
      <c r="L1722" s="293"/>
      <c r="M1722" s="287"/>
      <c r="O1722" s="286"/>
      <c r="P1722" s="269"/>
      <c r="Q1722" s="269"/>
      <c r="R1722" s="269"/>
    </row>
    <row r="1723" spans="1:18" s="285" customFormat="1" ht="39.6" customHeight="1" x14ac:dyDescent="0.25">
      <c r="A1723" s="276"/>
      <c r="B1723" s="276"/>
      <c r="C1723" s="276"/>
      <c r="D1723" s="288"/>
      <c r="E1723" s="290"/>
      <c r="F1723" s="266"/>
      <c r="G1723" s="288"/>
      <c r="H1723" s="291"/>
      <c r="I1723" s="292"/>
      <c r="J1723" s="292"/>
      <c r="K1723" s="291"/>
      <c r="L1723" s="293"/>
      <c r="M1723" s="287"/>
      <c r="O1723" s="286"/>
      <c r="P1723" s="269"/>
      <c r="Q1723" s="269"/>
      <c r="R1723" s="269"/>
    </row>
    <row r="1724" spans="1:18" s="285" customFormat="1" ht="39.6" customHeight="1" x14ac:dyDescent="0.25">
      <c r="A1724" s="276"/>
      <c r="B1724" s="276"/>
      <c r="C1724" s="276"/>
      <c r="D1724" s="288"/>
      <c r="E1724" s="290"/>
      <c r="F1724" s="266"/>
      <c r="G1724" s="288"/>
      <c r="H1724" s="291"/>
      <c r="I1724" s="292"/>
      <c r="J1724" s="292"/>
      <c r="K1724" s="291"/>
      <c r="L1724" s="293"/>
      <c r="M1724" s="287"/>
      <c r="O1724" s="286"/>
      <c r="P1724" s="269"/>
      <c r="Q1724" s="269"/>
      <c r="R1724" s="269"/>
    </row>
    <row r="1725" spans="1:18" s="285" customFormat="1" ht="39.6" customHeight="1" x14ac:dyDescent="0.25">
      <c r="A1725" s="276"/>
      <c r="B1725" s="276"/>
      <c r="C1725" s="276"/>
      <c r="D1725" s="288"/>
      <c r="E1725" s="290"/>
      <c r="F1725" s="266"/>
      <c r="G1725" s="288"/>
      <c r="H1725" s="291"/>
      <c r="I1725" s="292"/>
      <c r="J1725" s="292"/>
      <c r="K1725" s="291"/>
      <c r="L1725" s="293"/>
      <c r="M1725" s="287"/>
      <c r="O1725" s="286"/>
      <c r="P1725" s="269"/>
      <c r="Q1725" s="269"/>
      <c r="R1725" s="269"/>
    </row>
    <row r="1726" spans="1:18" s="285" customFormat="1" ht="39.6" customHeight="1" x14ac:dyDescent="0.25">
      <c r="A1726" s="276"/>
      <c r="B1726" s="276"/>
      <c r="C1726" s="276"/>
      <c r="D1726" s="288"/>
      <c r="E1726" s="290"/>
      <c r="F1726" s="266"/>
      <c r="G1726" s="288"/>
      <c r="H1726" s="291"/>
      <c r="I1726" s="292"/>
      <c r="J1726" s="292"/>
      <c r="K1726" s="291"/>
      <c r="L1726" s="293"/>
      <c r="M1726" s="287"/>
      <c r="O1726" s="286"/>
      <c r="P1726" s="269"/>
      <c r="Q1726" s="269"/>
      <c r="R1726" s="269"/>
    </row>
    <row r="1727" spans="1:18" s="285" customFormat="1" ht="39.6" customHeight="1" x14ac:dyDescent="0.25">
      <c r="A1727" s="276"/>
      <c r="B1727" s="276"/>
      <c r="C1727" s="276"/>
      <c r="D1727" s="288"/>
      <c r="E1727" s="290"/>
      <c r="F1727" s="266"/>
      <c r="G1727" s="288"/>
      <c r="H1727" s="291"/>
      <c r="I1727" s="292"/>
      <c r="J1727" s="292"/>
      <c r="K1727" s="291"/>
      <c r="L1727" s="293"/>
      <c r="M1727" s="287"/>
      <c r="O1727" s="286"/>
      <c r="P1727" s="269"/>
      <c r="Q1727" s="269"/>
      <c r="R1727" s="269"/>
    </row>
    <row r="1728" spans="1:18" s="285" customFormat="1" ht="39.6" customHeight="1" x14ac:dyDescent="0.25">
      <c r="A1728" s="276"/>
      <c r="B1728" s="276"/>
      <c r="C1728" s="276"/>
      <c r="D1728" s="288"/>
      <c r="E1728" s="290"/>
      <c r="F1728" s="266"/>
      <c r="G1728" s="288"/>
      <c r="H1728" s="291"/>
      <c r="I1728" s="292"/>
      <c r="J1728" s="292"/>
      <c r="K1728" s="291"/>
      <c r="L1728" s="293"/>
      <c r="M1728" s="287"/>
      <c r="O1728" s="286"/>
      <c r="P1728" s="269"/>
      <c r="Q1728" s="269"/>
      <c r="R1728" s="269"/>
    </row>
    <row r="1729" spans="1:18" s="285" customFormat="1" ht="39.6" customHeight="1" x14ac:dyDescent="0.25">
      <c r="A1729" s="276"/>
      <c r="B1729" s="276"/>
      <c r="C1729" s="276"/>
      <c r="D1729" s="288"/>
      <c r="E1729" s="290"/>
      <c r="F1729" s="266"/>
      <c r="G1729" s="288"/>
      <c r="H1729" s="291"/>
      <c r="I1729" s="292"/>
      <c r="J1729" s="292"/>
      <c r="K1729" s="291"/>
      <c r="L1729" s="293"/>
      <c r="M1729" s="287"/>
      <c r="O1729" s="286"/>
      <c r="P1729" s="269"/>
      <c r="Q1729" s="269"/>
      <c r="R1729" s="269"/>
    </row>
    <row r="1730" spans="1:18" s="285" customFormat="1" ht="39.6" customHeight="1" x14ac:dyDescent="0.25">
      <c r="A1730" s="276"/>
      <c r="B1730" s="276"/>
      <c r="C1730" s="276"/>
      <c r="D1730" s="288"/>
      <c r="E1730" s="290"/>
      <c r="F1730" s="266"/>
      <c r="G1730" s="288"/>
      <c r="H1730" s="291"/>
      <c r="I1730" s="292"/>
      <c r="J1730" s="292"/>
      <c r="K1730" s="291"/>
      <c r="L1730" s="293"/>
      <c r="M1730" s="287"/>
      <c r="O1730" s="286"/>
      <c r="P1730" s="269"/>
      <c r="Q1730" s="269"/>
      <c r="R1730" s="269"/>
    </row>
    <row r="1731" spans="1:18" s="285" customFormat="1" ht="39.6" customHeight="1" x14ac:dyDescent="0.25">
      <c r="A1731" s="276"/>
      <c r="B1731" s="276"/>
      <c r="C1731" s="276"/>
      <c r="D1731" s="288"/>
      <c r="E1731" s="290"/>
      <c r="F1731" s="266"/>
      <c r="G1731" s="288"/>
      <c r="H1731" s="291"/>
      <c r="I1731" s="292"/>
      <c r="J1731" s="292"/>
      <c r="K1731" s="291"/>
      <c r="L1731" s="293"/>
      <c r="M1731" s="287"/>
      <c r="O1731" s="286"/>
      <c r="P1731" s="269"/>
      <c r="Q1731" s="269"/>
      <c r="R1731" s="269"/>
    </row>
    <row r="1732" spans="1:18" s="285" customFormat="1" ht="39.6" customHeight="1" x14ac:dyDescent="0.25">
      <c r="A1732" s="276"/>
      <c r="B1732" s="276"/>
      <c r="C1732" s="276"/>
      <c r="D1732" s="288"/>
      <c r="E1732" s="290"/>
      <c r="F1732" s="266"/>
      <c r="G1732" s="288"/>
      <c r="H1732" s="291"/>
      <c r="I1732" s="292"/>
      <c r="J1732" s="292"/>
      <c r="K1732" s="291"/>
      <c r="L1732" s="293"/>
      <c r="M1732" s="287"/>
      <c r="O1732" s="286"/>
      <c r="P1732" s="269"/>
      <c r="Q1732" s="269"/>
      <c r="R1732" s="269"/>
    </row>
    <row r="1733" spans="1:18" s="285" customFormat="1" ht="39.6" customHeight="1" x14ac:dyDescent="0.25">
      <c r="A1733" s="276"/>
      <c r="B1733" s="276"/>
      <c r="C1733" s="276"/>
      <c r="D1733" s="288"/>
      <c r="E1733" s="290"/>
      <c r="F1733" s="266"/>
      <c r="G1733" s="288"/>
      <c r="H1733" s="291"/>
      <c r="I1733" s="292"/>
      <c r="J1733" s="292"/>
      <c r="K1733" s="291"/>
      <c r="L1733" s="293"/>
      <c r="M1733" s="287"/>
      <c r="O1733" s="286"/>
      <c r="P1733" s="269"/>
      <c r="Q1733" s="269"/>
      <c r="R1733" s="269"/>
    </row>
    <row r="1734" spans="1:18" s="285" customFormat="1" ht="39.6" customHeight="1" x14ac:dyDescent="0.25">
      <c r="A1734" s="276"/>
      <c r="B1734" s="276"/>
      <c r="C1734" s="276"/>
      <c r="D1734" s="288"/>
      <c r="E1734" s="290"/>
      <c r="F1734" s="266"/>
      <c r="G1734" s="288"/>
      <c r="H1734" s="291"/>
      <c r="I1734" s="292"/>
      <c r="J1734" s="292"/>
      <c r="K1734" s="291"/>
      <c r="L1734" s="293"/>
      <c r="M1734" s="287"/>
      <c r="O1734" s="286"/>
      <c r="P1734" s="269"/>
      <c r="Q1734" s="269"/>
      <c r="R1734" s="269"/>
    </row>
    <row r="1735" spans="1:18" s="285" customFormat="1" ht="39.6" customHeight="1" x14ac:dyDescent="0.25">
      <c r="A1735" s="276"/>
      <c r="B1735" s="276"/>
      <c r="C1735" s="276"/>
      <c r="D1735" s="288"/>
      <c r="E1735" s="290"/>
      <c r="F1735" s="266"/>
      <c r="G1735" s="288"/>
      <c r="H1735" s="291"/>
      <c r="I1735" s="292"/>
      <c r="J1735" s="292"/>
      <c r="K1735" s="291"/>
      <c r="L1735" s="293"/>
      <c r="M1735" s="287"/>
      <c r="O1735" s="286"/>
      <c r="P1735" s="269"/>
      <c r="Q1735" s="269"/>
      <c r="R1735" s="269"/>
    </row>
    <row r="1736" spans="1:18" s="285" customFormat="1" ht="39.6" customHeight="1" x14ac:dyDescent="0.25">
      <c r="A1736" s="276"/>
      <c r="B1736" s="276"/>
      <c r="C1736" s="276"/>
      <c r="D1736" s="288"/>
      <c r="E1736" s="290"/>
      <c r="F1736" s="266"/>
      <c r="G1736" s="288"/>
      <c r="H1736" s="291"/>
      <c r="I1736" s="292"/>
      <c r="J1736" s="292"/>
      <c r="K1736" s="291"/>
      <c r="L1736" s="293"/>
      <c r="M1736" s="287"/>
      <c r="O1736" s="286"/>
      <c r="P1736" s="269"/>
      <c r="Q1736" s="269"/>
      <c r="R1736" s="269"/>
    </row>
    <row r="1737" spans="1:18" s="285" customFormat="1" ht="39.6" customHeight="1" x14ac:dyDescent="0.25">
      <c r="A1737" s="276"/>
      <c r="B1737" s="276"/>
      <c r="C1737" s="276"/>
      <c r="D1737" s="288"/>
      <c r="E1737" s="290"/>
      <c r="F1737" s="266"/>
      <c r="G1737" s="288"/>
      <c r="H1737" s="291"/>
      <c r="I1737" s="292"/>
      <c r="J1737" s="292"/>
      <c r="K1737" s="291"/>
      <c r="L1737" s="293"/>
      <c r="M1737" s="287"/>
      <c r="O1737" s="286"/>
      <c r="P1737" s="269"/>
      <c r="Q1737" s="269"/>
      <c r="R1737" s="269"/>
    </row>
    <row r="1738" spans="1:18" s="285" customFormat="1" ht="39.6" customHeight="1" x14ac:dyDescent="0.25">
      <c r="A1738" s="276"/>
      <c r="B1738" s="276"/>
      <c r="C1738" s="276"/>
      <c r="D1738" s="288"/>
      <c r="E1738" s="290"/>
      <c r="F1738" s="266"/>
      <c r="G1738" s="288"/>
      <c r="H1738" s="291"/>
      <c r="I1738" s="292"/>
      <c r="J1738" s="292"/>
      <c r="K1738" s="291"/>
      <c r="L1738" s="293"/>
      <c r="M1738" s="287"/>
      <c r="O1738" s="286"/>
      <c r="P1738" s="269"/>
      <c r="Q1738" s="269"/>
      <c r="R1738" s="269"/>
    </row>
    <row r="1739" spans="1:18" s="285" customFormat="1" ht="39.6" customHeight="1" x14ac:dyDescent="0.25">
      <c r="A1739" s="276"/>
      <c r="B1739" s="276"/>
      <c r="C1739" s="276"/>
      <c r="D1739" s="288"/>
      <c r="E1739" s="290"/>
      <c r="F1739" s="266"/>
      <c r="G1739" s="288"/>
      <c r="H1739" s="291"/>
      <c r="I1739" s="292"/>
      <c r="J1739" s="292"/>
      <c r="K1739" s="291"/>
      <c r="L1739" s="293"/>
      <c r="M1739" s="287"/>
      <c r="O1739" s="286"/>
      <c r="P1739" s="269"/>
      <c r="Q1739" s="269"/>
      <c r="R1739" s="269"/>
    </row>
    <row r="1740" spans="1:18" s="285" customFormat="1" ht="39.6" customHeight="1" x14ac:dyDescent="0.25">
      <c r="A1740" s="276"/>
      <c r="B1740" s="276"/>
      <c r="C1740" s="276"/>
      <c r="D1740" s="288"/>
      <c r="E1740" s="290"/>
      <c r="F1740" s="266"/>
      <c r="G1740" s="288"/>
      <c r="H1740" s="291"/>
      <c r="I1740" s="292"/>
      <c r="J1740" s="292"/>
      <c r="K1740" s="291"/>
      <c r="L1740" s="293"/>
      <c r="M1740" s="287"/>
      <c r="O1740" s="286"/>
      <c r="P1740" s="269"/>
      <c r="Q1740" s="269"/>
      <c r="R1740" s="269"/>
    </row>
    <row r="1741" spans="1:18" s="285" customFormat="1" ht="39.6" customHeight="1" x14ac:dyDescent="0.25">
      <c r="A1741" s="276"/>
      <c r="B1741" s="276"/>
      <c r="C1741" s="276"/>
      <c r="D1741" s="288"/>
      <c r="E1741" s="290"/>
      <c r="F1741" s="266"/>
      <c r="G1741" s="288"/>
      <c r="H1741" s="291"/>
      <c r="I1741" s="292"/>
      <c r="J1741" s="292"/>
      <c r="K1741" s="291"/>
      <c r="L1741" s="293"/>
      <c r="M1741" s="287"/>
      <c r="O1741" s="286"/>
      <c r="P1741" s="269"/>
      <c r="Q1741" s="269"/>
      <c r="R1741" s="269"/>
    </row>
    <row r="1742" spans="1:18" s="285" customFormat="1" ht="39.6" customHeight="1" x14ac:dyDescent="0.25">
      <c r="A1742" s="276"/>
      <c r="B1742" s="276"/>
      <c r="C1742" s="276"/>
      <c r="D1742" s="288"/>
      <c r="E1742" s="290"/>
      <c r="F1742" s="266"/>
      <c r="G1742" s="288"/>
      <c r="H1742" s="291"/>
      <c r="I1742" s="292"/>
      <c r="J1742" s="292"/>
      <c r="K1742" s="291"/>
      <c r="L1742" s="293"/>
      <c r="M1742" s="287"/>
      <c r="O1742" s="286"/>
      <c r="P1742" s="269"/>
      <c r="Q1742" s="269"/>
      <c r="R1742" s="269"/>
    </row>
    <row r="1743" spans="1:18" s="285" customFormat="1" ht="39.6" customHeight="1" x14ac:dyDescent="0.25">
      <c r="A1743" s="276"/>
      <c r="B1743" s="276"/>
      <c r="C1743" s="276"/>
      <c r="D1743" s="288"/>
      <c r="E1743" s="290"/>
      <c r="F1743" s="266"/>
      <c r="G1743" s="288"/>
      <c r="H1743" s="291"/>
      <c r="I1743" s="292"/>
      <c r="J1743" s="292"/>
      <c r="K1743" s="291"/>
      <c r="L1743" s="293"/>
      <c r="M1743" s="287"/>
      <c r="O1743" s="286"/>
      <c r="P1743" s="269"/>
      <c r="Q1743" s="269"/>
      <c r="R1743" s="269"/>
    </row>
    <row r="1744" spans="1:18" s="285" customFormat="1" ht="39.6" customHeight="1" x14ac:dyDescent="0.25">
      <c r="A1744" s="276"/>
      <c r="B1744" s="276"/>
      <c r="C1744" s="276"/>
      <c r="D1744" s="288"/>
      <c r="E1744" s="290"/>
      <c r="F1744" s="266"/>
      <c r="G1744" s="288"/>
      <c r="H1744" s="291"/>
      <c r="I1744" s="292"/>
      <c r="J1744" s="292"/>
      <c r="K1744" s="291"/>
      <c r="L1744" s="293"/>
      <c r="M1744" s="287"/>
      <c r="O1744" s="286"/>
      <c r="P1744" s="269"/>
      <c r="Q1744" s="269"/>
      <c r="R1744" s="269"/>
    </row>
    <row r="1745" spans="1:18" s="285" customFormat="1" ht="39.6" customHeight="1" x14ac:dyDescent="0.25">
      <c r="A1745" s="276"/>
      <c r="B1745" s="276"/>
      <c r="C1745" s="276"/>
      <c r="D1745" s="288"/>
      <c r="E1745" s="290"/>
      <c r="F1745" s="266"/>
      <c r="G1745" s="288"/>
      <c r="H1745" s="291"/>
      <c r="I1745" s="292"/>
      <c r="J1745" s="292"/>
      <c r="K1745" s="291"/>
      <c r="L1745" s="293"/>
      <c r="M1745" s="287"/>
      <c r="O1745" s="286"/>
      <c r="P1745" s="269"/>
      <c r="Q1745" s="269"/>
      <c r="R1745" s="269"/>
    </row>
    <row r="1746" spans="1:18" s="285" customFormat="1" ht="39.6" customHeight="1" x14ac:dyDescent="0.25">
      <c r="A1746" s="276"/>
      <c r="B1746" s="276"/>
      <c r="C1746" s="276"/>
      <c r="D1746" s="288"/>
      <c r="E1746" s="290"/>
      <c r="F1746" s="266"/>
      <c r="G1746" s="288"/>
      <c r="H1746" s="291"/>
      <c r="I1746" s="292"/>
      <c r="J1746" s="292"/>
      <c r="K1746" s="291"/>
      <c r="L1746" s="293"/>
      <c r="M1746" s="287"/>
      <c r="O1746" s="286"/>
      <c r="P1746" s="269"/>
      <c r="Q1746" s="269"/>
      <c r="R1746" s="269"/>
    </row>
    <row r="1747" spans="1:18" s="285" customFormat="1" ht="39.6" customHeight="1" x14ac:dyDescent="0.25">
      <c r="A1747" s="276"/>
      <c r="B1747" s="276"/>
      <c r="C1747" s="276"/>
      <c r="D1747" s="288"/>
      <c r="E1747" s="290"/>
      <c r="F1747" s="266"/>
      <c r="G1747" s="288"/>
      <c r="H1747" s="291"/>
      <c r="I1747" s="292"/>
      <c r="J1747" s="292"/>
      <c r="K1747" s="291"/>
      <c r="L1747" s="293"/>
      <c r="M1747" s="287"/>
      <c r="O1747" s="286"/>
      <c r="P1747" s="269"/>
      <c r="Q1747" s="269"/>
      <c r="R1747" s="269"/>
    </row>
    <row r="1748" spans="1:18" s="285" customFormat="1" ht="39.6" customHeight="1" x14ac:dyDescent="0.25">
      <c r="A1748" s="276"/>
      <c r="B1748" s="276"/>
      <c r="C1748" s="276"/>
      <c r="D1748" s="288"/>
      <c r="E1748" s="290"/>
      <c r="F1748" s="266"/>
      <c r="G1748" s="288"/>
      <c r="H1748" s="291"/>
      <c r="I1748" s="292"/>
      <c r="J1748" s="292"/>
      <c r="K1748" s="291"/>
      <c r="L1748" s="293"/>
      <c r="M1748" s="287"/>
      <c r="O1748" s="286"/>
      <c r="P1748" s="269"/>
      <c r="Q1748" s="269"/>
      <c r="R1748" s="269"/>
    </row>
    <row r="1749" spans="1:18" s="285" customFormat="1" ht="39.6" customHeight="1" x14ac:dyDescent="0.25">
      <c r="A1749" s="276"/>
      <c r="B1749" s="276"/>
      <c r="C1749" s="276"/>
      <c r="D1749" s="288"/>
      <c r="E1749" s="290"/>
      <c r="F1749" s="266"/>
      <c r="G1749" s="288"/>
      <c r="H1749" s="291"/>
      <c r="I1749" s="292"/>
      <c r="J1749" s="292"/>
      <c r="K1749" s="291"/>
      <c r="L1749" s="293"/>
      <c r="M1749" s="287"/>
      <c r="O1749" s="286"/>
      <c r="P1749" s="269"/>
      <c r="Q1749" s="269"/>
      <c r="R1749" s="269"/>
    </row>
    <row r="1750" spans="1:18" s="285" customFormat="1" ht="39.6" customHeight="1" x14ac:dyDescent="0.25">
      <c r="A1750" s="276"/>
      <c r="B1750" s="276"/>
      <c r="C1750" s="276"/>
      <c r="D1750" s="288"/>
      <c r="E1750" s="290"/>
      <c r="F1750" s="266"/>
      <c r="G1750" s="288"/>
      <c r="H1750" s="291"/>
      <c r="I1750" s="292"/>
      <c r="J1750" s="292"/>
      <c r="K1750" s="291"/>
      <c r="L1750" s="293"/>
      <c r="M1750" s="287"/>
      <c r="O1750" s="286"/>
      <c r="P1750" s="269"/>
      <c r="Q1750" s="269"/>
      <c r="R1750" s="269"/>
    </row>
    <row r="1751" spans="1:18" s="285" customFormat="1" ht="39.6" customHeight="1" x14ac:dyDescent="0.25">
      <c r="A1751" s="276"/>
      <c r="B1751" s="276"/>
      <c r="C1751" s="276"/>
      <c r="D1751" s="288"/>
      <c r="E1751" s="290"/>
      <c r="F1751" s="266"/>
      <c r="G1751" s="288"/>
      <c r="H1751" s="291"/>
      <c r="I1751" s="292"/>
      <c r="J1751" s="292"/>
      <c r="K1751" s="291"/>
      <c r="L1751" s="293"/>
      <c r="M1751" s="287"/>
      <c r="O1751" s="286"/>
      <c r="P1751" s="269"/>
      <c r="Q1751" s="269"/>
      <c r="R1751" s="269"/>
    </row>
    <row r="1752" spans="1:18" s="285" customFormat="1" ht="39.6" customHeight="1" x14ac:dyDescent="0.25">
      <c r="A1752" s="276"/>
      <c r="B1752" s="276"/>
      <c r="C1752" s="276"/>
      <c r="D1752" s="288"/>
      <c r="E1752" s="290"/>
      <c r="F1752" s="266"/>
      <c r="G1752" s="288"/>
      <c r="H1752" s="291"/>
      <c r="I1752" s="292"/>
      <c r="J1752" s="292"/>
      <c r="K1752" s="291"/>
      <c r="L1752" s="293"/>
      <c r="M1752" s="287"/>
      <c r="O1752" s="286"/>
      <c r="P1752" s="269"/>
      <c r="Q1752" s="269"/>
      <c r="R1752" s="269"/>
    </row>
    <row r="1753" spans="1:18" s="285" customFormat="1" ht="39.6" customHeight="1" x14ac:dyDescent="0.25">
      <c r="A1753" s="276"/>
      <c r="B1753" s="276"/>
      <c r="C1753" s="276"/>
      <c r="D1753" s="288"/>
      <c r="E1753" s="290"/>
      <c r="F1753" s="266"/>
      <c r="G1753" s="288"/>
      <c r="H1753" s="291"/>
      <c r="I1753" s="292"/>
      <c r="J1753" s="292"/>
      <c r="K1753" s="291"/>
      <c r="L1753" s="293"/>
      <c r="M1753" s="287"/>
      <c r="O1753" s="286"/>
      <c r="P1753" s="269"/>
      <c r="Q1753" s="269"/>
      <c r="R1753" s="269"/>
    </row>
    <row r="1754" spans="1:18" s="285" customFormat="1" ht="39.6" customHeight="1" x14ac:dyDescent="0.25">
      <c r="A1754" s="276"/>
      <c r="B1754" s="276"/>
      <c r="C1754" s="276"/>
      <c r="D1754" s="288"/>
      <c r="E1754" s="290"/>
      <c r="F1754" s="266"/>
      <c r="G1754" s="288"/>
      <c r="H1754" s="291"/>
      <c r="I1754" s="292"/>
      <c r="J1754" s="292"/>
      <c r="K1754" s="291"/>
      <c r="L1754" s="293"/>
      <c r="M1754" s="287"/>
      <c r="O1754" s="286"/>
      <c r="P1754" s="269"/>
      <c r="Q1754" s="269"/>
      <c r="R1754" s="269"/>
    </row>
    <row r="1755" spans="1:18" s="285" customFormat="1" ht="39.6" customHeight="1" x14ac:dyDescent="0.25">
      <c r="A1755" s="276"/>
      <c r="B1755" s="276"/>
      <c r="C1755" s="276"/>
      <c r="D1755" s="288"/>
      <c r="E1755" s="290"/>
      <c r="F1755" s="266"/>
      <c r="G1755" s="288"/>
      <c r="H1755" s="291"/>
      <c r="I1755" s="292"/>
      <c r="J1755" s="292"/>
      <c r="K1755" s="291"/>
      <c r="L1755" s="293"/>
      <c r="M1755" s="287"/>
      <c r="O1755" s="286"/>
      <c r="P1755" s="269"/>
      <c r="Q1755" s="269"/>
      <c r="R1755" s="269"/>
    </row>
    <row r="1756" spans="1:18" s="285" customFormat="1" ht="39.6" customHeight="1" x14ac:dyDescent="0.25">
      <c r="A1756" s="276"/>
      <c r="B1756" s="276"/>
      <c r="C1756" s="276"/>
      <c r="D1756" s="288"/>
      <c r="E1756" s="290"/>
      <c r="F1756" s="266"/>
      <c r="G1756" s="288"/>
      <c r="H1756" s="291"/>
      <c r="I1756" s="292"/>
      <c r="J1756" s="292"/>
      <c r="K1756" s="291"/>
      <c r="L1756" s="293"/>
      <c r="M1756" s="287"/>
      <c r="O1756" s="286"/>
      <c r="P1756" s="269"/>
      <c r="Q1756" s="269"/>
      <c r="R1756" s="269"/>
    </row>
    <row r="1757" spans="1:18" s="285" customFormat="1" ht="39.6" customHeight="1" x14ac:dyDescent="0.25">
      <c r="A1757" s="276"/>
      <c r="B1757" s="276"/>
      <c r="C1757" s="276"/>
      <c r="D1757" s="288"/>
      <c r="E1757" s="290"/>
      <c r="F1757" s="266"/>
      <c r="G1757" s="288"/>
      <c r="H1757" s="291"/>
      <c r="I1757" s="292"/>
      <c r="J1757" s="292"/>
      <c r="K1757" s="291"/>
      <c r="L1757" s="293"/>
      <c r="M1757" s="287"/>
      <c r="O1757" s="286"/>
      <c r="P1757" s="269"/>
      <c r="Q1757" s="269"/>
      <c r="R1757" s="269"/>
    </row>
    <row r="1758" spans="1:18" s="285" customFormat="1" ht="39.6" customHeight="1" x14ac:dyDescent="0.25">
      <c r="A1758" s="276"/>
      <c r="B1758" s="276"/>
      <c r="C1758" s="276"/>
      <c r="D1758" s="288"/>
      <c r="E1758" s="290"/>
      <c r="F1758" s="266"/>
      <c r="G1758" s="288"/>
      <c r="H1758" s="291"/>
      <c r="I1758" s="292"/>
      <c r="J1758" s="292"/>
      <c r="K1758" s="291"/>
      <c r="L1758" s="293"/>
      <c r="M1758" s="287"/>
      <c r="O1758" s="286"/>
      <c r="P1758" s="269"/>
      <c r="Q1758" s="269"/>
      <c r="R1758" s="269"/>
    </row>
    <row r="1759" spans="1:18" s="285" customFormat="1" ht="39.6" customHeight="1" x14ac:dyDescent="0.25">
      <c r="A1759" s="276"/>
      <c r="B1759" s="276"/>
      <c r="C1759" s="276"/>
      <c r="D1759" s="288"/>
      <c r="E1759" s="290"/>
      <c r="F1759" s="266"/>
      <c r="G1759" s="288"/>
      <c r="H1759" s="291"/>
      <c r="I1759" s="292"/>
      <c r="J1759" s="292"/>
      <c r="K1759" s="291"/>
      <c r="L1759" s="293"/>
      <c r="M1759" s="287"/>
      <c r="O1759" s="286"/>
      <c r="P1759" s="269"/>
      <c r="Q1759" s="269"/>
      <c r="R1759" s="269"/>
    </row>
    <row r="1760" spans="1:18" s="285" customFormat="1" ht="39.6" customHeight="1" x14ac:dyDescent="0.25">
      <c r="A1760" s="276"/>
      <c r="B1760" s="276"/>
      <c r="C1760" s="276"/>
      <c r="D1760" s="288"/>
      <c r="E1760" s="290"/>
      <c r="F1760" s="266"/>
      <c r="G1760" s="288"/>
      <c r="H1760" s="291"/>
      <c r="I1760" s="292"/>
      <c r="J1760" s="292"/>
      <c r="K1760" s="291"/>
      <c r="L1760" s="293"/>
      <c r="M1760" s="287"/>
      <c r="O1760" s="286"/>
      <c r="P1760" s="269"/>
      <c r="Q1760" s="269"/>
      <c r="R1760" s="269"/>
    </row>
    <row r="1761" spans="1:18" s="285" customFormat="1" ht="39.6" customHeight="1" x14ac:dyDescent="0.25">
      <c r="A1761" s="276"/>
      <c r="B1761" s="276"/>
      <c r="C1761" s="276"/>
      <c r="D1761" s="288"/>
      <c r="E1761" s="290"/>
      <c r="F1761" s="266"/>
      <c r="G1761" s="288"/>
      <c r="H1761" s="291"/>
      <c r="I1761" s="292"/>
      <c r="J1761" s="292"/>
      <c r="K1761" s="291"/>
      <c r="L1761" s="293"/>
      <c r="M1761" s="287"/>
      <c r="O1761" s="286"/>
      <c r="P1761" s="269"/>
      <c r="Q1761" s="269"/>
      <c r="R1761" s="269"/>
    </row>
    <row r="1762" spans="1:18" s="285" customFormat="1" ht="39.6" customHeight="1" x14ac:dyDescent="0.25">
      <c r="A1762" s="276"/>
      <c r="B1762" s="276"/>
      <c r="C1762" s="276"/>
      <c r="D1762" s="288"/>
      <c r="E1762" s="290"/>
      <c r="F1762" s="266"/>
      <c r="G1762" s="288"/>
      <c r="H1762" s="291"/>
      <c r="I1762" s="292"/>
      <c r="J1762" s="292"/>
      <c r="K1762" s="291"/>
      <c r="L1762" s="293"/>
      <c r="M1762" s="287"/>
      <c r="O1762" s="286"/>
      <c r="P1762" s="269"/>
      <c r="Q1762" s="269"/>
      <c r="R1762" s="269"/>
    </row>
    <row r="1763" spans="1:18" s="285" customFormat="1" ht="39.6" customHeight="1" x14ac:dyDescent="0.25">
      <c r="A1763" s="276"/>
      <c r="B1763" s="276"/>
      <c r="C1763" s="276"/>
      <c r="D1763" s="288"/>
      <c r="E1763" s="290"/>
      <c r="F1763" s="266"/>
      <c r="G1763" s="288"/>
      <c r="H1763" s="291"/>
      <c r="I1763" s="292"/>
      <c r="J1763" s="292"/>
      <c r="K1763" s="291"/>
      <c r="L1763" s="293"/>
      <c r="M1763" s="287"/>
      <c r="O1763" s="286"/>
      <c r="P1763" s="269"/>
      <c r="Q1763" s="269"/>
      <c r="R1763" s="269"/>
    </row>
    <row r="1764" spans="1:18" s="285" customFormat="1" ht="39.6" customHeight="1" x14ac:dyDescent="0.25">
      <c r="A1764" s="276"/>
      <c r="B1764" s="276"/>
      <c r="C1764" s="276"/>
      <c r="D1764" s="288"/>
      <c r="E1764" s="290"/>
      <c r="F1764" s="266"/>
      <c r="G1764" s="288"/>
      <c r="H1764" s="291"/>
      <c r="I1764" s="292"/>
      <c r="J1764" s="292"/>
      <c r="K1764" s="291"/>
      <c r="L1764" s="293"/>
      <c r="M1764" s="287"/>
      <c r="O1764" s="286"/>
      <c r="P1764" s="269"/>
      <c r="Q1764" s="269"/>
      <c r="R1764" s="269"/>
    </row>
    <row r="1765" spans="1:18" s="285" customFormat="1" ht="39.6" customHeight="1" x14ac:dyDescent="0.25">
      <c r="A1765" s="276"/>
      <c r="B1765" s="276"/>
      <c r="C1765" s="276"/>
      <c r="D1765" s="288"/>
      <c r="E1765" s="290"/>
      <c r="F1765" s="266"/>
      <c r="G1765" s="288"/>
      <c r="H1765" s="291"/>
      <c r="I1765" s="292"/>
      <c r="J1765" s="292"/>
      <c r="K1765" s="291"/>
      <c r="L1765" s="293"/>
      <c r="M1765" s="287"/>
      <c r="O1765" s="286"/>
      <c r="P1765" s="269"/>
      <c r="Q1765" s="269"/>
      <c r="R1765" s="269"/>
    </row>
    <row r="1766" spans="1:18" s="285" customFormat="1" ht="39.6" customHeight="1" x14ac:dyDescent="0.25">
      <c r="A1766" s="276"/>
      <c r="B1766" s="276"/>
      <c r="C1766" s="276"/>
      <c r="D1766" s="288"/>
      <c r="E1766" s="290"/>
      <c r="F1766" s="266"/>
      <c r="G1766" s="288"/>
      <c r="H1766" s="291"/>
      <c r="I1766" s="292"/>
      <c r="J1766" s="292"/>
      <c r="K1766" s="291"/>
      <c r="L1766" s="293"/>
      <c r="M1766" s="287"/>
      <c r="O1766" s="286"/>
      <c r="P1766" s="269"/>
      <c r="Q1766" s="269"/>
      <c r="R1766" s="269"/>
    </row>
    <row r="1767" spans="1:18" s="285" customFormat="1" ht="39.6" customHeight="1" x14ac:dyDescent="0.25">
      <c r="A1767" s="276"/>
      <c r="B1767" s="276"/>
      <c r="C1767" s="276"/>
      <c r="D1767" s="288"/>
      <c r="E1767" s="290"/>
      <c r="F1767" s="266"/>
      <c r="G1767" s="288"/>
      <c r="H1767" s="291"/>
      <c r="I1767" s="292"/>
      <c r="J1767" s="292"/>
      <c r="K1767" s="291"/>
      <c r="L1767" s="293"/>
      <c r="M1767" s="287"/>
      <c r="O1767" s="286"/>
      <c r="P1767" s="269"/>
      <c r="Q1767" s="269"/>
      <c r="R1767" s="269"/>
    </row>
    <row r="1768" spans="1:18" s="285" customFormat="1" ht="39.6" customHeight="1" x14ac:dyDescent="0.25">
      <c r="A1768" s="276"/>
      <c r="B1768" s="276"/>
      <c r="C1768" s="276"/>
      <c r="D1768" s="288"/>
      <c r="E1768" s="290"/>
      <c r="F1768" s="266"/>
      <c r="G1768" s="288"/>
      <c r="H1768" s="291"/>
      <c r="I1768" s="292"/>
      <c r="J1768" s="292"/>
      <c r="K1768" s="291"/>
      <c r="L1768" s="293"/>
      <c r="M1768" s="287"/>
      <c r="O1768" s="286"/>
      <c r="P1768" s="269"/>
      <c r="Q1768" s="269"/>
      <c r="R1768" s="269"/>
    </row>
    <row r="1769" spans="1:18" s="285" customFormat="1" ht="39.6" customHeight="1" x14ac:dyDescent="0.25">
      <c r="A1769" s="276"/>
      <c r="B1769" s="276"/>
      <c r="C1769" s="276"/>
      <c r="D1769" s="288"/>
      <c r="E1769" s="290"/>
      <c r="F1769" s="266"/>
      <c r="G1769" s="288"/>
      <c r="H1769" s="291"/>
      <c r="I1769" s="292"/>
      <c r="J1769" s="292"/>
      <c r="K1769" s="291"/>
      <c r="L1769" s="293"/>
      <c r="M1769" s="287"/>
      <c r="O1769" s="286"/>
      <c r="P1769" s="269"/>
      <c r="Q1769" s="269"/>
      <c r="R1769" s="269"/>
    </row>
    <row r="1770" spans="1:18" s="285" customFormat="1" ht="39.6" customHeight="1" x14ac:dyDescent="0.25">
      <c r="A1770" s="276"/>
      <c r="B1770" s="276"/>
      <c r="C1770" s="276"/>
      <c r="D1770" s="288"/>
      <c r="E1770" s="290"/>
      <c r="F1770" s="266"/>
      <c r="G1770" s="288"/>
      <c r="H1770" s="291"/>
      <c r="I1770" s="292"/>
      <c r="J1770" s="292"/>
      <c r="K1770" s="291"/>
      <c r="L1770" s="293"/>
      <c r="M1770" s="287"/>
      <c r="O1770" s="286"/>
      <c r="P1770" s="269"/>
      <c r="Q1770" s="269"/>
      <c r="R1770" s="269"/>
    </row>
    <row r="1771" spans="1:18" s="285" customFormat="1" ht="39.6" customHeight="1" x14ac:dyDescent="0.25">
      <c r="A1771" s="276"/>
      <c r="B1771" s="276"/>
      <c r="C1771" s="276"/>
      <c r="D1771" s="288"/>
      <c r="E1771" s="290"/>
      <c r="F1771" s="266"/>
      <c r="G1771" s="288"/>
      <c r="H1771" s="291"/>
      <c r="I1771" s="292"/>
      <c r="J1771" s="292"/>
      <c r="K1771" s="291"/>
      <c r="L1771" s="293"/>
      <c r="M1771" s="287"/>
      <c r="O1771" s="286"/>
      <c r="P1771" s="269"/>
      <c r="Q1771" s="269"/>
      <c r="R1771" s="269"/>
    </row>
    <row r="1772" spans="1:18" s="285" customFormat="1" ht="39.6" customHeight="1" x14ac:dyDescent="0.25">
      <c r="A1772" s="276"/>
      <c r="B1772" s="276"/>
      <c r="C1772" s="276"/>
      <c r="D1772" s="288"/>
      <c r="E1772" s="290"/>
      <c r="F1772" s="266"/>
      <c r="G1772" s="288"/>
      <c r="H1772" s="291"/>
      <c r="I1772" s="292"/>
      <c r="J1772" s="292"/>
      <c r="K1772" s="291"/>
      <c r="L1772" s="293"/>
      <c r="M1772" s="287"/>
      <c r="O1772" s="286"/>
      <c r="P1772" s="269"/>
      <c r="Q1772" s="269"/>
      <c r="R1772" s="269"/>
    </row>
    <row r="1773" spans="1:18" s="285" customFormat="1" ht="39.6" customHeight="1" x14ac:dyDescent="0.25">
      <c r="A1773" s="276"/>
      <c r="B1773" s="276"/>
      <c r="C1773" s="276"/>
      <c r="D1773" s="288"/>
      <c r="E1773" s="290"/>
      <c r="F1773" s="266"/>
      <c r="G1773" s="288"/>
      <c r="H1773" s="291"/>
      <c r="I1773" s="292"/>
      <c r="J1773" s="292"/>
      <c r="K1773" s="291"/>
      <c r="L1773" s="293"/>
      <c r="M1773" s="287"/>
      <c r="O1773" s="286"/>
      <c r="P1773" s="269"/>
      <c r="Q1773" s="269"/>
      <c r="R1773" s="269"/>
    </row>
    <row r="1774" spans="1:18" s="285" customFormat="1" ht="39.6" customHeight="1" x14ac:dyDescent="0.25">
      <c r="A1774" s="276"/>
      <c r="B1774" s="276"/>
      <c r="C1774" s="276"/>
      <c r="D1774" s="288"/>
      <c r="E1774" s="290"/>
      <c r="F1774" s="266"/>
      <c r="G1774" s="288"/>
      <c r="H1774" s="291"/>
      <c r="I1774" s="292"/>
      <c r="J1774" s="292"/>
      <c r="K1774" s="291"/>
      <c r="L1774" s="293"/>
      <c r="M1774" s="287"/>
      <c r="O1774" s="286"/>
      <c r="P1774" s="269"/>
      <c r="Q1774" s="269"/>
      <c r="R1774" s="269"/>
    </row>
    <row r="1775" spans="1:18" s="285" customFormat="1" ht="39.6" customHeight="1" x14ac:dyDescent="0.25">
      <c r="A1775" s="276"/>
      <c r="B1775" s="276"/>
      <c r="C1775" s="276"/>
      <c r="D1775" s="288"/>
      <c r="E1775" s="290"/>
      <c r="F1775" s="266"/>
      <c r="G1775" s="288"/>
      <c r="H1775" s="291"/>
      <c r="I1775" s="292"/>
      <c r="J1775" s="292"/>
      <c r="K1775" s="291"/>
      <c r="L1775" s="293"/>
      <c r="M1775" s="287"/>
      <c r="O1775" s="286"/>
      <c r="P1775" s="269"/>
      <c r="Q1775" s="269"/>
      <c r="R1775" s="269"/>
    </row>
    <row r="1776" spans="1:18" s="285" customFormat="1" ht="39.6" customHeight="1" x14ac:dyDescent="0.25">
      <c r="A1776" s="276"/>
      <c r="B1776" s="276"/>
      <c r="C1776" s="276"/>
      <c r="D1776" s="288"/>
      <c r="E1776" s="290"/>
      <c r="F1776" s="266"/>
      <c r="G1776" s="288"/>
      <c r="H1776" s="291"/>
      <c r="I1776" s="292"/>
      <c r="J1776" s="292"/>
      <c r="K1776" s="291"/>
      <c r="L1776" s="293"/>
      <c r="M1776" s="287"/>
      <c r="O1776" s="286"/>
      <c r="P1776" s="269"/>
      <c r="Q1776" s="269"/>
      <c r="R1776" s="269"/>
    </row>
    <row r="1777" spans="1:18" s="285" customFormat="1" ht="39.6" customHeight="1" x14ac:dyDescent="0.25">
      <c r="A1777" s="276"/>
      <c r="B1777" s="276"/>
      <c r="C1777" s="276"/>
      <c r="D1777" s="288"/>
      <c r="E1777" s="290"/>
      <c r="F1777" s="266"/>
      <c r="G1777" s="288"/>
      <c r="H1777" s="291"/>
      <c r="I1777" s="292"/>
      <c r="J1777" s="292"/>
      <c r="K1777" s="291"/>
      <c r="L1777" s="293"/>
      <c r="M1777" s="287"/>
      <c r="O1777" s="286"/>
      <c r="P1777" s="269"/>
      <c r="Q1777" s="269"/>
      <c r="R1777" s="269"/>
    </row>
    <row r="1778" spans="1:18" s="285" customFormat="1" ht="39.6" customHeight="1" x14ac:dyDescent="0.25">
      <c r="A1778" s="276"/>
      <c r="B1778" s="276"/>
      <c r="C1778" s="276"/>
      <c r="D1778" s="288"/>
      <c r="E1778" s="290"/>
      <c r="F1778" s="266"/>
      <c r="G1778" s="288"/>
      <c r="H1778" s="291"/>
      <c r="I1778" s="292"/>
      <c r="J1778" s="292"/>
      <c r="K1778" s="291"/>
      <c r="L1778" s="293"/>
      <c r="M1778" s="287"/>
      <c r="O1778" s="286"/>
      <c r="P1778" s="269"/>
      <c r="Q1778" s="269"/>
      <c r="R1778" s="269"/>
    </row>
    <row r="1779" spans="1:18" s="285" customFormat="1" ht="39.6" customHeight="1" x14ac:dyDescent="0.25">
      <c r="A1779" s="276"/>
      <c r="B1779" s="276"/>
      <c r="C1779" s="276"/>
      <c r="D1779" s="288"/>
      <c r="E1779" s="290"/>
      <c r="F1779" s="266"/>
      <c r="G1779" s="288"/>
      <c r="H1779" s="291"/>
      <c r="I1779" s="292"/>
      <c r="J1779" s="292"/>
      <c r="K1779" s="291"/>
      <c r="L1779" s="293"/>
      <c r="M1779" s="287"/>
      <c r="O1779" s="286"/>
      <c r="P1779" s="269"/>
      <c r="Q1779" s="269"/>
      <c r="R1779" s="269"/>
    </row>
    <row r="1780" spans="1:18" s="285" customFormat="1" ht="39.6" customHeight="1" x14ac:dyDescent="0.25">
      <c r="A1780" s="276"/>
      <c r="B1780" s="276"/>
      <c r="C1780" s="276"/>
      <c r="D1780" s="288"/>
      <c r="E1780" s="290"/>
      <c r="F1780" s="266"/>
      <c r="G1780" s="288"/>
      <c r="H1780" s="291"/>
      <c r="I1780" s="292"/>
      <c r="J1780" s="292"/>
      <c r="K1780" s="291"/>
      <c r="L1780" s="293"/>
      <c r="M1780" s="287"/>
      <c r="O1780" s="286"/>
      <c r="P1780" s="269"/>
      <c r="Q1780" s="269"/>
      <c r="R1780" s="269"/>
    </row>
    <row r="1781" spans="1:18" s="285" customFormat="1" ht="39.6" customHeight="1" x14ac:dyDescent="0.25">
      <c r="A1781" s="276"/>
      <c r="B1781" s="276"/>
      <c r="C1781" s="276"/>
      <c r="D1781" s="288"/>
      <c r="E1781" s="290"/>
      <c r="F1781" s="266"/>
      <c r="G1781" s="288"/>
      <c r="H1781" s="291"/>
      <c r="I1781" s="292"/>
      <c r="J1781" s="292"/>
      <c r="K1781" s="291"/>
      <c r="L1781" s="293"/>
      <c r="M1781" s="287"/>
      <c r="O1781" s="286"/>
      <c r="P1781" s="269"/>
      <c r="Q1781" s="269"/>
      <c r="R1781" s="269"/>
    </row>
    <row r="1782" spans="1:18" s="285" customFormat="1" ht="39.6" customHeight="1" x14ac:dyDescent="0.25">
      <c r="A1782" s="276"/>
      <c r="B1782" s="276"/>
      <c r="C1782" s="276"/>
      <c r="D1782" s="288"/>
      <c r="E1782" s="290"/>
      <c r="F1782" s="266"/>
      <c r="G1782" s="288"/>
      <c r="H1782" s="291"/>
      <c r="I1782" s="292"/>
      <c r="J1782" s="292"/>
      <c r="K1782" s="291"/>
      <c r="L1782" s="293"/>
      <c r="M1782" s="287"/>
      <c r="O1782" s="286"/>
      <c r="P1782" s="269"/>
      <c r="Q1782" s="269"/>
      <c r="R1782" s="269"/>
    </row>
    <row r="1783" spans="1:18" s="285" customFormat="1" ht="39.6" customHeight="1" x14ac:dyDescent="0.25">
      <c r="A1783" s="276"/>
      <c r="B1783" s="276"/>
      <c r="C1783" s="276"/>
      <c r="D1783" s="288"/>
      <c r="E1783" s="290"/>
      <c r="F1783" s="266"/>
      <c r="G1783" s="288"/>
      <c r="H1783" s="291"/>
      <c r="I1783" s="292"/>
      <c r="J1783" s="292"/>
      <c r="K1783" s="291"/>
      <c r="L1783" s="293"/>
      <c r="M1783" s="287"/>
      <c r="O1783" s="286"/>
      <c r="P1783" s="269"/>
      <c r="Q1783" s="269"/>
      <c r="R1783" s="269"/>
    </row>
    <row r="1784" spans="1:18" s="285" customFormat="1" ht="39.6" customHeight="1" x14ac:dyDescent="0.25">
      <c r="A1784" s="276"/>
      <c r="B1784" s="276"/>
      <c r="C1784" s="276"/>
      <c r="D1784" s="288"/>
      <c r="E1784" s="290"/>
      <c r="F1784" s="266"/>
      <c r="G1784" s="288"/>
      <c r="H1784" s="291"/>
      <c r="I1784" s="292"/>
      <c r="J1784" s="292"/>
      <c r="K1784" s="291"/>
      <c r="L1784" s="293"/>
      <c r="M1784" s="287"/>
      <c r="O1784" s="286"/>
      <c r="P1784" s="269"/>
      <c r="Q1784" s="269"/>
      <c r="R1784" s="269"/>
    </row>
    <row r="1785" spans="1:18" s="285" customFormat="1" ht="39.6" customHeight="1" x14ac:dyDescent="0.25">
      <c r="A1785" s="276"/>
      <c r="B1785" s="276"/>
      <c r="C1785" s="276"/>
      <c r="D1785" s="288"/>
      <c r="E1785" s="290"/>
      <c r="F1785" s="266"/>
      <c r="G1785" s="288"/>
      <c r="H1785" s="291"/>
      <c r="I1785" s="292"/>
      <c r="J1785" s="292"/>
      <c r="K1785" s="291"/>
      <c r="L1785" s="293"/>
      <c r="M1785" s="287"/>
      <c r="O1785" s="286"/>
      <c r="P1785" s="269"/>
      <c r="Q1785" s="269"/>
      <c r="R1785" s="269"/>
    </row>
    <row r="1786" spans="1:18" s="285" customFormat="1" ht="39.6" customHeight="1" x14ac:dyDescent="0.25">
      <c r="A1786" s="276"/>
      <c r="B1786" s="276"/>
      <c r="C1786" s="276"/>
      <c r="D1786" s="288"/>
      <c r="E1786" s="290"/>
      <c r="F1786" s="266"/>
      <c r="G1786" s="288"/>
      <c r="H1786" s="291"/>
      <c r="I1786" s="292"/>
      <c r="J1786" s="292"/>
      <c r="K1786" s="291"/>
      <c r="L1786" s="293"/>
      <c r="M1786" s="287"/>
      <c r="O1786" s="286"/>
      <c r="P1786" s="269"/>
      <c r="Q1786" s="269"/>
      <c r="R1786" s="269"/>
    </row>
    <row r="1787" spans="1:18" s="285" customFormat="1" ht="39.6" customHeight="1" x14ac:dyDescent="0.25">
      <c r="A1787" s="276"/>
      <c r="B1787" s="276"/>
      <c r="C1787" s="276"/>
      <c r="D1787" s="288"/>
      <c r="E1787" s="290"/>
      <c r="F1787" s="266"/>
      <c r="G1787" s="288"/>
      <c r="H1787" s="291"/>
      <c r="I1787" s="292"/>
      <c r="J1787" s="292"/>
      <c r="K1787" s="291"/>
      <c r="L1787" s="293"/>
      <c r="M1787" s="287"/>
      <c r="O1787" s="286"/>
      <c r="P1787" s="269"/>
      <c r="Q1787" s="269"/>
      <c r="R1787" s="269"/>
    </row>
    <row r="1788" spans="1:18" s="285" customFormat="1" ht="39.6" customHeight="1" x14ac:dyDescent="0.25">
      <c r="A1788" s="276"/>
      <c r="B1788" s="276"/>
      <c r="C1788" s="276"/>
      <c r="D1788" s="288"/>
      <c r="E1788" s="290"/>
      <c r="F1788" s="266"/>
      <c r="G1788" s="288"/>
      <c r="H1788" s="291"/>
      <c r="I1788" s="292"/>
      <c r="J1788" s="292"/>
      <c r="K1788" s="291"/>
      <c r="L1788" s="293"/>
      <c r="M1788" s="287"/>
      <c r="O1788" s="286"/>
      <c r="P1788" s="269"/>
      <c r="Q1788" s="269"/>
      <c r="R1788" s="269"/>
    </row>
    <row r="1789" spans="1:18" s="285" customFormat="1" ht="39.6" customHeight="1" x14ac:dyDescent="0.25">
      <c r="A1789" s="276"/>
      <c r="B1789" s="276"/>
      <c r="C1789" s="276"/>
      <c r="D1789" s="288"/>
      <c r="E1789" s="290"/>
      <c r="F1789" s="266"/>
      <c r="G1789" s="288"/>
      <c r="H1789" s="291"/>
      <c r="I1789" s="292"/>
      <c r="J1789" s="292"/>
      <c r="K1789" s="291"/>
      <c r="L1789" s="293"/>
      <c r="M1789" s="287"/>
      <c r="O1789" s="286"/>
      <c r="P1789" s="269"/>
      <c r="Q1789" s="269"/>
      <c r="R1789" s="269"/>
    </row>
    <row r="1790" spans="1:18" s="285" customFormat="1" ht="39.6" customHeight="1" x14ac:dyDescent="0.25">
      <c r="A1790" s="276"/>
      <c r="B1790" s="276"/>
      <c r="C1790" s="276"/>
      <c r="D1790" s="288"/>
      <c r="E1790" s="290"/>
      <c r="F1790" s="266"/>
      <c r="G1790" s="288"/>
      <c r="H1790" s="291"/>
      <c r="I1790" s="292"/>
      <c r="J1790" s="292"/>
      <c r="K1790" s="291"/>
      <c r="L1790" s="293"/>
      <c r="M1790" s="287"/>
      <c r="O1790" s="286"/>
      <c r="P1790" s="269"/>
      <c r="Q1790" s="269"/>
      <c r="R1790" s="269"/>
    </row>
    <row r="1791" spans="1:18" s="285" customFormat="1" ht="39.6" customHeight="1" x14ac:dyDescent="0.25">
      <c r="A1791" s="276"/>
      <c r="B1791" s="276"/>
      <c r="C1791" s="276"/>
      <c r="D1791" s="288"/>
      <c r="E1791" s="290"/>
      <c r="F1791" s="266"/>
      <c r="G1791" s="288"/>
      <c r="H1791" s="291"/>
      <c r="I1791" s="292"/>
      <c r="J1791" s="292"/>
      <c r="K1791" s="291"/>
      <c r="L1791" s="293"/>
      <c r="M1791" s="287"/>
      <c r="O1791" s="286"/>
      <c r="P1791" s="269"/>
      <c r="Q1791" s="269"/>
      <c r="R1791" s="269"/>
    </row>
    <row r="1792" spans="1:18" s="285" customFormat="1" ht="39.6" customHeight="1" x14ac:dyDescent="0.25">
      <c r="A1792" s="276"/>
      <c r="B1792" s="276"/>
      <c r="C1792" s="276"/>
      <c r="D1792" s="288"/>
      <c r="E1792" s="290"/>
      <c r="F1792" s="266"/>
      <c r="G1792" s="288"/>
      <c r="H1792" s="291"/>
      <c r="I1792" s="292"/>
      <c r="J1792" s="292"/>
      <c r="K1792" s="291"/>
      <c r="L1792" s="293"/>
      <c r="M1792" s="287"/>
      <c r="O1792" s="286"/>
      <c r="P1792" s="269"/>
      <c r="Q1792" s="269"/>
      <c r="R1792" s="269"/>
    </row>
    <row r="1793" spans="1:18" s="285" customFormat="1" ht="39.6" customHeight="1" x14ac:dyDescent="0.25">
      <c r="A1793" s="276"/>
      <c r="B1793" s="276"/>
      <c r="C1793" s="276"/>
      <c r="D1793" s="288"/>
      <c r="E1793" s="290"/>
      <c r="F1793" s="266"/>
      <c r="G1793" s="288"/>
      <c r="H1793" s="291"/>
      <c r="I1793" s="292"/>
      <c r="J1793" s="292"/>
      <c r="K1793" s="291"/>
      <c r="L1793" s="293"/>
      <c r="M1793" s="287"/>
      <c r="O1793" s="286"/>
      <c r="P1793" s="269"/>
      <c r="Q1793" s="269"/>
      <c r="R1793" s="269"/>
    </row>
    <row r="1794" spans="1:18" s="285" customFormat="1" ht="39.6" customHeight="1" x14ac:dyDescent="0.25">
      <c r="A1794" s="276"/>
      <c r="B1794" s="276"/>
      <c r="C1794" s="276"/>
      <c r="D1794" s="288"/>
      <c r="E1794" s="290"/>
      <c r="F1794" s="266"/>
      <c r="G1794" s="288"/>
      <c r="H1794" s="291"/>
      <c r="I1794" s="292"/>
      <c r="J1794" s="292"/>
      <c r="K1794" s="291"/>
      <c r="L1794" s="293"/>
      <c r="M1794" s="287"/>
      <c r="O1794" s="286"/>
      <c r="P1794" s="269"/>
      <c r="Q1794" s="269"/>
      <c r="R1794" s="269"/>
    </row>
    <row r="1795" spans="1:18" s="285" customFormat="1" ht="39.6" customHeight="1" x14ac:dyDescent="0.25">
      <c r="A1795" s="276"/>
      <c r="B1795" s="276"/>
      <c r="C1795" s="276"/>
      <c r="D1795" s="288"/>
      <c r="E1795" s="290"/>
      <c r="F1795" s="266"/>
      <c r="G1795" s="288"/>
      <c r="H1795" s="291"/>
      <c r="I1795" s="292"/>
      <c r="J1795" s="292"/>
      <c r="K1795" s="291"/>
      <c r="L1795" s="293"/>
      <c r="M1795" s="287"/>
      <c r="O1795" s="286"/>
      <c r="P1795" s="269"/>
      <c r="Q1795" s="269"/>
      <c r="R1795" s="269"/>
    </row>
    <row r="1796" spans="1:18" s="285" customFormat="1" ht="39.6" customHeight="1" x14ac:dyDescent="0.25">
      <c r="A1796" s="276"/>
      <c r="B1796" s="276"/>
      <c r="C1796" s="276"/>
      <c r="D1796" s="288"/>
      <c r="E1796" s="290"/>
      <c r="F1796" s="266"/>
      <c r="G1796" s="288"/>
      <c r="H1796" s="291"/>
      <c r="I1796" s="292"/>
      <c r="J1796" s="292"/>
      <c r="K1796" s="291"/>
      <c r="L1796" s="293"/>
      <c r="M1796" s="287"/>
      <c r="O1796" s="286"/>
      <c r="P1796" s="269"/>
      <c r="Q1796" s="269"/>
      <c r="R1796" s="269"/>
    </row>
    <row r="1797" spans="1:18" s="285" customFormat="1" ht="39.6" customHeight="1" x14ac:dyDescent="0.25">
      <c r="A1797" s="276"/>
      <c r="B1797" s="276"/>
      <c r="C1797" s="276"/>
      <c r="D1797" s="288"/>
      <c r="E1797" s="290"/>
      <c r="F1797" s="266"/>
      <c r="G1797" s="288"/>
      <c r="H1797" s="291"/>
      <c r="I1797" s="292"/>
      <c r="J1797" s="292"/>
      <c r="K1797" s="291"/>
      <c r="L1797" s="293"/>
      <c r="M1797" s="287"/>
      <c r="O1797" s="286"/>
      <c r="P1797" s="269"/>
      <c r="Q1797" s="269"/>
      <c r="R1797" s="269"/>
    </row>
    <row r="1798" spans="1:18" s="285" customFormat="1" ht="39.6" customHeight="1" x14ac:dyDescent="0.25">
      <c r="A1798" s="276"/>
      <c r="B1798" s="276"/>
      <c r="C1798" s="276"/>
      <c r="D1798" s="288"/>
      <c r="E1798" s="290"/>
      <c r="F1798" s="266"/>
      <c r="G1798" s="288"/>
      <c r="H1798" s="291"/>
      <c r="I1798" s="292"/>
      <c r="J1798" s="292"/>
      <c r="K1798" s="291"/>
      <c r="L1798" s="293"/>
      <c r="M1798" s="287"/>
      <c r="O1798" s="286"/>
      <c r="P1798" s="269"/>
      <c r="Q1798" s="269"/>
      <c r="R1798" s="269"/>
    </row>
    <row r="1799" spans="1:18" s="285" customFormat="1" ht="39.6" customHeight="1" x14ac:dyDescent="0.25">
      <c r="A1799" s="276"/>
      <c r="B1799" s="276"/>
      <c r="C1799" s="276"/>
      <c r="D1799" s="288"/>
      <c r="E1799" s="290"/>
      <c r="F1799" s="266"/>
      <c r="G1799" s="288"/>
      <c r="H1799" s="291"/>
      <c r="I1799" s="292"/>
      <c r="J1799" s="292"/>
      <c r="K1799" s="291"/>
      <c r="L1799" s="293"/>
      <c r="M1799" s="287"/>
      <c r="O1799" s="286"/>
      <c r="P1799" s="269"/>
      <c r="Q1799" s="269"/>
      <c r="R1799" s="269"/>
    </row>
    <row r="1800" spans="1:18" s="285" customFormat="1" ht="39.6" customHeight="1" x14ac:dyDescent="0.25">
      <c r="A1800" s="276"/>
      <c r="B1800" s="276"/>
      <c r="C1800" s="276"/>
      <c r="D1800" s="288"/>
      <c r="E1800" s="290"/>
      <c r="F1800" s="266"/>
      <c r="G1800" s="288"/>
      <c r="H1800" s="291"/>
      <c r="I1800" s="292"/>
      <c r="J1800" s="292"/>
      <c r="K1800" s="291"/>
      <c r="L1800" s="293"/>
      <c r="M1800" s="287"/>
      <c r="O1800" s="286"/>
      <c r="P1800" s="269"/>
      <c r="Q1800" s="269"/>
      <c r="R1800" s="269"/>
    </row>
    <row r="1801" spans="1:18" s="285" customFormat="1" ht="39.6" customHeight="1" x14ac:dyDescent="0.25">
      <c r="A1801" s="276"/>
      <c r="B1801" s="276"/>
      <c r="C1801" s="276"/>
      <c r="D1801" s="288"/>
      <c r="E1801" s="290"/>
      <c r="F1801" s="266"/>
      <c r="G1801" s="288"/>
      <c r="H1801" s="291"/>
      <c r="I1801" s="292"/>
      <c r="J1801" s="292"/>
      <c r="K1801" s="291"/>
      <c r="L1801" s="293"/>
      <c r="M1801" s="287"/>
      <c r="O1801" s="286"/>
      <c r="P1801" s="269"/>
      <c r="Q1801" s="269"/>
      <c r="R1801" s="269"/>
    </row>
    <row r="1802" spans="1:18" s="285" customFormat="1" ht="39.6" customHeight="1" x14ac:dyDescent="0.25">
      <c r="A1802" s="276"/>
      <c r="B1802" s="276"/>
      <c r="C1802" s="276"/>
      <c r="D1802" s="288"/>
      <c r="E1802" s="290"/>
      <c r="F1802" s="266"/>
      <c r="G1802" s="288"/>
      <c r="H1802" s="291"/>
      <c r="I1802" s="292"/>
      <c r="J1802" s="292"/>
      <c r="K1802" s="291"/>
      <c r="L1802" s="293"/>
      <c r="M1802" s="287"/>
      <c r="O1802" s="286"/>
      <c r="P1802" s="269"/>
      <c r="Q1802" s="269"/>
      <c r="R1802" s="269"/>
    </row>
    <row r="1803" spans="1:18" s="285" customFormat="1" ht="39.6" customHeight="1" x14ac:dyDescent="0.25">
      <c r="A1803" s="276"/>
      <c r="B1803" s="276"/>
      <c r="C1803" s="276"/>
      <c r="D1803" s="288"/>
      <c r="E1803" s="290"/>
      <c r="F1803" s="266"/>
      <c r="G1803" s="288"/>
      <c r="H1803" s="291"/>
      <c r="I1803" s="292"/>
      <c r="J1803" s="292"/>
      <c r="K1803" s="291"/>
      <c r="L1803" s="293"/>
      <c r="M1803" s="287"/>
      <c r="O1803" s="286"/>
      <c r="P1803" s="269"/>
      <c r="Q1803" s="269"/>
      <c r="R1803" s="269"/>
    </row>
    <row r="1804" spans="1:18" s="285" customFormat="1" ht="39.6" customHeight="1" x14ac:dyDescent="0.25">
      <c r="A1804" s="276"/>
      <c r="B1804" s="276"/>
      <c r="C1804" s="276"/>
      <c r="D1804" s="288"/>
      <c r="E1804" s="290"/>
      <c r="F1804" s="266"/>
      <c r="G1804" s="288"/>
      <c r="H1804" s="291"/>
      <c r="I1804" s="292"/>
      <c r="J1804" s="292"/>
      <c r="K1804" s="291"/>
      <c r="L1804" s="293"/>
      <c r="M1804" s="287"/>
      <c r="O1804" s="286"/>
      <c r="P1804" s="269"/>
      <c r="Q1804" s="269"/>
      <c r="R1804" s="269"/>
    </row>
    <row r="1805" spans="1:18" s="285" customFormat="1" ht="39.6" customHeight="1" x14ac:dyDescent="0.25">
      <c r="A1805" s="276"/>
      <c r="B1805" s="276"/>
      <c r="C1805" s="276"/>
      <c r="D1805" s="288"/>
      <c r="E1805" s="290"/>
      <c r="F1805" s="266"/>
      <c r="G1805" s="288"/>
      <c r="H1805" s="291"/>
      <c r="I1805" s="292"/>
      <c r="J1805" s="292"/>
      <c r="K1805" s="291"/>
      <c r="L1805" s="293"/>
      <c r="M1805" s="287"/>
      <c r="O1805" s="286"/>
      <c r="P1805" s="269"/>
      <c r="Q1805" s="269"/>
      <c r="R1805" s="269"/>
    </row>
    <row r="1806" spans="1:18" s="285" customFormat="1" ht="39.6" customHeight="1" x14ac:dyDescent="0.25">
      <c r="A1806" s="276"/>
      <c r="B1806" s="276"/>
      <c r="C1806" s="276"/>
      <c r="D1806" s="288"/>
      <c r="E1806" s="290"/>
      <c r="F1806" s="266"/>
      <c r="G1806" s="288"/>
      <c r="H1806" s="291"/>
      <c r="I1806" s="292"/>
      <c r="J1806" s="292"/>
      <c r="K1806" s="291"/>
      <c r="L1806" s="293"/>
      <c r="M1806" s="287"/>
      <c r="O1806" s="286"/>
      <c r="P1806" s="269"/>
      <c r="Q1806" s="269"/>
      <c r="R1806" s="269"/>
    </row>
    <row r="1807" spans="1:18" s="285" customFormat="1" ht="39.6" customHeight="1" x14ac:dyDescent="0.25">
      <c r="A1807" s="276"/>
      <c r="B1807" s="276"/>
      <c r="C1807" s="276"/>
      <c r="D1807" s="288"/>
      <c r="E1807" s="290"/>
      <c r="F1807" s="266"/>
      <c r="G1807" s="288"/>
      <c r="H1807" s="291"/>
      <c r="I1807" s="292"/>
      <c r="J1807" s="292"/>
      <c r="K1807" s="291"/>
      <c r="L1807" s="293"/>
      <c r="M1807" s="287"/>
      <c r="O1807" s="286"/>
      <c r="P1807" s="269"/>
      <c r="Q1807" s="269"/>
      <c r="R1807" s="269"/>
    </row>
    <row r="1808" spans="1:18" s="285" customFormat="1" ht="39.6" customHeight="1" x14ac:dyDescent="0.25">
      <c r="A1808" s="276"/>
      <c r="B1808" s="276"/>
      <c r="C1808" s="276"/>
      <c r="D1808" s="288"/>
      <c r="E1808" s="290"/>
      <c r="F1808" s="266"/>
      <c r="G1808" s="288"/>
      <c r="H1808" s="291"/>
      <c r="I1808" s="292"/>
      <c r="J1808" s="292"/>
      <c r="K1808" s="291"/>
      <c r="L1808" s="293"/>
      <c r="M1808" s="287"/>
      <c r="O1808" s="286"/>
      <c r="P1808" s="269"/>
      <c r="Q1808" s="269"/>
      <c r="R1808" s="269"/>
    </row>
    <row r="1809" spans="1:18" s="285" customFormat="1" ht="39.6" customHeight="1" x14ac:dyDescent="0.25">
      <c r="A1809" s="276"/>
      <c r="B1809" s="276"/>
      <c r="C1809" s="276"/>
      <c r="D1809" s="288"/>
      <c r="E1809" s="290"/>
      <c r="F1809" s="266"/>
      <c r="G1809" s="288"/>
      <c r="H1809" s="291"/>
      <c r="I1809" s="292"/>
      <c r="J1809" s="292"/>
      <c r="K1809" s="291"/>
      <c r="L1809" s="293"/>
      <c r="M1809" s="287"/>
      <c r="O1809" s="286"/>
      <c r="P1809" s="269"/>
      <c r="Q1809" s="269"/>
      <c r="R1809" s="269"/>
    </row>
    <row r="1810" spans="1:18" s="285" customFormat="1" ht="39.6" customHeight="1" x14ac:dyDescent="0.25">
      <c r="A1810" s="276"/>
      <c r="B1810" s="276"/>
      <c r="C1810" s="276"/>
      <c r="D1810" s="288"/>
      <c r="E1810" s="290"/>
      <c r="F1810" s="266"/>
      <c r="G1810" s="288"/>
      <c r="H1810" s="291"/>
      <c r="I1810" s="292"/>
      <c r="J1810" s="292"/>
      <c r="K1810" s="291"/>
      <c r="L1810" s="293"/>
      <c r="M1810" s="287"/>
      <c r="O1810" s="286"/>
      <c r="P1810" s="269"/>
      <c r="Q1810" s="269"/>
      <c r="R1810" s="269"/>
    </row>
    <row r="1811" spans="1:18" s="285" customFormat="1" ht="39.6" customHeight="1" x14ac:dyDescent="0.25">
      <c r="A1811" s="276"/>
      <c r="B1811" s="276"/>
      <c r="C1811" s="276"/>
      <c r="D1811" s="288"/>
      <c r="E1811" s="290"/>
      <c r="F1811" s="266"/>
      <c r="G1811" s="288"/>
      <c r="H1811" s="291"/>
      <c r="I1811" s="292"/>
      <c r="J1811" s="292"/>
      <c r="K1811" s="291"/>
      <c r="L1811" s="293"/>
      <c r="M1811" s="287"/>
      <c r="O1811" s="286"/>
      <c r="P1811" s="269"/>
      <c r="Q1811" s="269"/>
      <c r="R1811" s="269"/>
    </row>
    <row r="1812" spans="1:18" s="285" customFormat="1" ht="39.6" customHeight="1" x14ac:dyDescent="0.25">
      <c r="A1812" s="276"/>
      <c r="B1812" s="276"/>
      <c r="C1812" s="276"/>
      <c r="D1812" s="288"/>
      <c r="E1812" s="290"/>
      <c r="F1812" s="266"/>
      <c r="G1812" s="288"/>
      <c r="H1812" s="291"/>
      <c r="I1812" s="292"/>
      <c r="J1812" s="292"/>
      <c r="K1812" s="291"/>
      <c r="L1812" s="293"/>
      <c r="M1812" s="287"/>
      <c r="O1812" s="286"/>
      <c r="P1812" s="269"/>
      <c r="Q1812" s="269"/>
      <c r="R1812" s="269"/>
    </row>
    <row r="1813" spans="1:18" s="285" customFormat="1" ht="39.6" customHeight="1" x14ac:dyDescent="0.25">
      <c r="A1813" s="276"/>
      <c r="B1813" s="276"/>
      <c r="C1813" s="276"/>
      <c r="D1813" s="288"/>
      <c r="E1813" s="290"/>
      <c r="F1813" s="266"/>
      <c r="G1813" s="288"/>
      <c r="H1813" s="291"/>
      <c r="I1813" s="292"/>
      <c r="J1813" s="292"/>
      <c r="K1813" s="291"/>
      <c r="L1813" s="293"/>
      <c r="M1813" s="287"/>
      <c r="O1813" s="286"/>
      <c r="P1813" s="269"/>
      <c r="Q1813" s="269"/>
      <c r="R1813" s="269"/>
    </row>
    <row r="1814" spans="1:18" s="285" customFormat="1" ht="39.6" customHeight="1" x14ac:dyDescent="0.25">
      <c r="A1814" s="276"/>
      <c r="B1814" s="276"/>
      <c r="C1814" s="276"/>
      <c r="D1814" s="288"/>
      <c r="E1814" s="290"/>
      <c r="F1814" s="266"/>
      <c r="G1814" s="288"/>
      <c r="H1814" s="291"/>
      <c r="I1814" s="292"/>
      <c r="J1814" s="292"/>
      <c r="K1814" s="291"/>
      <c r="L1814" s="293"/>
      <c r="M1814" s="287"/>
      <c r="O1814" s="286"/>
      <c r="P1814" s="269"/>
      <c r="Q1814" s="269"/>
      <c r="R1814" s="269"/>
    </row>
    <row r="1815" spans="1:18" s="285" customFormat="1" ht="39.6" customHeight="1" x14ac:dyDescent="0.25">
      <c r="A1815" s="276"/>
      <c r="B1815" s="276"/>
      <c r="C1815" s="276"/>
      <c r="D1815" s="288"/>
      <c r="E1815" s="290"/>
      <c r="F1815" s="266"/>
      <c r="G1815" s="288"/>
      <c r="H1815" s="291"/>
      <c r="I1815" s="292"/>
      <c r="J1815" s="292"/>
      <c r="K1815" s="291"/>
      <c r="L1815" s="293"/>
      <c r="M1815" s="287"/>
      <c r="O1815" s="286"/>
      <c r="P1815" s="269"/>
      <c r="Q1815" s="269"/>
      <c r="R1815" s="269"/>
    </row>
    <row r="1816" spans="1:18" s="285" customFormat="1" ht="39.6" customHeight="1" x14ac:dyDescent="0.25">
      <c r="A1816" s="276"/>
      <c r="B1816" s="276"/>
      <c r="C1816" s="276"/>
      <c r="D1816" s="288"/>
      <c r="E1816" s="290"/>
      <c r="F1816" s="266"/>
      <c r="G1816" s="288"/>
      <c r="H1816" s="291"/>
      <c r="I1816" s="292"/>
      <c r="J1816" s="292"/>
      <c r="K1816" s="291"/>
      <c r="L1816" s="293"/>
      <c r="M1816" s="287"/>
      <c r="O1816" s="286"/>
      <c r="P1816" s="269"/>
      <c r="Q1816" s="269"/>
      <c r="R1816" s="269"/>
    </row>
    <row r="1817" spans="1:18" s="285" customFormat="1" ht="39.6" customHeight="1" x14ac:dyDescent="0.25">
      <c r="A1817" s="276"/>
      <c r="B1817" s="276"/>
      <c r="C1817" s="276"/>
      <c r="D1817" s="288"/>
      <c r="E1817" s="290"/>
      <c r="F1817" s="266"/>
      <c r="G1817" s="288"/>
      <c r="H1817" s="291"/>
      <c r="I1817" s="292"/>
      <c r="J1817" s="292"/>
      <c r="K1817" s="291"/>
      <c r="L1817" s="293"/>
      <c r="M1817" s="287"/>
      <c r="O1817" s="286"/>
      <c r="P1817" s="269"/>
      <c r="Q1817" s="269"/>
      <c r="R1817" s="269"/>
    </row>
    <row r="1818" spans="1:18" s="285" customFormat="1" ht="39.6" customHeight="1" x14ac:dyDescent="0.25">
      <c r="A1818" s="276"/>
      <c r="B1818" s="276"/>
      <c r="C1818" s="276"/>
      <c r="D1818" s="288"/>
      <c r="E1818" s="290"/>
      <c r="F1818" s="266"/>
      <c r="G1818" s="288"/>
      <c r="H1818" s="291"/>
      <c r="I1818" s="292"/>
      <c r="J1818" s="292"/>
      <c r="K1818" s="291"/>
      <c r="L1818" s="293"/>
      <c r="M1818" s="287"/>
      <c r="O1818" s="286"/>
      <c r="P1818" s="269"/>
      <c r="Q1818" s="269"/>
      <c r="R1818" s="269"/>
    </row>
    <row r="1819" spans="1:18" s="285" customFormat="1" ht="39.6" customHeight="1" x14ac:dyDescent="0.25">
      <c r="A1819" s="276"/>
      <c r="B1819" s="276"/>
      <c r="C1819" s="276"/>
      <c r="D1819" s="288"/>
      <c r="E1819" s="290"/>
      <c r="F1819" s="266"/>
      <c r="G1819" s="288"/>
      <c r="H1819" s="291"/>
      <c r="I1819" s="292"/>
      <c r="J1819" s="292"/>
      <c r="K1819" s="291"/>
      <c r="L1819" s="293"/>
      <c r="M1819" s="287"/>
      <c r="O1819" s="286"/>
      <c r="P1819" s="269"/>
      <c r="Q1819" s="269"/>
      <c r="R1819" s="269"/>
    </row>
    <row r="1820" spans="1:18" s="285" customFormat="1" ht="39.6" customHeight="1" x14ac:dyDescent="0.25">
      <c r="A1820" s="276"/>
      <c r="B1820" s="276"/>
      <c r="C1820" s="276"/>
      <c r="D1820" s="288"/>
      <c r="E1820" s="290"/>
      <c r="F1820" s="266"/>
      <c r="G1820" s="288"/>
      <c r="H1820" s="291"/>
      <c r="I1820" s="292"/>
      <c r="J1820" s="292"/>
      <c r="K1820" s="291"/>
      <c r="L1820" s="293"/>
      <c r="M1820" s="287"/>
      <c r="O1820" s="286"/>
      <c r="P1820" s="269"/>
      <c r="Q1820" s="269"/>
      <c r="R1820" s="269"/>
    </row>
    <row r="1821" spans="1:18" s="285" customFormat="1" ht="39.6" customHeight="1" x14ac:dyDescent="0.25">
      <c r="A1821" s="276"/>
      <c r="B1821" s="276"/>
      <c r="C1821" s="276"/>
      <c r="D1821" s="288"/>
      <c r="E1821" s="290"/>
      <c r="F1821" s="266"/>
      <c r="G1821" s="288"/>
      <c r="H1821" s="291"/>
      <c r="I1821" s="292"/>
      <c r="J1821" s="292"/>
      <c r="K1821" s="291"/>
      <c r="L1821" s="293"/>
      <c r="M1821" s="287"/>
      <c r="O1821" s="286"/>
      <c r="P1821" s="269"/>
      <c r="Q1821" s="269"/>
      <c r="R1821" s="269"/>
    </row>
    <row r="1822" spans="1:18" s="285" customFormat="1" ht="39.6" customHeight="1" x14ac:dyDescent="0.25">
      <c r="A1822" s="276"/>
      <c r="B1822" s="276"/>
      <c r="C1822" s="276"/>
      <c r="D1822" s="288"/>
      <c r="E1822" s="290"/>
      <c r="F1822" s="266"/>
      <c r="G1822" s="288"/>
      <c r="H1822" s="291"/>
      <c r="I1822" s="292"/>
      <c r="J1822" s="292"/>
      <c r="K1822" s="291"/>
      <c r="L1822" s="293"/>
      <c r="M1822" s="287"/>
      <c r="O1822" s="286"/>
      <c r="P1822" s="269"/>
      <c r="Q1822" s="269"/>
      <c r="R1822" s="269"/>
    </row>
    <row r="1823" spans="1:18" s="285" customFormat="1" ht="39.6" customHeight="1" x14ac:dyDescent="0.25">
      <c r="A1823" s="276"/>
      <c r="B1823" s="276"/>
      <c r="C1823" s="276"/>
      <c r="D1823" s="288"/>
      <c r="E1823" s="290"/>
      <c r="F1823" s="266"/>
      <c r="G1823" s="288"/>
      <c r="H1823" s="291"/>
      <c r="I1823" s="292"/>
      <c r="J1823" s="292"/>
      <c r="K1823" s="291"/>
      <c r="L1823" s="293"/>
      <c r="M1823" s="287"/>
      <c r="O1823" s="286"/>
      <c r="P1823" s="269"/>
      <c r="Q1823" s="269"/>
      <c r="R1823" s="269"/>
    </row>
    <row r="1824" spans="1:18" s="285" customFormat="1" ht="39.6" customHeight="1" x14ac:dyDescent="0.25">
      <c r="A1824" s="276"/>
      <c r="B1824" s="276"/>
      <c r="C1824" s="276"/>
      <c r="D1824" s="288"/>
      <c r="E1824" s="290"/>
      <c r="F1824" s="266"/>
      <c r="G1824" s="288"/>
      <c r="H1824" s="291"/>
      <c r="I1824" s="292"/>
      <c r="J1824" s="292"/>
      <c r="K1824" s="291"/>
      <c r="L1824" s="293"/>
      <c r="M1824" s="287"/>
      <c r="O1824" s="286"/>
      <c r="P1824" s="269"/>
      <c r="Q1824" s="269"/>
      <c r="R1824" s="269"/>
    </row>
    <row r="1825" spans="1:18" s="285" customFormat="1" ht="39.6" customHeight="1" x14ac:dyDescent="0.25">
      <c r="A1825" s="276"/>
      <c r="B1825" s="276"/>
      <c r="C1825" s="276"/>
      <c r="D1825" s="288"/>
      <c r="E1825" s="290"/>
      <c r="F1825" s="266"/>
      <c r="G1825" s="288"/>
      <c r="H1825" s="291"/>
      <c r="I1825" s="292"/>
      <c r="J1825" s="292"/>
      <c r="K1825" s="291"/>
      <c r="L1825" s="293"/>
      <c r="M1825" s="287"/>
      <c r="O1825" s="286"/>
      <c r="P1825" s="269"/>
      <c r="Q1825" s="269"/>
      <c r="R1825" s="269"/>
    </row>
    <row r="1826" spans="1:18" s="285" customFormat="1" ht="39.6" customHeight="1" x14ac:dyDescent="0.25">
      <c r="A1826" s="276"/>
      <c r="B1826" s="276"/>
      <c r="C1826" s="276"/>
      <c r="D1826" s="288"/>
      <c r="E1826" s="290"/>
      <c r="F1826" s="266"/>
      <c r="G1826" s="288"/>
      <c r="H1826" s="291"/>
      <c r="I1826" s="292"/>
      <c r="J1826" s="292"/>
      <c r="K1826" s="291"/>
      <c r="L1826" s="293"/>
      <c r="M1826" s="287"/>
      <c r="O1826" s="286"/>
      <c r="P1826" s="269"/>
      <c r="Q1826" s="269"/>
      <c r="R1826" s="269"/>
    </row>
    <row r="1827" spans="1:18" s="285" customFormat="1" ht="39.6" customHeight="1" x14ac:dyDescent="0.25">
      <c r="A1827" s="276"/>
      <c r="B1827" s="276"/>
      <c r="C1827" s="276"/>
      <c r="D1827" s="288"/>
      <c r="E1827" s="290"/>
      <c r="F1827" s="266"/>
      <c r="G1827" s="288"/>
      <c r="H1827" s="291"/>
      <c r="I1827" s="292"/>
      <c r="J1827" s="292"/>
      <c r="K1827" s="291"/>
      <c r="L1827" s="293"/>
      <c r="M1827" s="287"/>
      <c r="O1827" s="286"/>
      <c r="P1827" s="269"/>
      <c r="Q1827" s="269"/>
      <c r="R1827" s="269"/>
    </row>
    <row r="1828" spans="1:18" s="285" customFormat="1" ht="39.6" customHeight="1" x14ac:dyDescent="0.25">
      <c r="A1828" s="276"/>
      <c r="B1828" s="276"/>
      <c r="C1828" s="276"/>
      <c r="D1828" s="288"/>
      <c r="E1828" s="290"/>
      <c r="F1828" s="266"/>
      <c r="G1828" s="288"/>
      <c r="H1828" s="291"/>
      <c r="I1828" s="292"/>
      <c r="J1828" s="292"/>
      <c r="K1828" s="291"/>
      <c r="L1828" s="293"/>
      <c r="M1828" s="287"/>
      <c r="O1828" s="286"/>
      <c r="P1828" s="269"/>
      <c r="Q1828" s="269"/>
      <c r="R1828" s="269"/>
    </row>
    <row r="1829" spans="1:18" s="285" customFormat="1" ht="39.6" customHeight="1" x14ac:dyDescent="0.25">
      <c r="A1829" s="276"/>
      <c r="B1829" s="276"/>
      <c r="C1829" s="276"/>
      <c r="D1829" s="288"/>
      <c r="E1829" s="290"/>
      <c r="F1829" s="266"/>
      <c r="G1829" s="288"/>
      <c r="H1829" s="291"/>
      <c r="I1829" s="292"/>
      <c r="J1829" s="292"/>
      <c r="K1829" s="291"/>
      <c r="L1829" s="293"/>
      <c r="M1829" s="287"/>
      <c r="O1829" s="286"/>
      <c r="P1829" s="269"/>
      <c r="Q1829" s="269"/>
      <c r="R1829" s="269"/>
    </row>
    <row r="1830" spans="1:18" s="285" customFormat="1" ht="39.6" customHeight="1" x14ac:dyDescent="0.25">
      <c r="A1830" s="276"/>
      <c r="B1830" s="276"/>
      <c r="C1830" s="276"/>
      <c r="D1830" s="288"/>
      <c r="E1830" s="290"/>
      <c r="F1830" s="266"/>
      <c r="G1830" s="288"/>
      <c r="H1830" s="291"/>
      <c r="I1830" s="292"/>
      <c r="J1830" s="292"/>
      <c r="K1830" s="291"/>
      <c r="L1830" s="293"/>
      <c r="M1830" s="287"/>
      <c r="O1830" s="286"/>
      <c r="P1830" s="269"/>
      <c r="Q1830" s="269"/>
      <c r="R1830" s="269"/>
    </row>
    <row r="1831" spans="1:18" s="285" customFormat="1" ht="39.6" customHeight="1" x14ac:dyDescent="0.25">
      <c r="A1831" s="276"/>
      <c r="B1831" s="276"/>
      <c r="C1831" s="276"/>
      <c r="D1831" s="288"/>
      <c r="E1831" s="290"/>
      <c r="F1831" s="266"/>
      <c r="G1831" s="288"/>
      <c r="H1831" s="291"/>
      <c r="I1831" s="292"/>
      <c r="J1831" s="292"/>
      <c r="K1831" s="291"/>
      <c r="L1831" s="293"/>
      <c r="M1831" s="287"/>
      <c r="O1831" s="286"/>
      <c r="P1831" s="269"/>
      <c r="Q1831" s="269"/>
      <c r="R1831" s="269"/>
    </row>
    <row r="1832" spans="1:18" s="285" customFormat="1" ht="39.6" customHeight="1" x14ac:dyDescent="0.25">
      <c r="A1832" s="276"/>
      <c r="B1832" s="276"/>
      <c r="C1832" s="276"/>
      <c r="D1832" s="288"/>
      <c r="E1832" s="290"/>
      <c r="F1832" s="266"/>
      <c r="G1832" s="288"/>
      <c r="H1832" s="291"/>
      <c r="I1832" s="292"/>
      <c r="J1832" s="292"/>
      <c r="K1832" s="291"/>
      <c r="L1832" s="293"/>
      <c r="M1832" s="287"/>
      <c r="O1832" s="286"/>
      <c r="P1832" s="269"/>
      <c r="Q1832" s="269"/>
      <c r="R1832" s="269"/>
    </row>
    <row r="1833" spans="1:18" s="285" customFormat="1" ht="39.6" customHeight="1" x14ac:dyDescent="0.25">
      <c r="A1833" s="276"/>
      <c r="B1833" s="276"/>
      <c r="C1833" s="276"/>
      <c r="D1833" s="288"/>
      <c r="E1833" s="290"/>
      <c r="F1833" s="266"/>
      <c r="G1833" s="288"/>
      <c r="H1833" s="291"/>
      <c r="I1833" s="292"/>
      <c r="J1833" s="292"/>
      <c r="K1833" s="291"/>
      <c r="L1833" s="293"/>
      <c r="M1833" s="287"/>
      <c r="O1833" s="286"/>
      <c r="P1833" s="269"/>
      <c r="Q1833" s="269"/>
      <c r="R1833" s="269"/>
    </row>
    <row r="1834" spans="1:18" s="285" customFormat="1" ht="39.6" customHeight="1" x14ac:dyDescent="0.25">
      <c r="A1834" s="276"/>
      <c r="B1834" s="276"/>
      <c r="C1834" s="276"/>
      <c r="D1834" s="288"/>
      <c r="E1834" s="290"/>
      <c r="F1834" s="266"/>
      <c r="G1834" s="288"/>
      <c r="H1834" s="291"/>
      <c r="I1834" s="292"/>
      <c r="J1834" s="292"/>
      <c r="K1834" s="291"/>
      <c r="L1834" s="293"/>
      <c r="M1834" s="287"/>
      <c r="O1834" s="286"/>
      <c r="P1834" s="269"/>
      <c r="Q1834" s="269"/>
      <c r="R1834" s="269"/>
    </row>
    <row r="1835" spans="1:18" s="285" customFormat="1" ht="39.6" customHeight="1" x14ac:dyDescent="0.25">
      <c r="A1835" s="276"/>
      <c r="B1835" s="276"/>
      <c r="C1835" s="276"/>
      <c r="D1835" s="288"/>
      <c r="E1835" s="290"/>
      <c r="F1835" s="266"/>
      <c r="G1835" s="288"/>
      <c r="H1835" s="291"/>
      <c r="I1835" s="292"/>
      <c r="J1835" s="292"/>
      <c r="K1835" s="291"/>
      <c r="L1835" s="293"/>
      <c r="M1835" s="287"/>
      <c r="O1835" s="286"/>
      <c r="P1835" s="269"/>
      <c r="Q1835" s="269"/>
      <c r="R1835" s="269"/>
    </row>
    <row r="1836" spans="1:18" s="285" customFormat="1" ht="39.6" customHeight="1" x14ac:dyDescent="0.25">
      <c r="A1836" s="276"/>
      <c r="B1836" s="276"/>
      <c r="C1836" s="276"/>
      <c r="D1836" s="288"/>
      <c r="E1836" s="290"/>
      <c r="F1836" s="266"/>
      <c r="G1836" s="288"/>
      <c r="H1836" s="291"/>
      <c r="I1836" s="292"/>
      <c r="J1836" s="292"/>
      <c r="K1836" s="291"/>
      <c r="L1836" s="293"/>
      <c r="M1836" s="287"/>
      <c r="O1836" s="286"/>
      <c r="P1836" s="269"/>
      <c r="Q1836" s="269"/>
      <c r="R1836" s="269"/>
    </row>
    <row r="1837" spans="1:18" s="285" customFormat="1" ht="39.6" customHeight="1" x14ac:dyDescent="0.25">
      <c r="A1837" s="276"/>
      <c r="B1837" s="276"/>
      <c r="C1837" s="276"/>
      <c r="D1837" s="288"/>
      <c r="E1837" s="290"/>
      <c r="F1837" s="266"/>
      <c r="G1837" s="288"/>
      <c r="H1837" s="291"/>
      <c r="I1837" s="292"/>
      <c r="J1837" s="292"/>
      <c r="K1837" s="291"/>
      <c r="L1837" s="293"/>
      <c r="M1837" s="287"/>
      <c r="O1837" s="286"/>
      <c r="P1837" s="269"/>
      <c r="Q1837" s="269"/>
      <c r="R1837" s="269"/>
    </row>
    <row r="1838" spans="1:18" s="285" customFormat="1" ht="39.6" customHeight="1" x14ac:dyDescent="0.25">
      <c r="A1838" s="276"/>
      <c r="B1838" s="276"/>
      <c r="C1838" s="276"/>
      <c r="D1838" s="288"/>
      <c r="E1838" s="290"/>
      <c r="F1838" s="266"/>
      <c r="G1838" s="288"/>
      <c r="H1838" s="291"/>
      <c r="I1838" s="292"/>
      <c r="J1838" s="292"/>
      <c r="K1838" s="291"/>
      <c r="L1838" s="293"/>
      <c r="M1838" s="287"/>
      <c r="O1838" s="286"/>
      <c r="P1838" s="269"/>
      <c r="Q1838" s="269"/>
      <c r="R1838" s="269"/>
    </row>
    <row r="1839" spans="1:18" s="285" customFormat="1" ht="39.6" customHeight="1" x14ac:dyDescent="0.25">
      <c r="A1839" s="276"/>
      <c r="B1839" s="276"/>
      <c r="C1839" s="276"/>
      <c r="D1839" s="288"/>
      <c r="E1839" s="290"/>
      <c r="F1839" s="266"/>
      <c r="G1839" s="288"/>
      <c r="H1839" s="291"/>
      <c r="I1839" s="292"/>
      <c r="J1839" s="292"/>
      <c r="K1839" s="291"/>
      <c r="L1839" s="293"/>
      <c r="M1839" s="287"/>
      <c r="O1839" s="286"/>
      <c r="P1839" s="269"/>
      <c r="Q1839" s="269"/>
      <c r="R1839" s="269"/>
    </row>
    <row r="1840" spans="1:18" s="285" customFormat="1" ht="39.6" customHeight="1" x14ac:dyDescent="0.25">
      <c r="A1840" s="276"/>
      <c r="B1840" s="276"/>
      <c r="C1840" s="276"/>
      <c r="D1840" s="288"/>
      <c r="E1840" s="290"/>
      <c r="F1840" s="266"/>
      <c r="G1840" s="288"/>
      <c r="H1840" s="291"/>
      <c r="I1840" s="292"/>
      <c r="J1840" s="292"/>
      <c r="K1840" s="291"/>
      <c r="L1840" s="293"/>
      <c r="M1840" s="287"/>
      <c r="O1840" s="286"/>
      <c r="P1840" s="269"/>
      <c r="Q1840" s="269"/>
      <c r="R1840" s="269"/>
    </row>
    <row r="1841" spans="1:18" s="285" customFormat="1" ht="39.6" customHeight="1" x14ac:dyDescent="0.25">
      <c r="A1841" s="276"/>
      <c r="B1841" s="276"/>
      <c r="C1841" s="276"/>
      <c r="D1841" s="288"/>
      <c r="E1841" s="290"/>
      <c r="F1841" s="266"/>
      <c r="G1841" s="288"/>
      <c r="H1841" s="291"/>
      <c r="I1841" s="292"/>
      <c r="J1841" s="292"/>
      <c r="K1841" s="291"/>
      <c r="L1841" s="293"/>
      <c r="M1841" s="287"/>
      <c r="O1841" s="286"/>
      <c r="P1841" s="269"/>
      <c r="Q1841" s="269"/>
      <c r="R1841" s="269"/>
    </row>
    <row r="1842" spans="1:18" s="285" customFormat="1" ht="39.6" customHeight="1" x14ac:dyDescent="0.25">
      <c r="A1842" s="276"/>
      <c r="B1842" s="276"/>
      <c r="C1842" s="276"/>
      <c r="D1842" s="288"/>
      <c r="E1842" s="290"/>
      <c r="F1842" s="266"/>
      <c r="G1842" s="288"/>
      <c r="H1842" s="291"/>
      <c r="I1842" s="292"/>
      <c r="J1842" s="292"/>
      <c r="K1842" s="291"/>
      <c r="L1842" s="293"/>
      <c r="M1842" s="287"/>
      <c r="O1842" s="286"/>
      <c r="P1842" s="269"/>
      <c r="Q1842" s="269"/>
      <c r="R1842" s="269"/>
    </row>
    <row r="1843" spans="1:18" s="285" customFormat="1" ht="39.6" customHeight="1" x14ac:dyDescent="0.25">
      <c r="A1843" s="276"/>
      <c r="B1843" s="276"/>
      <c r="C1843" s="276"/>
      <c r="D1843" s="288"/>
      <c r="E1843" s="290"/>
      <c r="F1843" s="266"/>
      <c r="G1843" s="288"/>
      <c r="H1843" s="291"/>
      <c r="I1843" s="292"/>
      <c r="J1843" s="292"/>
      <c r="K1843" s="291"/>
      <c r="L1843" s="293"/>
      <c r="M1843" s="287"/>
      <c r="O1843" s="286"/>
      <c r="P1843" s="269"/>
      <c r="Q1843" s="269"/>
      <c r="R1843" s="269"/>
    </row>
    <row r="1844" spans="1:18" s="285" customFormat="1" ht="39.6" customHeight="1" x14ac:dyDescent="0.25">
      <c r="A1844" s="276"/>
      <c r="B1844" s="276"/>
      <c r="C1844" s="276"/>
      <c r="D1844" s="288"/>
      <c r="E1844" s="290"/>
      <c r="F1844" s="266"/>
      <c r="G1844" s="288"/>
      <c r="H1844" s="291"/>
      <c r="I1844" s="292"/>
      <c r="J1844" s="292"/>
      <c r="K1844" s="291"/>
      <c r="L1844" s="293"/>
      <c r="M1844" s="287"/>
      <c r="O1844" s="286"/>
      <c r="P1844" s="269"/>
      <c r="Q1844" s="269"/>
      <c r="R1844" s="269"/>
    </row>
    <row r="1845" spans="1:18" s="285" customFormat="1" ht="39.6" customHeight="1" x14ac:dyDescent="0.25">
      <c r="A1845" s="276"/>
      <c r="B1845" s="276"/>
      <c r="C1845" s="276"/>
      <c r="D1845" s="288"/>
      <c r="E1845" s="290"/>
      <c r="F1845" s="266"/>
      <c r="G1845" s="288"/>
      <c r="H1845" s="291"/>
      <c r="I1845" s="292"/>
      <c r="J1845" s="292"/>
      <c r="K1845" s="291"/>
      <c r="L1845" s="293"/>
      <c r="M1845" s="287"/>
      <c r="O1845" s="286"/>
      <c r="P1845" s="269"/>
      <c r="Q1845" s="269"/>
      <c r="R1845" s="269"/>
    </row>
    <row r="1846" spans="1:18" s="285" customFormat="1" ht="39.6" customHeight="1" x14ac:dyDescent="0.25">
      <c r="A1846" s="276"/>
      <c r="B1846" s="276"/>
      <c r="C1846" s="276"/>
      <c r="D1846" s="288"/>
      <c r="E1846" s="290"/>
      <c r="F1846" s="266"/>
      <c r="G1846" s="288"/>
      <c r="H1846" s="291"/>
      <c r="I1846" s="292"/>
      <c r="J1846" s="292"/>
      <c r="K1846" s="291"/>
      <c r="L1846" s="293"/>
      <c r="M1846" s="287"/>
      <c r="O1846" s="286"/>
      <c r="P1846" s="269"/>
      <c r="Q1846" s="269"/>
      <c r="R1846" s="269"/>
    </row>
    <row r="1847" spans="1:18" s="285" customFormat="1" ht="39.6" customHeight="1" x14ac:dyDescent="0.25">
      <c r="A1847" s="276"/>
      <c r="B1847" s="276"/>
      <c r="C1847" s="276"/>
      <c r="D1847" s="288"/>
      <c r="E1847" s="290"/>
      <c r="F1847" s="266"/>
      <c r="G1847" s="288"/>
      <c r="H1847" s="291"/>
      <c r="I1847" s="292"/>
      <c r="J1847" s="292"/>
      <c r="K1847" s="291"/>
      <c r="L1847" s="293"/>
      <c r="M1847" s="287"/>
      <c r="O1847" s="286"/>
      <c r="P1847" s="269"/>
      <c r="Q1847" s="269"/>
      <c r="R1847" s="269"/>
    </row>
    <row r="1848" spans="1:18" s="285" customFormat="1" ht="39.6" customHeight="1" x14ac:dyDescent="0.25">
      <c r="A1848" s="276"/>
      <c r="B1848" s="276"/>
      <c r="C1848" s="276"/>
      <c r="D1848" s="288"/>
      <c r="E1848" s="290"/>
      <c r="F1848" s="266"/>
      <c r="G1848" s="288"/>
      <c r="H1848" s="291"/>
      <c r="I1848" s="292"/>
      <c r="J1848" s="292"/>
      <c r="K1848" s="291"/>
      <c r="L1848" s="293"/>
      <c r="M1848" s="287"/>
      <c r="O1848" s="286"/>
      <c r="P1848" s="269"/>
      <c r="Q1848" s="269"/>
      <c r="R1848" s="269"/>
    </row>
    <row r="1849" spans="1:18" s="285" customFormat="1" ht="39.6" customHeight="1" x14ac:dyDescent="0.25">
      <c r="A1849" s="276"/>
      <c r="B1849" s="276"/>
      <c r="C1849" s="276"/>
      <c r="D1849" s="288"/>
      <c r="E1849" s="290"/>
      <c r="F1849" s="266"/>
      <c r="G1849" s="288"/>
      <c r="H1849" s="291"/>
      <c r="I1849" s="292"/>
      <c r="J1849" s="292"/>
      <c r="K1849" s="291"/>
      <c r="L1849" s="293"/>
      <c r="M1849" s="287"/>
      <c r="O1849" s="286"/>
      <c r="P1849" s="269"/>
      <c r="Q1849" s="269"/>
      <c r="R1849" s="269"/>
    </row>
    <row r="1850" spans="1:18" s="285" customFormat="1" ht="39.6" customHeight="1" x14ac:dyDescent="0.25">
      <c r="A1850" s="276"/>
      <c r="B1850" s="276"/>
      <c r="C1850" s="276"/>
      <c r="D1850" s="288"/>
      <c r="E1850" s="290"/>
      <c r="F1850" s="266"/>
      <c r="G1850" s="288"/>
      <c r="H1850" s="291"/>
      <c r="I1850" s="292"/>
      <c r="J1850" s="292"/>
      <c r="K1850" s="291"/>
      <c r="L1850" s="293"/>
      <c r="M1850" s="287"/>
      <c r="O1850" s="286"/>
      <c r="P1850" s="269"/>
      <c r="Q1850" s="269"/>
      <c r="R1850" s="269"/>
    </row>
    <row r="1851" spans="1:18" s="285" customFormat="1" ht="39.6" customHeight="1" x14ac:dyDescent="0.25">
      <c r="A1851" s="276"/>
      <c r="B1851" s="276"/>
      <c r="C1851" s="276"/>
      <c r="D1851" s="288"/>
      <c r="E1851" s="290"/>
      <c r="F1851" s="266"/>
      <c r="G1851" s="288"/>
      <c r="H1851" s="291"/>
      <c r="I1851" s="292"/>
      <c r="J1851" s="292"/>
      <c r="K1851" s="291"/>
      <c r="L1851" s="293"/>
      <c r="M1851" s="287"/>
      <c r="O1851" s="286"/>
      <c r="P1851" s="269"/>
      <c r="Q1851" s="269"/>
      <c r="R1851" s="269"/>
    </row>
    <row r="1852" spans="1:18" s="285" customFormat="1" ht="39.6" customHeight="1" x14ac:dyDescent="0.25">
      <c r="A1852" s="276"/>
      <c r="B1852" s="276"/>
      <c r="C1852" s="276"/>
      <c r="D1852" s="288"/>
      <c r="E1852" s="290"/>
      <c r="F1852" s="266"/>
      <c r="G1852" s="288"/>
      <c r="H1852" s="291"/>
      <c r="I1852" s="292"/>
      <c r="J1852" s="292"/>
      <c r="K1852" s="291"/>
      <c r="L1852" s="293"/>
      <c r="M1852" s="287"/>
      <c r="O1852" s="286"/>
      <c r="P1852" s="269"/>
      <c r="Q1852" s="269"/>
      <c r="R1852" s="269"/>
    </row>
    <row r="1853" spans="1:18" s="285" customFormat="1" ht="39.6" customHeight="1" x14ac:dyDescent="0.25">
      <c r="A1853" s="276"/>
      <c r="B1853" s="276"/>
      <c r="C1853" s="276"/>
      <c r="D1853" s="288"/>
      <c r="E1853" s="290"/>
      <c r="F1853" s="266"/>
      <c r="G1853" s="288"/>
      <c r="H1853" s="291"/>
      <c r="I1853" s="292"/>
      <c r="J1853" s="292"/>
      <c r="K1853" s="291"/>
      <c r="L1853" s="293"/>
      <c r="M1853" s="287"/>
      <c r="O1853" s="286"/>
      <c r="P1853" s="269"/>
      <c r="Q1853" s="269"/>
      <c r="R1853" s="269"/>
    </row>
    <row r="1854" spans="1:18" s="285" customFormat="1" ht="39.6" customHeight="1" x14ac:dyDescent="0.25">
      <c r="A1854" s="276"/>
      <c r="B1854" s="276"/>
      <c r="C1854" s="276"/>
      <c r="D1854" s="288"/>
      <c r="E1854" s="290"/>
      <c r="F1854" s="266"/>
      <c r="G1854" s="288"/>
      <c r="H1854" s="291"/>
      <c r="I1854" s="292"/>
      <c r="J1854" s="292"/>
      <c r="K1854" s="291"/>
      <c r="L1854" s="293"/>
      <c r="M1854" s="287"/>
      <c r="O1854" s="286"/>
      <c r="P1854" s="269"/>
      <c r="Q1854" s="269"/>
      <c r="R1854" s="269"/>
    </row>
    <row r="1855" spans="1:18" s="285" customFormat="1" ht="39.6" customHeight="1" x14ac:dyDescent="0.25">
      <c r="A1855" s="276"/>
      <c r="B1855" s="276"/>
      <c r="C1855" s="276"/>
      <c r="D1855" s="288"/>
      <c r="E1855" s="290"/>
      <c r="F1855" s="266"/>
      <c r="G1855" s="288"/>
      <c r="H1855" s="291"/>
      <c r="I1855" s="292"/>
      <c r="J1855" s="292"/>
      <c r="K1855" s="291"/>
      <c r="L1855" s="293"/>
      <c r="M1855" s="287"/>
      <c r="O1855" s="286"/>
      <c r="P1855" s="269"/>
      <c r="Q1855" s="269"/>
      <c r="R1855" s="269"/>
    </row>
    <row r="1856" spans="1:18" s="285" customFormat="1" ht="39.6" customHeight="1" x14ac:dyDescent="0.25">
      <c r="A1856" s="276"/>
      <c r="B1856" s="276"/>
      <c r="C1856" s="276"/>
      <c r="D1856" s="288"/>
      <c r="E1856" s="290"/>
      <c r="F1856" s="266"/>
      <c r="G1856" s="288"/>
      <c r="H1856" s="291"/>
      <c r="I1856" s="292"/>
      <c r="J1856" s="292"/>
      <c r="K1856" s="291"/>
      <c r="L1856" s="293"/>
      <c r="M1856" s="287"/>
      <c r="O1856" s="286"/>
      <c r="P1856" s="269"/>
      <c r="Q1856" s="269"/>
      <c r="R1856" s="269"/>
    </row>
    <row r="1857" spans="1:18" s="285" customFormat="1" ht="39.6" customHeight="1" x14ac:dyDescent="0.25">
      <c r="A1857" s="276"/>
      <c r="B1857" s="276"/>
      <c r="C1857" s="276"/>
      <c r="D1857" s="288"/>
      <c r="E1857" s="290"/>
      <c r="F1857" s="266"/>
      <c r="G1857" s="288"/>
      <c r="H1857" s="291"/>
      <c r="I1857" s="292"/>
      <c r="J1857" s="292"/>
      <c r="K1857" s="291"/>
      <c r="L1857" s="293"/>
      <c r="M1857" s="287"/>
      <c r="O1857" s="286"/>
      <c r="P1857" s="269"/>
      <c r="Q1857" s="269"/>
      <c r="R1857" s="269"/>
    </row>
    <row r="1858" spans="1:18" s="285" customFormat="1" ht="39.6" customHeight="1" x14ac:dyDescent="0.25">
      <c r="A1858" s="276"/>
      <c r="B1858" s="276"/>
      <c r="C1858" s="276"/>
      <c r="D1858" s="288"/>
      <c r="E1858" s="290"/>
      <c r="F1858" s="266"/>
      <c r="G1858" s="288"/>
      <c r="H1858" s="291"/>
      <c r="I1858" s="292"/>
      <c r="J1858" s="292"/>
      <c r="K1858" s="291"/>
      <c r="L1858" s="293"/>
      <c r="M1858" s="287"/>
      <c r="O1858" s="286"/>
      <c r="P1858" s="269"/>
      <c r="Q1858" s="269"/>
      <c r="R1858" s="269"/>
    </row>
    <row r="1859" spans="1:18" s="285" customFormat="1" ht="39.6" customHeight="1" x14ac:dyDescent="0.25">
      <c r="A1859" s="276"/>
      <c r="B1859" s="276"/>
      <c r="C1859" s="276"/>
      <c r="D1859" s="288"/>
      <c r="E1859" s="290"/>
      <c r="F1859" s="266"/>
      <c r="G1859" s="288"/>
      <c r="H1859" s="291"/>
      <c r="I1859" s="292"/>
      <c r="J1859" s="292"/>
      <c r="K1859" s="291"/>
      <c r="L1859" s="293"/>
      <c r="M1859" s="287"/>
      <c r="O1859" s="286"/>
      <c r="P1859" s="269"/>
      <c r="Q1859" s="269"/>
      <c r="R1859" s="269"/>
    </row>
    <row r="1860" spans="1:18" s="285" customFormat="1" ht="39.6" customHeight="1" x14ac:dyDescent="0.25">
      <c r="A1860" s="276"/>
      <c r="B1860" s="276"/>
      <c r="C1860" s="276"/>
      <c r="D1860" s="288"/>
      <c r="E1860" s="290"/>
      <c r="F1860" s="266"/>
      <c r="G1860" s="288"/>
      <c r="H1860" s="291"/>
      <c r="I1860" s="292"/>
      <c r="J1860" s="292"/>
      <c r="K1860" s="291"/>
      <c r="L1860" s="293"/>
      <c r="M1860" s="287"/>
      <c r="O1860" s="286"/>
      <c r="P1860" s="269"/>
      <c r="Q1860" s="269"/>
      <c r="R1860" s="269"/>
    </row>
    <row r="1861" spans="1:18" s="285" customFormat="1" ht="39.6" customHeight="1" x14ac:dyDescent="0.25">
      <c r="A1861" s="276"/>
      <c r="B1861" s="276"/>
      <c r="C1861" s="276"/>
      <c r="D1861" s="288"/>
      <c r="E1861" s="290"/>
      <c r="F1861" s="266"/>
      <c r="G1861" s="288"/>
      <c r="H1861" s="291"/>
      <c r="I1861" s="292"/>
      <c r="J1861" s="292"/>
      <c r="K1861" s="291"/>
      <c r="L1861" s="293"/>
      <c r="M1861" s="287"/>
      <c r="O1861" s="286"/>
      <c r="P1861" s="269"/>
      <c r="Q1861" s="269"/>
      <c r="R1861" s="269"/>
    </row>
    <row r="1862" spans="1:18" s="285" customFormat="1" ht="39.6" customHeight="1" x14ac:dyDescent="0.25">
      <c r="A1862" s="276"/>
      <c r="B1862" s="276"/>
      <c r="C1862" s="276"/>
      <c r="D1862" s="288"/>
      <c r="E1862" s="290"/>
      <c r="F1862" s="266"/>
      <c r="G1862" s="288"/>
      <c r="H1862" s="291"/>
      <c r="I1862" s="292"/>
      <c r="J1862" s="292"/>
      <c r="K1862" s="291"/>
      <c r="L1862" s="293"/>
      <c r="M1862" s="287"/>
      <c r="O1862" s="286"/>
      <c r="P1862" s="269"/>
      <c r="Q1862" s="269"/>
      <c r="R1862" s="269"/>
    </row>
    <row r="1863" spans="1:18" s="285" customFormat="1" ht="39.6" customHeight="1" x14ac:dyDescent="0.25">
      <c r="A1863" s="276"/>
      <c r="B1863" s="276"/>
      <c r="C1863" s="276"/>
      <c r="D1863" s="288"/>
      <c r="E1863" s="290"/>
      <c r="F1863" s="266"/>
      <c r="G1863" s="288"/>
      <c r="H1863" s="291"/>
      <c r="I1863" s="292"/>
      <c r="J1863" s="292"/>
      <c r="K1863" s="291"/>
      <c r="L1863" s="293"/>
      <c r="M1863" s="287"/>
      <c r="O1863" s="286"/>
      <c r="P1863" s="269"/>
      <c r="Q1863" s="269"/>
      <c r="R1863" s="269"/>
    </row>
    <row r="1864" spans="1:18" s="285" customFormat="1" ht="39.6" customHeight="1" x14ac:dyDescent="0.25">
      <c r="A1864" s="276"/>
      <c r="B1864" s="276"/>
      <c r="C1864" s="276"/>
      <c r="D1864" s="288"/>
      <c r="E1864" s="290"/>
      <c r="F1864" s="266"/>
      <c r="G1864" s="288"/>
      <c r="H1864" s="291"/>
      <c r="I1864" s="292"/>
      <c r="J1864" s="292"/>
      <c r="K1864" s="291"/>
      <c r="L1864" s="293"/>
      <c r="M1864" s="287"/>
      <c r="O1864" s="286"/>
      <c r="P1864" s="269"/>
      <c r="Q1864" s="269"/>
      <c r="R1864" s="269"/>
    </row>
    <row r="1865" spans="1:18" s="285" customFormat="1" ht="39.6" customHeight="1" x14ac:dyDescent="0.25">
      <c r="A1865" s="276"/>
      <c r="B1865" s="276"/>
      <c r="C1865" s="276"/>
      <c r="D1865" s="288"/>
      <c r="E1865" s="290"/>
      <c r="F1865" s="266"/>
      <c r="G1865" s="288"/>
      <c r="H1865" s="291"/>
      <c r="I1865" s="292"/>
      <c r="J1865" s="292"/>
      <c r="K1865" s="291"/>
      <c r="L1865" s="293"/>
      <c r="M1865" s="287"/>
      <c r="O1865" s="286"/>
      <c r="P1865" s="269"/>
      <c r="Q1865" s="269"/>
      <c r="R1865" s="269"/>
    </row>
    <row r="1866" spans="1:18" s="285" customFormat="1" ht="39.6" customHeight="1" x14ac:dyDescent="0.25">
      <c r="A1866" s="276"/>
      <c r="B1866" s="276"/>
      <c r="C1866" s="276"/>
      <c r="D1866" s="288"/>
      <c r="E1866" s="290"/>
      <c r="F1866" s="266"/>
      <c r="G1866" s="288"/>
      <c r="H1866" s="291"/>
      <c r="I1866" s="292"/>
      <c r="J1866" s="292"/>
      <c r="K1866" s="291"/>
      <c r="L1866" s="293"/>
      <c r="M1866" s="287"/>
      <c r="O1866" s="286"/>
      <c r="P1866" s="269"/>
      <c r="Q1866" s="269"/>
      <c r="R1866" s="269"/>
    </row>
    <row r="1867" spans="1:18" s="285" customFormat="1" ht="39.6" customHeight="1" x14ac:dyDescent="0.25">
      <c r="A1867" s="276"/>
      <c r="B1867" s="276"/>
      <c r="C1867" s="276"/>
      <c r="D1867" s="288"/>
      <c r="E1867" s="290"/>
      <c r="F1867" s="266"/>
      <c r="G1867" s="288"/>
      <c r="H1867" s="291"/>
      <c r="I1867" s="292"/>
      <c r="J1867" s="292"/>
      <c r="K1867" s="291"/>
      <c r="L1867" s="293"/>
      <c r="M1867" s="287"/>
      <c r="O1867" s="286"/>
      <c r="P1867" s="269"/>
      <c r="Q1867" s="269"/>
      <c r="R1867" s="269"/>
    </row>
    <row r="1868" spans="1:18" s="285" customFormat="1" ht="39.6" customHeight="1" x14ac:dyDescent="0.25">
      <c r="A1868" s="276"/>
      <c r="B1868" s="276"/>
      <c r="C1868" s="276"/>
      <c r="D1868" s="288"/>
      <c r="E1868" s="290"/>
      <c r="F1868" s="266"/>
      <c r="G1868" s="288"/>
      <c r="H1868" s="291"/>
      <c r="I1868" s="292"/>
      <c r="J1868" s="292"/>
      <c r="K1868" s="291"/>
      <c r="L1868" s="293"/>
      <c r="M1868" s="287"/>
      <c r="O1868" s="286"/>
      <c r="P1868" s="269"/>
      <c r="Q1868" s="269"/>
      <c r="R1868" s="269"/>
    </row>
    <row r="1869" spans="1:18" s="285" customFormat="1" ht="39.6" customHeight="1" x14ac:dyDescent="0.25">
      <c r="A1869" s="276"/>
      <c r="B1869" s="276"/>
      <c r="C1869" s="276"/>
      <c r="D1869" s="288"/>
      <c r="E1869" s="290"/>
      <c r="F1869" s="266"/>
      <c r="G1869" s="288"/>
      <c r="H1869" s="291"/>
      <c r="I1869" s="292"/>
      <c r="J1869" s="292"/>
      <c r="K1869" s="291"/>
      <c r="L1869" s="293"/>
      <c r="M1869" s="287"/>
      <c r="O1869" s="286"/>
      <c r="P1869" s="269"/>
      <c r="Q1869" s="269"/>
      <c r="R1869" s="269"/>
    </row>
    <row r="1870" spans="1:18" s="285" customFormat="1" ht="39.6" customHeight="1" x14ac:dyDescent="0.25">
      <c r="A1870" s="276"/>
      <c r="B1870" s="276"/>
      <c r="C1870" s="276"/>
      <c r="D1870" s="288"/>
      <c r="E1870" s="290"/>
      <c r="F1870" s="266"/>
      <c r="G1870" s="288"/>
      <c r="H1870" s="291"/>
      <c r="I1870" s="292"/>
      <c r="J1870" s="292"/>
      <c r="K1870" s="291"/>
      <c r="L1870" s="293"/>
      <c r="M1870" s="287"/>
      <c r="O1870" s="286"/>
      <c r="P1870" s="269"/>
      <c r="Q1870" s="269"/>
      <c r="R1870" s="269"/>
    </row>
    <row r="1871" spans="1:18" s="285" customFormat="1" ht="39.6" customHeight="1" x14ac:dyDescent="0.25">
      <c r="A1871" s="276"/>
      <c r="B1871" s="276"/>
      <c r="C1871" s="276"/>
      <c r="D1871" s="288"/>
      <c r="E1871" s="290"/>
      <c r="F1871" s="266"/>
      <c r="G1871" s="288"/>
      <c r="H1871" s="291"/>
      <c r="I1871" s="292"/>
      <c r="J1871" s="292"/>
      <c r="K1871" s="291"/>
      <c r="L1871" s="293"/>
      <c r="M1871" s="287"/>
      <c r="O1871" s="286"/>
      <c r="P1871" s="269"/>
      <c r="Q1871" s="269"/>
      <c r="R1871" s="269"/>
    </row>
    <row r="1872" spans="1:18" s="285" customFormat="1" ht="39.6" customHeight="1" x14ac:dyDescent="0.25">
      <c r="A1872" s="276"/>
      <c r="B1872" s="276"/>
      <c r="C1872" s="276"/>
      <c r="D1872" s="288"/>
      <c r="E1872" s="290"/>
      <c r="F1872" s="266"/>
      <c r="G1872" s="288"/>
      <c r="H1872" s="291"/>
      <c r="I1872" s="292"/>
      <c r="J1872" s="292"/>
      <c r="K1872" s="291"/>
      <c r="L1872" s="293"/>
      <c r="M1872" s="287"/>
      <c r="O1872" s="286"/>
      <c r="P1872" s="269"/>
      <c r="Q1872" s="269"/>
      <c r="R1872" s="269"/>
    </row>
    <row r="1873" spans="1:18" s="285" customFormat="1" ht="39.6" customHeight="1" x14ac:dyDescent="0.25">
      <c r="A1873" s="276"/>
      <c r="B1873" s="276"/>
      <c r="C1873" s="276"/>
      <c r="D1873" s="288"/>
      <c r="E1873" s="290"/>
      <c r="F1873" s="266"/>
      <c r="G1873" s="288"/>
      <c r="H1873" s="291"/>
      <c r="I1873" s="292"/>
      <c r="J1873" s="292"/>
      <c r="K1873" s="291"/>
      <c r="L1873" s="293"/>
      <c r="M1873" s="287"/>
      <c r="O1873" s="286"/>
      <c r="P1873" s="269"/>
      <c r="Q1873" s="269"/>
      <c r="R1873" s="269"/>
    </row>
    <row r="1874" spans="1:18" s="285" customFormat="1" ht="39.6" customHeight="1" x14ac:dyDescent="0.25">
      <c r="A1874" s="276"/>
      <c r="B1874" s="276"/>
      <c r="C1874" s="276"/>
      <c r="D1874" s="288"/>
      <c r="E1874" s="290"/>
      <c r="F1874" s="266"/>
      <c r="G1874" s="288"/>
      <c r="H1874" s="291"/>
      <c r="I1874" s="292"/>
      <c r="J1874" s="292"/>
      <c r="K1874" s="291"/>
      <c r="L1874" s="293"/>
      <c r="M1874" s="287"/>
      <c r="O1874" s="286"/>
      <c r="P1874" s="269"/>
      <c r="Q1874" s="269"/>
      <c r="R1874" s="269"/>
    </row>
    <row r="1875" spans="1:18" s="285" customFormat="1" ht="39.6" customHeight="1" x14ac:dyDescent="0.25">
      <c r="A1875" s="276"/>
      <c r="B1875" s="276"/>
      <c r="C1875" s="276"/>
      <c r="D1875" s="288"/>
      <c r="E1875" s="290"/>
      <c r="F1875" s="266"/>
      <c r="G1875" s="288"/>
      <c r="H1875" s="291"/>
      <c r="I1875" s="292"/>
      <c r="J1875" s="292"/>
      <c r="K1875" s="291"/>
      <c r="L1875" s="293"/>
      <c r="M1875" s="287"/>
      <c r="O1875" s="286"/>
      <c r="P1875" s="269"/>
      <c r="Q1875" s="269"/>
      <c r="R1875" s="269"/>
    </row>
    <row r="1876" spans="1:18" s="285" customFormat="1" ht="39.6" customHeight="1" x14ac:dyDescent="0.25">
      <c r="A1876" s="276"/>
      <c r="B1876" s="276"/>
      <c r="C1876" s="276"/>
      <c r="D1876" s="288"/>
      <c r="E1876" s="290"/>
      <c r="F1876" s="266"/>
      <c r="G1876" s="288"/>
      <c r="H1876" s="291"/>
      <c r="I1876" s="292"/>
      <c r="J1876" s="292"/>
      <c r="K1876" s="291"/>
      <c r="L1876" s="293"/>
      <c r="M1876" s="287"/>
      <c r="O1876" s="286"/>
      <c r="P1876" s="269"/>
      <c r="Q1876" s="269"/>
      <c r="R1876" s="269"/>
    </row>
    <row r="1877" spans="1:18" s="285" customFormat="1" ht="39.6" customHeight="1" x14ac:dyDescent="0.25">
      <c r="A1877" s="276"/>
      <c r="B1877" s="276"/>
      <c r="C1877" s="276"/>
      <c r="D1877" s="288"/>
      <c r="E1877" s="290"/>
      <c r="F1877" s="266"/>
      <c r="G1877" s="288"/>
      <c r="H1877" s="291"/>
      <c r="I1877" s="292"/>
      <c r="J1877" s="292"/>
      <c r="K1877" s="291"/>
      <c r="L1877" s="293"/>
      <c r="M1877" s="287"/>
      <c r="O1877" s="286"/>
      <c r="P1877" s="269"/>
      <c r="Q1877" s="269"/>
      <c r="R1877" s="269"/>
    </row>
    <row r="1878" spans="1:18" s="285" customFormat="1" ht="39.6" customHeight="1" x14ac:dyDescent="0.25">
      <c r="A1878" s="276"/>
      <c r="B1878" s="276"/>
      <c r="C1878" s="276"/>
      <c r="D1878" s="288"/>
      <c r="E1878" s="290"/>
      <c r="F1878" s="266"/>
      <c r="G1878" s="288"/>
      <c r="H1878" s="291"/>
      <c r="I1878" s="292"/>
      <c r="J1878" s="292"/>
      <c r="K1878" s="291"/>
      <c r="L1878" s="293"/>
      <c r="M1878" s="287"/>
      <c r="O1878" s="286"/>
      <c r="P1878" s="269"/>
      <c r="Q1878" s="269"/>
      <c r="R1878" s="269"/>
    </row>
    <row r="1879" spans="1:18" s="285" customFormat="1" ht="39.6" customHeight="1" x14ac:dyDescent="0.25">
      <c r="A1879" s="276"/>
      <c r="B1879" s="276"/>
      <c r="C1879" s="276"/>
      <c r="D1879" s="288"/>
      <c r="E1879" s="290"/>
      <c r="F1879" s="266"/>
      <c r="G1879" s="288"/>
      <c r="H1879" s="291"/>
      <c r="I1879" s="292"/>
      <c r="J1879" s="292"/>
      <c r="K1879" s="291"/>
      <c r="L1879" s="293"/>
      <c r="M1879" s="287"/>
      <c r="O1879" s="286"/>
      <c r="P1879" s="269"/>
      <c r="Q1879" s="269"/>
      <c r="R1879" s="269"/>
    </row>
    <row r="1880" spans="1:18" s="285" customFormat="1" ht="39.6" customHeight="1" x14ac:dyDescent="0.25">
      <c r="A1880" s="276"/>
      <c r="B1880" s="276"/>
      <c r="C1880" s="276"/>
      <c r="D1880" s="288"/>
      <c r="E1880" s="290"/>
      <c r="F1880" s="266"/>
      <c r="G1880" s="288"/>
      <c r="H1880" s="291"/>
      <c r="I1880" s="292"/>
      <c r="J1880" s="292"/>
      <c r="K1880" s="291"/>
      <c r="L1880" s="293"/>
      <c r="M1880" s="287"/>
      <c r="O1880" s="286"/>
      <c r="P1880" s="269"/>
      <c r="Q1880" s="269"/>
      <c r="R1880" s="269"/>
    </row>
    <row r="1881" spans="1:18" s="285" customFormat="1" ht="39.6" customHeight="1" x14ac:dyDescent="0.25">
      <c r="A1881" s="276"/>
      <c r="B1881" s="276"/>
      <c r="C1881" s="276"/>
      <c r="D1881" s="288"/>
      <c r="E1881" s="290"/>
      <c r="F1881" s="266"/>
      <c r="G1881" s="288"/>
      <c r="H1881" s="291"/>
      <c r="I1881" s="292"/>
      <c r="J1881" s="292"/>
      <c r="K1881" s="291"/>
      <c r="L1881" s="293"/>
      <c r="M1881" s="287"/>
      <c r="O1881" s="286"/>
      <c r="P1881" s="269"/>
      <c r="Q1881" s="269"/>
      <c r="R1881" s="269"/>
    </row>
    <row r="1882" spans="1:18" s="285" customFormat="1" ht="39.6" customHeight="1" x14ac:dyDescent="0.25">
      <c r="A1882" s="276"/>
      <c r="B1882" s="276"/>
      <c r="C1882" s="276"/>
      <c r="D1882" s="288"/>
      <c r="E1882" s="290"/>
      <c r="F1882" s="266"/>
      <c r="G1882" s="288"/>
      <c r="H1882" s="291"/>
      <c r="I1882" s="292"/>
      <c r="J1882" s="292"/>
      <c r="K1882" s="291"/>
      <c r="L1882" s="293"/>
      <c r="M1882" s="287"/>
      <c r="O1882" s="286"/>
      <c r="P1882" s="269"/>
      <c r="Q1882" s="269"/>
      <c r="R1882" s="269"/>
    </row>
    <row r="1883" spans="1:18" s="285" customFormat="1" ht="39.6" customHeight="1" x14ac:dyDescent="0.25">
      <c r="A1883" s="276"/>
      <c r="B1883" s="276"/>
      <c r="C1883" s="276"/>
      <c r="D1883" s="288"/>
      <c r="E1883" s="290"/>
      <c r="F1883" s="266"/>
      <c r="G1883" s="288"/>
      <c r="H1883" s="291"/>
      <c r="I1883" s="292"/>
      <c r="J1883" s="292"/>
      <c r="K1883" s="291"/>
      <c r="L1883" s="293"/>
      <c r="M1883" s="287"/>
      <c r="O1883" s="286"/>
      <c r="P1883" s="269"/>
      <c r="Q1883" s="269"/>
      <c r="R1883" s="269"/>
    </row>
    <row r="1884" spans="1:18" s="285" customFormat="1" ht="39.6" customHeight="1" x14ac:dyDescent="0.25">
      <c r="A1884" s="276"/>
      <c r="B1884" s="276"/>
      <c r="C1884" s="276"/>
      <c r="D1884" s="288"/>
      <c r="E1884" s="290"/>
      <c r="F1884" s="266"/>
      <c r="G1884" s="288"/>
      <c r="H1884" s="291"/>
      <c r="I1884" s="292"/>
      <c r="J1884" s="292"/>
      <c r="K1884" s="291"/>
      <c r="L1884" s="293"/>
      <c r="M1884" s="287"/>
      <c r="O1884" s="286"/>
      <c r="P1884" s="269"/>
      <c r="Q1884" s="269"/>
      <c r="R1884" s="269"/>
    </row>
    <row r="1885" spans="1:18" s="285" customFormat="1" ht="39.6" customHeight="1" x14ac:dyDescent="0.25">
      <c r="A1885" s="276"/>
      <c r="B1885" s="276"/>
      <c r="C1885" s="276"/>
      <c r="D1885" s="288"/>
      <c r="E1885" s="290"/>
      <c r="F1885" s="266"/>
      <c r="G1885" s="288"/>
      <c r="H1885" s="291"/>
      <c r="I1885" s="292"/>
      <c r="J1885" s="292"/>
      <c r="K1885" s="291"/>
      <c r="L1885" s="293"/>
      <c r="M1885" s="287"/>
      <c r="O1885" s="286"/>
      <c r="P1885" s="269"/>
      <c r="Q1885" s="269"/>
      <c r="R1885" s="269"/>
    </row>
    <row r="1886" spans="1:18" s="285" customFormat="1" ht="39.6" customHeight="1" x14ac:dyDescent="0.25">
      <c r="A1886" s="276"/>
      <c r="B1886" s="276"/>
      <c r="C1886" s="276"/>
      <c r="D1886" s="288"/>
      <c r="E1886" s="290"/>
      <c r="F1886" s="266"/>
      <c r="G1886" s="288"/>
      <c r="H1886" s="291"/>
      <c r="I1886" s="292"/>
      <c r="J1886" s="292"/>
      <c r="K1886" s="291"/>
      <c r="L1886" s="293"/>
      <c r="M1886" s="287"/>
      <c r="O1886" s="286"/>
      <c r="P1886" s="269"/>
      <c r="Q1886" s="269"/>
      <c r="R1886" s="269"/>
    </row>
    <row r="1887" spans="1:18" s="285" customFormat="1" ht="39.6" customHeight="1" x14ac:dyDescent="0.25">
      <c r="A1887" s="276"/>
      <c r="B1887" s="276"/>
      <c r="C1887" s="276"/>
      <c r="D1887" s="288"/>
      <c r="E1887" s="290"/>
      <c r="F1887" s="266"/>
      <c r="G1887" s="288"/>
      <c r="H1887" s="291"/>
      <c r="I1887" s="292"/>
      <c r="J1887" s="292"/>
      <c r="K1887" s="291"/>
      <c r="L1887" s="293"/>
      <c r="M1887" s="287"/>
      <c r="O1887" s="286"/>
      <c r="P1887" s="269"/>
      <c r="Q1887" s="269"/>
      <c r="R1887" s="269"/>
    </row>
    <row r="1888" spans="1:18" s="285" customFormat="1" ht="39.6" customHeight="1" x14ac:dyDescent="0.25">
      <c r="A1888" s="276"/>
      <c r="B1888" s="276"/>
      <c r="C1888" s="276"/>
      <c r="D1888" s="288"/>
      <c r="E1888" s="290"/>
      <c r="F1888" s="266"/>
      <c r="G1888" s="288"/>
      <c r="H1888" s="291"/>
      <c r="I1888" s="292"/>
      <c r="J1888" s="292"/>
      <c r="K1888" s="291"/>
      <c r="L1888" s="293"/>
      <c r="M1888" s="287"/>
      <c r="O1888" s="286"/>
      <c r="P1888" s="269"/>
      <c r="Q1888" s="269"/>
      <c r="R1888" s="269"/>
    </row>
    <row r="1889" spans="1:18" s="285" customFormat="1" ht="39.6" customHeight="1" x14ac:dyDescent="0.25">
      <c r="A1889" s="276"/>
      <c r="B1889" s="276"/>
      <c r="C1889" s="276"/>
      <c r="D1889" s="288"/>
      <c r="E1889" s="290"/>
      <c r="F1889" s="266"/>
      <c r="G1889" s="288"/>
      <c r="H1889" s="291"/>
      <c r="I1889" s="292"/>
      <c r="J1889" s="292"/>
      <c r="K1889" s="291"/>
      <c r="L1889" s="293"/>
      <c r="M1889" s="287"/>
      <c r="O1889" s="286"/>
      <c r="P1889" s="269"/>
      <c r="Q1889" s="269"/>
      <c r="R1889" s="269"/>
    </row>
    <row r="1890" spans="1:18" s="285" customFormat="1" ht="39.6" customHeight="1" x14ac:dyDescent="0.25">
      <c r="A1890" s="276"/>
      <c r="B1890" s="276"/>
      <c r="C1890" s="276"/>
      <c r="D1890" s="288"/>
      <c r="E1890" s="290"/>
      <c r="F1890" s="266"/>
      <c r="G1890" s="288"/>
      <c r="H1890" s="291"/>
      <c r="I1890" s="292"/>
      <c r="J1890" s="292"/>
      <c r="K1890" s="291"/>
      <c r="L1890" s="293"/>
      <c r="M1890" s="287"/>
      <c r="O1890" s="286"/>
      <c r="P1890" s="269"/>
      <c r="Q1890" s="269"/>
      <c r="R1890" s="269"/>
    </row>
    <row r="1891" spans="1:18" s="285" customFormat="1" ht="39.6" customHeight="1" x14ac:dyDescent="0.25">
      <c r="A1891" s="276"/>
      <c r="B1891" s="276"/>
      <c r="C1891" s="276"/>
      <c r="D1891" s="288"/>
      <c r="E1891" s="290"/>
      <c r="F1891" s="266"/>
      <c r="G1891" s="288"/>
      <c r="H1891" s="291"/>
      <c r="I1891" s="292"/>
      <c r="J1891" s="292"/>
      <c r="K1891" s="291"/>
      <c r="L1891" s="293"/>
      <c r="M1891" s="287"/>
      <c r="O1891" s="286"/>
      <c r="P1891" s="269"/>
      <c r="Q1891" s="269"/>
      <c r="R1891" s="269"/>
    </row>
    <row r="1892" spans="1:18" s="285" customFormat="1" ht="39.6" customHeight="1" x14ac:dyDescent="0.25">
      <c r="A1892" s="276"/>
      <c r="B1892" s="276"/>
      <c r="C1892" s="276"/>
      <c r="D1892" s="288"/>
      <c r="E1892" s="290"/>
      <c r="F1892" s="266"/>
      <c r="G1892" s="288"/>
      <c r="H1892" s="291"/>
      <c r="I1892" s="292"/>
      <c r="J1892" s="292"/>
      <c r="K1892" s="291"/>
      <c r="L1892" s="293"/>
      <c r="M1892" s="287"/>
      <c r="O1892" s="286"/>
      <c r="P1892" s="269"/>
      <c r="Q1892" s="269"/>
      <c r="R1892" s="269"/>
    </row>
    <row r="1893" spans="1:18" s="285" customFormat="1" ht="39.6" customHeight="1" x14ac:dyDescent="0.25">
      <c r="A1893" s="276"/>
      <c r="B1893" s="276"/>
      <c r="C1893" s="276"/>
      <c r="D1893" s="288"/>
      <c r="E1893" s="290"/>
      <c r="F1893" s="266"/>
      <c r="G1893" s="288"/>
      <c r="H1893" s="291"/>
      <c r="I1893" s="292"/>
      <c r="J1893" s="292"/>
      <c r="K1893" s="291"/>
      <c r="L1893" s="293"/>
      <c r="M1893" s="287"/>
      <c r="O1893" s="286"/>
      <c r="P1893" s="269"/>
      <c r="Q1893" s="269"/>
      <c r="R1893" s="269"/>
    </row>
    <row r="1894" spans="1:18" s="285" customFormat="1" ht="39.6" customHeight="1" x14ac:dyDescent="0.25">
      <c r="A1894" s="276"/>
      <c r="B1894" s="276"/>
      <c r="C1894" s="276"/>
      <c r="D1894" s="288"/>
      <c r="E1894" s="290"/>
      <c r="F1894" s="266"/>
      <c r="G1894" s="288"/>
      <c r="H1894" s="291"/>
      <c r="I1894" s="292"/>
      <c r="J1894" s="292"/>
      <c r="K1894" s="291"/>
      <c r="L1894" s="293"/>
      <c r="M1894" s="287"/>
      <c r="O1894" s="286"/>
      <c r="P1894" s="269"/>
      <c r="Q1894" s="269"/>
      <c r="R1894" s="269"/>
    </row>
    <row r="1895" spans="1:18" s="285" customFormat="1" ht="39.6" customHeight="1" x14ac:dyDescent="0.25">
      <c r="A1895" s="276"/>
      <c r="B1895" s="276"/>
      <c r="C1895" s="276"/>
      <c r="D1895" s="288"/>
      <c r="E1895" s="290"/>
      <c r="F1895" s="266"/>
      <c r="G1895" s="288"/>
      <c r="H1895" s="291"/>
      <c r="I1895" s="292"/>
      <c r="J1895" s="292"/>
      <c r="K1895" s="291"/>
      <c r="L1895" s="293"/>
      <c r="M1895" s="287"/>
      <c r="O1895" s="286"/>
      <c r="P1895" s="269"/>
      <c r="Q1895" s="269"/>
      <c r="R1895" s="269"/>
    </row>
    <row r="1896" spans="1:18" s="285" customFormat="1" ht="39.6" customHeight="1" x14ac:dyDescent="0.25">
      <c r="A1896" s="276"/>
      <c r="B1896" s="276"/>
      <c r="C1896" s="276"/>
      <c r="D1896" s="288"/>
      <c r="E1896" s="290"/>
      <c r="F1896" s="266"/>
      <c r="G1896" s="288"/>
      <c r="H1896" s="291"/>
      <c r="I1896" s="292"/>
      <c r="J1896" s="292"/>
      <c r="K1896" s="291"/>
      <c r="L1896" s="293"/>
      <c r="M1896" s="287"/>
      <c r="O1896" s="286"/>
      <c r="P1896" s="269"/>
      <c r="Q1896" s="269"/>
      <c r="R1896" s="269"/>
    </row>
    <row r="1897" spans="1:18" s="285" customFormat="1" ht="39.6" customHeight="1" x14ac:dyDescent="0.25">
      <c r="A1897" s="276"/>
      <c r="B1897" s="276"/>
      <c r="C1897" s="276"/>
      <c r="D1897" s="288"/>
      <c r="E1897" s="290"/>
      <c r="F1897" s="266"/>
      <c r="G1897" s="288"/>
      <c r="H1897" s="291"/>
      <c r="I1897" s="292"/>
      <c r="J1897" s="292"/>
      <c r="K1897" s="291"/>
      <c r="L1897" s="293"/>
      <c r="M1897" s="287"/>
      <c r="O1897" s="286"/>
      <c r="P1897" s="269"/>
      <c r="Q1897" s="269"/>
      <c r="R1897" s="269"/>
    </row>
    <row r="1898" spans="1:18" s="285" customFormat="1" ht="39.6" customHeight="1" x14ac:dyDescent="0.25">
      <c r="A1898" s="276"/>
      <c r="B1898" s="276"/>
      <c r="C1898" s="276"/>
      <c r="D1898" s="288"/>
      <c r="E1898" s="290"/>
      <c r="F1898" s="266"/>
      <c r="G1898" s="288"/>
      <c r="H1898" s="291"/>
      <c r="I1898" s="292"/>
      <c r="J1898" s="292"/>
      <c r="K1898" s="291"/>
      <c r="L1898" s="293"/>
      <c r="M1898" s="287"/>
      <c r="O1898" s="286"/>
      <c r="P1898" s="269"/>
      <c r="Q1898" s="269"/>
      <c r="R1898" s="269"/>
    </row>
    <row r="1899" spans="1:18" s="285" customFormat="1" ht="39.6" customHeight="1" x14ac:dyDescent="0.25">
      <c r="A1899" s="276"/>
      <c r="B1899" s="276"/>
      <c r="C1899" s="276"/>
      <c r="D1899" s="288"/>
      <c r="E1899" s="290"/>
      <c r="F1899" s="266"/>
      <c r="G1899" s="288"/>
      <c r="H1899" s="291"/>
      <c r="I1899" s="292"/>
      <c r="J1899" s="292"/>
      <c r="K1899" s="291"/>
      <c r="L1899" s="293"/>
      <c r="M1899" s="287"/>
      <c r="O1899" s="286"/>
      <c r="P1899" s="269"/>
      <c r="Q1899" s="269"/>
      <c r="R1899" s="269"/>
    </row>
    <row r="1900" spans="1:18" s="285" customFormat="1" ht="39.6" customHeight="1" x14ac:dyDescent="0.25">
      <c r="A1900" s="276"/>
      <c r="B1900" s="276"/>
      <c r="C1900" s="276"/>
      <c r="D1900" s="288"/>
      <c r="E1900" s="290"/>
      <c r="F1900" s="266"/>
      <c r="G1900" s="288"/>
      <c r="H1900" s="291"/>
      <c r="I1900" s="292"/>
      <c r="J1900" s="292"/>
      <c r="K1900" s="291"/>
      <c r="L1900" s="293"/>
      <c r="M1900" s="287"/>
      <c r="O1900" s="286"/>
      <c r="P1900" s="269"/>
      <c r="Q1900" s="269"/>
      <c r="R1900" s="269"/>
    </row>
    <row r="1901" spans="1:18" s="285" customFormat="1" ht="39.6" customHeight="1" x14ac:dyDescent="0.25">
      <c r="A1901" s="276"/>
      <c r="B1901" s="276"/>
      <c r="C1901" s="276"/>
      <c r="D1901" s="288"/>
      <c r="E1901" s="290"/>
      <c r="F1901" s="266"/>
      <c r="G1901" s="288"/>
      <c r="H1901" s="291"/>
      <c r="I1901" s="292"/>
      <c r="J1901" s="292"/>
      <c r="K1901" s="291"/>
      <c r="L1901" s="293"/>
      <c r="M1901" s="287"/>
      <c r="O1901" s="286"/>
      <c r="P1901" s="269"/>
      <c r="Q1901" s="269"/>
      <c r="R1901" s="269"/>
    </row>
    <row r="1902" spans="1:18" s="285" customFormat="1" ht="39.6" customHeight="1" x14ac:dyDescent="0.25">
      <c r="A1902" s="276"/>
      <c r="B1902" s="276"/>
      <c r="C1902" s="276"/>
      <c r="D1902" s="288"/>
      <c r="E1902" s="290"/>
      <c r="F1902" s="266"/>
      <c r="G1902" s="288"/>
      <c r="H1902" s="291"/>
      <c r="I1902" s="292"/>
      <c r="J1902" s="292"/>
      <c r="K1902" s="291"/>
      <c r="L1902" s="293"/>
      <c r="M1902" s="287"/>
      <c r="O1902" s="286"/>
      <c r="P1902" s="269"/>
      <c r="Q1902" s="269"/>
      <c r="R1902" s="269"/>
    </row>
    <row r="1903" spans="1:18" s="285" customFormat="1" ht="39.6" customHeight="1" x14ac:dyDescent="0.25">
      <c r="A1903" s="276"/>
      <c r="B1903" s="276"/>
      <c r="C1903" s="276"/>
      <c r="D1903" s="288"/>
      <c r="E1903" s="290"/>
      <c r="F1903" s="266"/>
      <c r="G1903" s="288"/>
      <c r="H1903" s="291"/>
      <c r="I1903" s="292"/>
      <c r="J1903" s="292"/>
      <c r="K1903" s="291"/>
      <c r="L1903" s="293"/>
      <c r="M1903" s="287"/>
      <c r="O1903" s="286"/>
      <c r="P1903" s="269"/>
      <c r="Q1903" s="269"/>
      <c r="R1903" s="269"/>
    </row>
    <row r="1904" spans="1:18" s="285" customFormat="1" ht="39.6" customHeight="1" x14ac:dyDescent="0.25">
      <c r="A1904" s="276"/>
      <c r="B1904" s="276"/>
      <c r="C1904" s="276"/>
      <c r="D1904" s="288"/>
      <c r="E1904" s="290"/>
      <c r="F1904" s="266"/>
      <c r="G1904" s="288"/>
      <c r="H1904" s="291"/>
      <c r="I1904" s="292"/>
      <c r="J1904" s="292"/>
      <c r="K1904" s="291"/>
      <c r="L1904" s="293"/>
      <c r="M1904" s="287"/>
      <c r="O1904" s="286"/>
      <c r="P1904" s="269"/>
      <c r="Q1904" s="269"/>
      <c r="R1904" s="269"/>
    </row>
    <row r="1905" spans="1:18" s="285" customFormat="1" ht="39.6" customHeight="1" x14ac:dyDescent="0.25">
      <c r="A1905" s="276"/>
      <c r="B1905" s="276"/>
      <c r="C1905" s="276"/>
      <c r="D1905" s="288"/>
      <c r="E1905" s="290"/>
      <c r="F1905" s="266"/>
      <c r="G1905" s="288"/>
      <c r="H1905" s="291"/>
      <c r="I1905" s="292"/>
      <c r="J1905" s="292"/>
      <c r="K1905" s="291"/>
      <c r="L1905" s="293"/>
      <c r="M1905" s="287"/>
      <c r="O1905" s="286"/>
      <c r="P1905" s="269"/>
      <c r="Q1905" s="269"/>
      <c r="R1905" s="269"/>
    </row>
    <row r="1906" spans="1:18" s="285" customFormat="1" ht="39.6" customHeight="1" x14ac:dyDescent="0.25">
      <c r="A1906" s="276"/>
      <c r="B1906" s="276"/>
      <c r="C1906" s="276"/>
      <c r="D1906" s="288"/>
      <c r="E1906" s="290"/>
      <c r="F1906" s="266"/>
      <c r="G1906" s="288"/>
      <c r="H1906" s="291"/>
      <c r="I1906" s="292"/>
      <c r="J1906" s="292"/>
      <c r="K1906" s="291"/>
      <c r="L1906" s="293"/>
      <c r="M1906" s="287"/>
      <c r="O1906" s="286"/>
      <c r="P1906" s="269"/>
      <c r="Q1906" s="269"/>
      <c r="R1906" s="269"/>
    </row>
    <row r="1907" spans="1:18" s="285" customFormat="1" ht="39.6" customHeight="1" x14ac:dyDescent="0.25">
      <c r="A1907" s="276"/>
      <c r="B1907" s="276"/>
      <c r="C1907" s="276"/>
      <c r="D1907" s="288"/>
      <c r="E1907" s="290"/>
      <c r="F1907" s="266"/>
      <c r="G1907" s="288"/>
      <c r="H1907" s="291"/>
      <c r="I1907" s="292"/>
      <c r="J1907" s="292"/>
      <c r="K1907" s="291"/>
      <c r="L1907" s="293"/>
      <c r="M1907" s="287"/>
      <c r="O1907" s="286"/>
      <c r="P1907" s="269"/>
      <c r="Q1907" s="269"/>
      <c r="R1907" s="269"/>
    </row>
    <row r="1908" spans="1:18" s="285" customFormat="1" ht="39.6" customHeight="1" x14ac:dyDescent="0.25">
      <c r="A1908" s="276"/>
      <c r="B1908" s="276"/>
      <c r="C1908" s="276"/>
      <c r="D1908" s="288"/>
      <c r="E1908" s="290"/>
      <c r="F1908" s="266"/>
      <c r="G1908" s="288"/>
      <c r="H1908" s="291"/>
      <c r="I1908" s="292"/>
      <c r="J1908" s="292"/>
      <c r="K1908" s="291"/>
      <c r="L1908" s="293"/>
      <c r="M1908" s="287"/>
      <c r="O1908" s="286"/>
      <c r="P1908" s="269"/>
      <c r="Q1908" s="269"/>
      <c r="R1908" s="269"/>
    </row>
    <row r="1909" spans="1:18" s="285" customFormat="1" ht="39.6" customHeight="1" x14ac:dyDescent="0.25">
      <c r="A1909" s="276"/>
      <c r="B1909" s="276"/>
      <c r="C1909" s="276"/>
      <c r="D1909" s="288"/>
      <c r="E1909" s="290"/>
      <c r="F1909" s="266"/>
      <c r="G1909" s="288"/>
      <c r="H1909" s="291"/>
      <c r="I1909" s="292"/>
      <c r="J1909" s="292"/>
      <c r="K1909" s="291"/>
      <c r="L1909" s="293"/>
      <c r="M1909" s="287"/>
      <c r="O1909" s="286"/>
      <c r="P1909" s="269"/>
      <c r="Q1909" s="269"/>
      <c r="R1909" s="269"/>
    </row>
    <row r="1910" spans="1:18" s="285" customFormat="1" ht="39.6" customHeight="1" x14ac:dyDescent="0.25">
      <c r="A1910" s="276"/>
      <c r="B1910" s="276"/>
      <c r="C1910" s="276"/>
      <c r="D1910" s="288"/>
      <c r="E1910" s="290"/>
      <c r="F1910" s="266"/>
      <c r="G1910" s="288"/>
      <c r="H1910" s="291"/>
      <c r="I1910" s="292"/>
      <c r="J1910" s="292"/>
      <c r="K1910" s="291"/>
      <c r="L1910" s="293"/>
      <c r="M1910" s="287"/>
      <c r="O1910" s="286"/>
      <c r="P1910" s="269"/>
      <c r="Q1910" s="269"/>
      <c r="R1910" s="269"/>
    </row>
    <row r="1911" spans="1:18" s="285" customFormat="1" ht="39.6" customHeight="1" x14ac:dyDescent="0.25">
      <c r="A1911" s="276"/>
      <c r="B1911" s="276"/>
      <c r="C1911" s="276"/>
      <c r="D1911" s="288"/>
      <c r="E1911" s="290"/>
      <c r="F1911" s="266"/>
      <c r="G1911" s="288"/>
      <c r="H1911" s="291"/>
      <c r="I1911" s="292"/>
      <c r="J1911" s="292"/>
      <c r="K1911" s="291"/>
      <c r="L1911" s="293"/>
      <c r="M1911" s="287"/>
      <c r="O1911" s="286"/>
      <c r="P1911" s="269"/>
      <c r="Q1911" s="269"/>
      <c r="R1911" s="269"/>
    </row>
    <row r="1912" spans="1:18" s="285" customFormat="1" ht="39.6" customHeight="1" x14ac:dyDescent="0.25">
      <c r="A1912" s="276"/>
      <c r="B1912" s="276"/>
      <c r="C1912" s="276"/>
      <c r="D1912" s="288"/>
      <c r="E1912" s="290"/>
      <c r="F1912" s="266"/>
      <c r="G1912" s="288"/>
      <c r="H1912" s="291"/>
      <c r="I1912" s="292"/>
      <c r="J1912" s="292"/>
      <c r="K1912" s="291"/>
      <c r="L1912" s="293"/>
      <c r="M1912" s="287"/>
      <c r="O1912" s="286"/>
      <c r="P1912" s="269"/>
      <c r="Q1912" s="269"/>
      <c r="R1912" s="269"/>
    </row>
    <row r="1913" spans="1:18" s="285" customFormat="1" ht="39.6" customHeight="1" x14ac:dyDescent="0.25">
      <c r="A1913" s="276"/>
      <c r="B1913" s="276"/>
      <c r="C1913" s="276"/>
      <c r="D1913" s="288"/>
      <c r="E1913" s="290"/>
      <c r="F1913" s="266"/>
      <c r="G1913" s="288"/>
      <c r="H1913" s="291"/>
      <c r="I1913" s="292"/>
      <c r="J1913" s="292"/>
      <c r="K1913" s="291"/>
      <c r="L1913" s="293"/>
      <c r="M1913" s="287"/>
      <c r="O1913" s="286"/>
      <c r="P1913" s="269"/>
      <c r="Q1913" s="269"/>
      <c r="R1913" s="269"/>
    </row>
    <row r="1914" spans="1:18" s="285" customFormat="1" ht="39.6" customHeight="1" x14ac:dyDescent="0.25">
      <c r="A1914" s="276"/>
      <c r="B1914" s="276"/>
      <c r="C1914" s="276"/>
      <c r="D1914" s="288"/>
      <c r="E1914" s="290"/>
      <c r="F1914" s="266"/>
      <c r="G1914" s="288"/>
      <c r="H1914" s="291"/>
      <c r="I1914" s="292"/>
      <c r="J1914" s="292"/>
      <c r="K1914" s="291"/>
      <c r="L1914" s="293"/>
      <c r="M1914" s="287"/>
      <c r="O1914" s="286"/>
      <c r="P1914" s="269"/>
      <c r="Q1914" s="269"/>
      <c r="R1914" s="269"/>
    </row>
    <row r="1915" spans="1:18" s="285" customFormat="1" ht="39.6" customHeight="1" x14ac:dyDescent="0.25">
      <c r="A1915" s="276"/>
      <c r="B1915" s="276"/>
      <c r="C1915" s="276"/>
      <c r="D1915" s="288"/>
      <c r="E1915" s="290"/>
      <c r="F1915" s="266"/>
      <c r="G1915" s="288"/>
      <c r="H1915" s="291"/>
      <c r="I1915" s="292"/>
      <c r="J1915" s="292"/>
      <c r="K1915" s="291"/>
      <c r="L1915" s="293"/>
      <c r="M1915" s="287"/>
      <c r="O1915" s="286"/>
      <c r="P1915" s="269"/>
      <c r="Q1915" s="269"/>
      <c r="R1915" s="269"/>
    </row>
    <row r="1916" spans="1:18" s="285" customFormat="1" ht="39.6" customHeight="1" x14ac:dyDescent="0.25">
      <c r="A1916" s="276"/>
      <c r="B1916" s="276"/>
      <c r="C1916" s="276"/>
      <c r="D1916" s="288"/>
      <c r="E1916" s="290"/>
      <c r="F1916" s="266"/>
      <c r="G1916" s="288"/>
      <c r="H1916" s="291"/>
      <c r="I1916" s="292"/>
      <c r="J1916" s="292"/>
      <c r="K1916" s="291"/>
      <c r="L1916" s="293"/>
      <c r="M1916" s="287"/>
      <c r="O1916" s="286"/>
      <c r="P1916" s="269"/>
      <c r="Q1916" s="269"/>
      <c r="R1916" s="269"/>
    </row>
    <row r="1917" spans="1:18" s="285" customFormat="1" ht="39.6" customHeight="1" x14ac:dyDescent="0.25">
      <c r="A1917" s="276"/>
      <c r="B1917" s="276"/>
      <c r="C1917" s="276"/>
      <c r="D1917" s="288"/>
      <c r="E1917" s="290"/>
      <c r="F1917" s="266"/>
      <c r="G1917" s="288"/>
      <c r="H1917" s="291"/>
      <c r="I1917" s="292"/>
      <c r="J1917" s="292"/>
      <c r="K1917" s="291"/>
      <c r="L1917" s="293"/>
      <c r="M1917" s="287"/>
      <c r="O1917" s="286"/>
      <c r="P1917" s="269"/>
      <c r="Q1917" s="269"/>
      <c r="R1917" s="269"/>
    </row>
    <row r="1918" spans="1:18" s="285" customFormat="1" ht="39.6" customHeight="1" x14ac:dyDescent="0.25">
      <c r="A1918" s="276"/>
      <c r="B1918" s="276"/>
      <c r="C1918" s="276"/>
      <c r="D1918" s="288"/>
      <c r="E1918" s="290"/>
      <c r="F1918" s="266"/>
      <c r="G1918" s="288"/>
      <c r="H1918" s="291"/>
      <c r="I1918" s="292"/>
      <c r="J1918" s="292"/>
      <c r="K1918" s="291"/>
      <c r="L1918" s="293"/>
      <c r="M1918" s="287"/>
      <c r="O1918" s="286"/>
      <c r="P1918" s="269"/>
      <c r="Q1918" s="269"/>
      <c r="R1918" s="269"/>
    </row>
    <row r="1919" spans="1:18" s="285" customFormat="1" ht="39.6" customHeight="1" x14ac:dyDescent="0.25">
      <c r="A1919" s="276"/>
      <c r="B1919" s="276"/>
      <c r="C1919" s="276"/>
      <c r="D1919" s="288"/>
      <c r="E1919" s="290"/>
      <c r="F1919" s="266"/>
      <c r="G1919" s="288"/>
      <c r="H1919" s="291"/>
      <c r="I1919" s="292"/>
      <c r="J1919" s="292"/>
      <c r="K1919" s="291"/>
      <c r="L1919" s="293"/>
      <c r="M1919" s="287"/>
      <c r="O1919" s="286"/>
      <c r="P1919" s="269"/>
      <c r="Q1919" s="269"/>
      <c r="R1919" s="269"/>
    </row>
    <row r="1920" spans="1:18" s="285" customFormat="1" ht="39.6" customHeight="1" x14ac:dyDescent="0.25">
      <c r="A1920" s="276"/>
      <c r="B1920" s="276"/>
      <c r="C1920" s="276"/>
      <c r="D1920" s="288"/>
      <c r="E1920" s="290"/>
      <c r="F1920" s="266"/>
      <c r="G1920" s="288"/>
      <c r="H1920" s="291"/>
      <c r="I1920" s="292"/>
      <c r="J1920" s="292"/>
      <c r="K1920" s="291"/>
      <c r="L1920" s="293"/>
      <c r="M1920" s="287"/>
      <c r="O1920" s="286"/>
      <c r="P1920" s="269"/>
      <c r="Q1920" s="269"/>
      <c r="R1920" s="269"/>
    </row>
    <row r="1921" spans="1:18" s="285" customFormat="1" ht="39.6" customHeight="1" x14ac:dyDescent="0.25">
      <c r="A1921" s="276"/>
      <c r="B1921" s="276"/>
      <c r="C1921" s="276"/>
      <c r="D1921" s="288"/>
      <c r="E1921" s="290"/>
      <c r="F1921" s="266"/>
      <c r="G1921" s="288"/>
      <c r="H1921" s="291"/>
      <c r="I1921" s="292"/>
      <c r="J1921" s="292"/>
      <c r="K1921" s="291"/>
      <c r="L1921" s="293"/>
      <c r="M1921" s="287"/>
      <c r="O1921" s="286"/>
      <c r="P1921" s="269"/>
      <c r="Q1921" s="269"/>
      <c r="R1921" s="269"/>
    </row>
    <row r="1922" spans="1:18" s="285" customFormat="1" ht="39.6" customHeight="1" x14ac:dyDescent="0.25">
      <c r="A1922" s="276"/>
      <c r="B1922" s="276"/>
      <c r="C1922" s="276"/>
      <c r="D1922" s="288"/>
      <c r="E1922" s="290"/>
      <c r="F1922" s="266"/>
      <c r="G1922" s="288"/>
      <c r="H1922" s="291"/>
      <c r="I1922" s="292"/>
      <c r="J1922" s="292"/>
      <c r="K1922" s="291"/>
      <c r="L1922" s="293"/>
      <c r="M1922" s="287"/>
      <c r="O1922" s="286"/>
      <c r="P1922" s="269"/>
      <c r="Q1922" s="269"/>
      <c r="R1922" s="269"/>
    </row>
    <row r="1923" spans="1:18" s="285" customFormat="1" ht="39.6" customHeight="1" x14ac:dyDescent="0.25">
      <c r="A1923" s="276"/>
      <c r="B1923" s="276"/>
      <c r="C1923" s="276"/>
      <c r="D1923" s="288"/>
      <c r="E1923" s="290"/>
      <c r="F1923" s="266"/>
      <c r="G1923" s="288"/>
      <c r="H1923" s="291"/>
      <c r="I1923" s="292"/>
      <c r="J1923" s="292"/>
      <c r="K1923" s="291"/>
      <c r="L1923" s="293"/>
      <c r="M1923" s="287"/>
      <c r="O1923" s="286"/>
      <c r="P1923" s="269"/>
      <c r="Q1923" s="269"/>
      <c r="R1923" s="269"/>
    </row>
    <row r="1924" spans="1:18" s="285" customFormat="1" ht="39.6" customHeight="1" x14ac:dyDescent="0.25">
      <c r="A1924" s="276"/>
      <c r="B1924" s="276"/>
      <c r="C1924" s="276"/>
      <c r="D1924" s="288"/>
      <c r="E1924" s="290"/>
      <c r="F1924" s="266"/>
      <c r="G1924" s="288"/>
      <c r="H1924" s="291"/>
      <c r="I1924" s="292"/>
      <c r="J1924" s="292"/>
      <c r="K1924" s="291"/>
      <c r="L1924" s="293"/>
      <c r="M1924" s="287"/>
      <c r="O1924" s="286"/>
      <c r="P1924" s="269"/>
      <c r="Q1924" s="269"/>
      <c r="R1924" s="269"/>
    </row>
    <row r="1925" spans="1:18" s="285" customFormat="1" ht="39.6" customHeight="1" x14ac:dyDescent="0.25">
      <c r="A1925" s="276"/>
      <c r="B1925" s="276"/>
      <c r="C1925" s="276"/>
      <c r="D1925" s="288"/>
      <c r="E1925" s="290"/>
      <c r="F1925" s="266"/>
      <c r="G1925" s="288"/>
      <c r="H1925" s="291"/>
      <c r="I1925" s="292"/>
      <c r="J1925" s="292"/>
      <c r="K1925" s="291"/>
      <c r="L1925" s="293"/>
      <c r="M1925" s="287"/>
      <c r="O1925" s="286"/>
      <c r="P1925" s="269"/>
      <c r="Q1925" s="269"/>
      <c r="R1925" s="269"/>
    </row>
    <row r="1926" spans="1:18" s="285" customFormat="1" ht="39.6" customHeight="1" x14ac:dyDescent="0.25">
      <c r="A1926" s="276"/>
      <c r="B1926" s="276"/>
      <c r="C1926" s="276"/>
      <c r="D1926" s="288"/>
      <c r="E1926" s="290"/>
      <c r="F1926" s="266"/>
      <c r="G1926" s="288"/>
      <c r="H1926" s="291"/>
      <c r="I1926" s="292"/>
      <c r="J1926" s="292"/>
      <c r="K1926" s="291"/>
      <c r="L1926" s="293"/>
      <c r="M1926" s="287"/>
      <c r="O1926" s="286"/>
      <c r="P1926" s="269"/>
      <c r="Q1926" s="269"/>
      <c r="R1926" s="269"/>
    </row>
    <row r="1927" spans="1:18" s="285" customFormat="1" ht="39.6" customHeight="1" x14ac:dyDescent="0.25">
      <c r="A1927" s="276"/>
      <c r="B1927" s="276"/>
      <c r="C1927" s="276"/>
      <c r="D1927" s="288"/>
      <c r="E1927" s="290"/>
      <c r="F1927" s="266"/>
      <c r="G1927" s="288"/>
      <c r="H1927" s="291"/>
      <c r="I1927" s="292"/>
      <c r="J1927" s="292"/>
      <c r="K1927" s="291"/>
      <c r="L1927" s="293"/>
      <c r="M1927" s="287"/>
      <c r="O1927" s="286"/>
      <c r="P1927" s="269"/>
      <c r="Q1927" s="269"/>
      <c r="R1927" s="269"/>
    </row>
    <row r="1928" spans="1:18" s="285" customFormat="1" ht="39.6" customHeight="1" x14ac:dyDescent="0.25">
      <c r="A1928" s="276"/>
      <c r="B1928" s="276"/>
      <c r="C1928" s="276"/>
      <c r="D1928" s="288"/>
      <c r="E1928" s="290"/>
      <c r="F1928" s="266"/>
      <c r="G1928" s="288"/>
      <c r="H1928" s="291"/>
      <c r="I1928" s="292"/>
      <c r="J1928" s="292"/>
      <c r="K1928" s="291"/>
      <c r="L1928" s="293"/>
      <c r="M1928" s="287"/>
      <c r="O1928" s="286"/>
      <c r="P1928" s="269"/>
      <c r="Q1928" s="269"/>
      <c r="R1928" s="269"/>
    </row>
    <row r="1929" spans="1:18" s="285" customFormat="1" ht="39.6" customHeight="1" x14ac:dyDescent="0.25">
      <c r="A1929" s="276"/>
      <c r="B1929" s="276"/>
      <c r="C1929" s="276"/>
      <c r="D1929" s="288"/>
      <c r="E1929" s="290"/>
      <c r="F1929" s="266"/>
      <c r="G1929" s="288"/>
      <c r="H1929" s="291"/>
      <c r="I1929" s="292"/>
      <c r="J1929" s="292"/>
      <c r="K1929" s="291"/>
      <c r="L1929" s="293"/>
      <c r="M1929" s="287"/>
      <c r="O1929" s="286"/>
      <c r="P1929" s="269"/>
      <c r="Q1929" s="269"/>
      <c r="R1929" s="269"/>
    </row>
    <row r="1930" spans="1:18" s="285" customFormat="1" ht="39.6" customHeight="1" x14ac:dyDescent="0.25">
      <c r="A1930" s="276"/>
      <c r="B1930" s="276"/>
      <c r="C1930" s="276"/>
      <c r="D1930" s="288"/>
      <c r="E1930" s="290"/>
      <c r="F1930" s="266"/>
      <c r="G1930" s="288"/>
      <c r="H1930" s="291"/>
      <c r="I1930" s="292"/>
      <c r="J1930" s="292"/>
      <c r="K1930" s="291"/>
      <c r="L1930" s="293"/>
      <c r="M1930" s="287"/>
      <c r="O1930" s="286"/>
      <c r="P1930" s="269"/>
      <c r="Q1930" s="269"/>
      <c r="R1930" s="269"/>
    </row>
    <row r="1931" spans="1:18" s="285" customFormat="1" ht="39.6" customHeight="1" x14ac:dyDescent="0.25">
      <c r="A1931" s="276"/>
      <c r="B1931" s="276"/>
      <c r="C1931" s="276"/>
      <c r="D1931" s="288"/>
      <c r="E1931" s="290"/>
      <c r="F1931" s="266"/>
      <c r="G1931" s="288"/>
      <c r="H1931" s="291"/>
      <c r="I1931" s="292"/>
      <c r="J1931" s="292"/>
      <c r="K1931" s="291"/>
      <c r="L1931" s="293"/>
      <c r="M1931" s="287"/>
      <c r="O1931" s="286"/>
      <c r="P1931" s="269"/>
      <c r="Q1931" s="269"/>
      <c r="R1931" s="269"/>
    </row>
    <row r="1932" spans="1:18" s="285" customFormat="1" ht="39.6" customHeight="1" x14ac:dyDescent="0.25">
      <c r="A1932" s="276"/>
      <c r="B1932" s="276"/>
      <c r="C1932" s="276"/>
      <c r="D1932" s="288"/>
      <c r="E1932" s="290"/>
      <c r="F1932" s="266"/>
      <c r="G1932" s="288"/>
      <c r="H1932" s="291"/>
      <c r="I1932" s="292"/>
      <c r="J1932" s="292"/>
      <c r="K1932" s="291"/>
      <c r="L1932" s="293"/>
      <c r="M1932" s="287"/>
      <c r="O1932" s="286"/>
      <c r="P1932" s="269"/>
      <c r="Q1932" s="269"/>
      <c r="R1932" s="269"/>
    </row>
    <row r="1933" spans="1:18" s="285" customFormat="1" ht="39.6" customHeight="1" x14ac:dyDescent="0.25">
      <c r="A1933" s="276"/>
      <c r="B1933" s="276"/>
      <c r="C1933" s="276"/>
      <c r="D1933" s="288"/>
      <c r="E1933" s="290"/>
      <c r="F1933" s="266"/>
      <c r="G1933" s="288"/>
      <c r="H1933" s="291"/>
      <c r="I1933" s="292"/>
      <c r="J1933" s="292"/>
      <c r="K1933" s="291"/>
      <c r="L1933" s="293"/>
      <c r="M1933" s="287"/>
      <c r="O1933" s="286"/>
      <c r="P1933" s="269"/>
      <c r="Q1933" s="269"/>
      <c r="R1933" s="269"/>
    </row>
    <row r="1934" spans="1:18" s="285" customFormat="1" ht="39.6" customHeight="1" x14ac:dyDescent="0.25">
      <c r="A1934" s="276"/>
      <c r="B1934" s="276"/>
      <c r="C1934" s="276"/>
      <c r="D1934" s="288"/>
      <c r="E1934" s="290"/>
      <c r="F1934" s="266"/>
      <c r="G1934" s="288"/>
      <c r="H1934" s="291"/>
      <c r="I1934" s="292"/>
      <c r="J1934" s="292"/>
      <c r="K1934" s="291"/>
      <c r="L1934" s="293"/>
      <c r="M1934" s="287"/>
      <c r="O1934" s="286"/>
      <c r="P1934" s="269"/>
      <c r="Q1934" s="269"/>
      <c r="R1934" s="269"/>
    </row>
    <row r="1935" spans="1:18" s="285" customFormat="1" ht="39.6" customHeight="1" x14ac:dyDescent="0.25">
      <c r="A1935" s="276"/>
      <c r="B1935" s="276"/>
      <c r="C1935" s="276"/>
      <c r="D1935" s="288"/>
      <c r="E1935" s="290"/>
      <c r="F1935" s="266"/>
      <c r="G1935" s="288"/>
      <c r="H1935" s="291"/>
      <c r="I1935" s="292"/>
      <c r="J1935" s="292"/>
      <c r="K1935" s="291"/>
      <c r="L1935" s="293"/>
      <c r="M1935" s="287"/>
      <c r="O1935" s="286"/>
      <c r="P1935" s="269"/>
      <c r="Q1935" s="269"/>
      <c r="R1935" s="269"/>
    </row>
    <row r="1936" spans="1:18" s="285" customFormat="1" ht="39.6" customHeight="1" x14ac:dyDescent="0.25">
      <c r="A1936" s="276"/>
      <c r="B1936" s="276"/>
      <c r="C1936" s="276"/>
      <c r="D1936" s="288"/>
      <c r="E1936" s="290"/>
      <c r="F1936" s="266"/>
      <c r="G1936" s="288"/>
      <c r="H1936" s="291"/>
      <c r="I1936" s="292"/>
      <c r="J1936" s="292"/>
      <c r="K1936" s="291"/>
      <c r="L1936" s="293"/>
      <c r="M1936" s="287"/>
      <c r="O1936" s="286"/>
      <c r="P1936" s="269"/>
      <c r="Q1936" s="269"/>
      <c r="R1936" s="269"/>
    </row>
    <row r="1937" spans="1:18" s="285" customFormat="1" ht="39.6" customHeight="1" x14ac:dyDescent="0.25">
      <c r="A1937" s="276"/>
      <c r="B1937" s="276"/>
      <c r="C1937" s="276"/>
      <c r="D1937" s="288"/>
      <c r="E1937" s="290"/>
      <c r="F1937" s="266"/>
      <c r="G1937" s="288"/>
      <c r="H1937" s="291"/>
      <c r="I1937" s="292"/>
      <c r="J1937" s="292"/>
      <c r="K1937" s="291"/>
      <c r="L1937" s="293"/>
      <c r="M1937" s="287"/>
      <c r="O1937" s="286"/>
      <c r="P1937" s="269"/>
      <c r="Q1937" s="269"/>
      <c r="R1937" s="269"/>
    </row>
    <row r="1938" spans="1:18" s="285" customFormat="1" ht="39.6" customHeight="1" x14ac:dyDescent="0.25">
      <c r="A1938" s="276"/>
      <c r="B1938" s="276"/>
      <c r="C1938" s="276"/>
      <c r="D1938" s="288"/>
      <c r="E1938" s="290"/>
      <c r="F1938" s="266"/>
      <c r="G1938" s="288"/>
      <c r="H1938" s="291"/>
      <c r="I1938" s="292"/>
      <c r="J1938" s="292"/>
      <c r="K1938" s="291"/>
      <c r="L1938" s="293"/>
      <c r="M1938" s="287"/>
      <c r="O1938" s="286"/>
      <c r="P1938" s="269"/>
      <c r="Q1938" s="269"/>
      <c r="R1938" s="269"/>
    </row>
    <row r="1939" spans="1:18" s="285" customFormat="1" ht="39.6" customHeight="1" x14ac:dyDescent="0.25">
      <c r="A1939" s="276"/>
      <c r="B1939" s="276"/>
      <c r="C1939" s="276"/>
      <c r="D1939" s="288"/>
      <c r="E1939" s="290"/>
      <c r="F1939" s="266"/>
      <c r="G1939" s="288"/>
      <c r="H1939" s="291"/>
      <c r="I1939" s="292"/>
      <c r="J1939" s="292"/>
      <c r="K1939" s="291"/>
      <c r="L1939" s="293"/>
      <c r="M1939" s="287"/>
      <c r="O1939" s="286"/>
      <c r="P1939" s="269"/>
      <c r="Q1939" s="269"/>
      <c r="R1939" s="269"/>
    </row>
    <row r="1940" spans="1:18" s="285" customFormat="1" ht="39.6" customHeight="1" x14ac:dyDescent="0.25">
      <c r="A1940" s="276"/>
      <c r="B1940" s="276"/>
      <c r="C1940" s="276"/>
      <c r="D1940" s="288"/>
      <c r="E1940" s="290"/>
      <c r="F1940" s="266"/>
      <c r="G1940" s="288"/>
      <c r="H1940" s="291"/>
      <c r="I1940" s="292"/>
      <c r="J1940" s="292"/>
      <c r="K1940" s="291"/>
      <c r="L1940" s="293"/>
      <c r="M1940" s="287"/>
      <c r="O1940" s="286"/>
      <c r="P1940" s="269"/>
      <c r="Q1940" s="269"/>
      <c r="R1940" s="269"/>
    </row>
    <row r="1941" spans="1:18" s="285" customFormat="1" ht="39.6" customHeight="1" x14ac:dyDescent="0.25">
      <c r="A1941" s="276"/>
      <c r="B1941" s="276"/>
      <c r="C1941" s="276"/>
      <c r="D1941" s="288"/>
      <c r="E1941" s="290"/>
      <c r="F1941" s="266"/>
      <c r="G1941" s="288"/>
      <c r="H1941" s="291"/>
      <c r="I1941" s="292"/>
      <c r="J1941" s="292"/>
      <c r="K1941" s="291"/>
      <c r="L1941" s="293"/>
      <c r="M1941" s="287"/>
      <c r="O1941" s="286"/>
      <c r="P1941" s="269"/>
      <c r="Q1941" s="269"/>
      <c r="R1941" s="269"/>
    </row>
    <row r="1942" spans="1:18" s="285" customFormat="1" ht="39.6" customHeight="1" x14ac:dyDescent="0.25">
      <c r="A1942" s="276"/>
      <c r="B1942" s="276"/>
      <c r="C1942" s="276"/>
      <c r="D1942" s="288"/>
      <c r="E1942" s="290"/>
      <c r="F1942" s="266"/>
      <c r="G1942" s="288"/>
      <c r="H1942" s="291"/>
      <c r="I1942" s="292"/>
      <c r="J1942" s="292"/>
      <c r="K1942" s="291"/>
      <c r="L1942" s="293"/>
      <c r="M1942" s="287"/>
      <c r="O1942" s="286"/>
      <c r="P1942" s="269"/>
      <c r="Q1942" s="269"/>
      <c r="R1942" s="269"/>
    </row>
    <row r="1943" spans="1:18" s="285" customFormat="1" ht="39.6" customHeight="1" x14ac:dyDescent="0.25">
      <c r="A1943" s="276"/>
      <c r="B1943" s="276"/>
      <c r="C1943" s="276"/>
      <c r="D1943" s="288"/>
      <c r="E1943" s="290"/>
      <c r="F1943" s="266"/>
      <c r="G1943" s="288"/>
      <c r="H1943" s="291"/>
      <c r="I1943" s="292"/>
      <c r="J1943" s="292"/>
      <c r="K1943" s="291"/>
      <c r="L1943" s="293"/>
      <c r="M1943" s="287"/>
      <c r="O1943" s="286"/>
      <c r="P1943" s="269"/>
      <c r="Q1943" s="269"/>
      <c r="R1943" s="269"/>
    </row>
    <row r="1944" spans="1:18" s="285" customFormat="1" ht="39.6" customHeight="1" x14ac:dyDescent="0.25">
      <c r="A1944" s="276"/>
      <c r="B1944" s="276"/>
      <c r="C1944" s="276"/>
      <c r="D1944" s="288"/>
      <c r="E1944" s="290"/>
      <c r="F1944" s="266"/>
      <c r="G1944" s="288"/>
      <c r="H1944" s="291"/>
      <c r="I1944" s="292"/>
      <c r="J1944" s="292"/>
      <c r="K1944" s="291"/>
      <c r="L1944" s="293"/>
      <c r="M1944" s="287"/>
      <c r="O1944" s="286"/>
      <c r="P1944" s="269"/>
      <c r="Q1944" s="269"/>
      <c r="R1944" s="269"/>
    </row>
    <row r="1945" spans="1:18" s="285" customFormat="1" ht="39.6" customHeight="1" x14ac:dyDescent="0.25">
      <c r="A1945" s="276"/>
      <c r="B1945" s="276"/>
      <c r="C1945" s="276"/>
      <c r="D1945" s="288"/>
      <c r="E1945" s="290"/>
      <c r="F1945" s="266"/>
      <c r="G1945" s="288"/>
      <c r="H1945" s="291"/>
      <c r="I1945" s="292"/>
      <c r="J1945" s="292"/>
      <c r="K1945" s="291"/>
      <c r="L1945" s="293"/>
      <c r="M1945" s="287"/>
      <c r="O1945" s="286"/>
      <c r="P1945" s="269"/>
      <c r="Q1945" s="269"/>
      <c r="R1945" s="269"/>
    </row>
    <row r="1946" spans="1:18" s="285" customFormat="1" ht="39.6" customHeight="1" x14ac:dyDescent="0.25">
      <c r="A1946" s="276"/>
      <c r="B1946" s="276"/>
      <c r="C1946" s="276"/>
      <c r="D1946" s="288"/>
      <c r="E1946" s="290"/>
      <c r="F1946" s="266"/>
      <c r="G1946" s="288"/>
      <c r="H1946" s="291"/>
      <c r="I1946" s="292"/>
      <c r="J1946" s="292"/>
      <c r="K1946" s="291"/>
      <c r="L1946" s="293"/>
      <c r="M1946" s="287"/>
      <c r="O1946" s="286"/>
      <c r="P1946" s="269"/>
      <c r="Q1946" s="269"/>
      <c r="R1946" s="269"/>
    </row>
    <row r="1947" spans="1:18" s="285" customFormat="1" ht="39.6" customHeight="1" x14ac:dyDescent="0.25">
      <c r="A1947" s="276"/>
      <c r="B1947" s="276"/>
      <c r="C1947" s="276"/>
      <c r="D1947" s="288"/>
      <c r="E1947" s="290"/>
      <c r="F1947" s="266"/>
      <c r="G1947" s="288"/>
      <c r="H1947" s="291"/>
      <c r="I1947" s="292"/>
      <c r="J1947" s="292"/>
      <c r="K1947" s="291"/>
      <c r="L1947" s="293"/>
      <c r="M1947" s="287"/>
      <c r="O1947" s="286"/>
      <c r="P1947" s="269"/>
      <c r="Q1947" s="269"/>
      <c r="R1947" s="269"/>
    </row>
    <row r="1948" spans="1:18" s="285" customFormat="1" ht="39.6" customHeight="1" x14ac:dyDescent="0.25">
      <c r="A1948" s="276"/>
      <c r="B1948" s="276"/>
      <c r="C1948" s="276"/>
      <c r="D1948" s="288"/>
      <c r="E1948" s="290"/>
      <c r="F1948" s="266"/>
      <c r="G1948" s="288"/>
      <c r="H1948" s="291"/>
      <c r="I1948" s="292"/>
      <c r="J1948" s="292"/>
      <c r="K1948" s="291"/>
      <c r="L1948" s="293"/>
      <c r="M1948" s="287"/>
      <c r="O1948" s="286"/>
      <c r="P1948" s="269"/>
      <c r="Q1948" s="269"/>
      <c r="R1948" s="269"/>
    </row>
    <row r="1949" spans="1:18" s="285" customFormat="1" ht="39.6" customHeight="1" x14ac:dyDescent="0.25">
      <c r="A1949" s="276"/>
      <c r="B1949" s="276"/>
      <c r="C1949" s="276"/>
      <c r="D1949" s="288"/>
      <c r="E1949" s="290"/>
      <c r="F1949" s="266"/>
      <c r="G1949" s="288"/>
      <c r="H1949" s="291"/>
      <c r="I1949" s="292"/>
      <c r="J1949" s="292"/>
      <c r="K1949" s="291"/>
      <c r="L1949" s="293"/>
      <c r="M1949" s="287"/>
      <c r="O1949" s="286"/>
      <c r="P1949" s="269"/>
      <c r="Q1949" s="269"/>
      <c r="R1949" s="269"/>
    </row>
    <row r="1950" spans="1:18" s="285" customFormat="1" ht="39.6" customHeight="1" x14ac:dyDescent="0.25">
      <c r="A1950" s="276"/>
      <c r="B1950" s="276"/>
      <c r="C1950" s="276"/>
      <c r="D1950" s="288"/>
      <c r="E1950" s="290"/>
      <c r="F1950" s="266"/>
      <c r="G1950" s="288"/>
      <c r="H1950" s="291"/>
      <c r="I1950" s="292"/>
      <c r="J1950" s="292"/>
      <c r="K1950" s="291"/>
      <c r="L1950" s="293"/>
      <c r="M1950" s="287"/>
      <c r="O1950" s="286"/>
      <c r="P1950" s="269"/>
      <c r="Q1950" s="269"/>
      <c r="R1950" s="269"/>
    </row>
    <row r="1951" spans="1:18" s="285" customFormat="1" ht="39.6" customHeight="1" x14ac:dyDescent="0.25">
      <c r="A1951" s="276"/>
      <c r="B1951" s="276"/>
      <c r="C1951" s="276"/>
      <c r="D1951" s="288"/>
      <c r="E1951" s="290"/>
      <c r="F1951" s="266"/>
      <c r="G1951" s="288"/>
      <c r="H1951" s="291"/>
      <c r="I1951" s="292"/>
      <c r="J1951" s="292"/>
      <c r="K1951" s="291"/>
      <c r="L1951" s="293"/>
      <c r="M1951" s="287"/>
      <c r="O1951" s="286"/>
      <c r="P1951" s="269"/>
      <c r="Q1951" s="269"/>
      <c r="R1951" s="269"/>
    </row>
    <row r="1952" spans="1:18" s="285" customFormat="1" ht="39.6" customHeight="1" x14ac:dyDescent="0.25">
      <c r="A1952" s="276"/>
      <c r="B1952" s="276"/>
      <c r="C1952" s="276"/>
      <c r="D1952" s="288"/>
      <c r="E1952" s="290"/>
      <c r="F1952" s="266"/>
      <c r="G1952" s="288"/>
      <c r="H1952" s="291"/>
      <c r="I1952" s="292"/>
      <c r="J1952" s="292"/>
      <c r="K1952" s="291"/>
      <c r="L1952" s="293"/>
      <c r="M1952" s="287"/>
      <c r="O1952" s="286"/>
      <c r="P1952" s="269"/>
      <c r="Q1952" s="269"/>
      <c r="R1952" s="269"/>
    </row>
    <row r="1953" spans="1:18" s="285" customFormat="1" ht="39.6" customHeight="1" x14ac:dyDescent="0.25">
      <c r="A1953" s="276"/>
      <c r="B1953" s="276"/>
      <c r="C1953" s="276"/>
      <c r="D1953" s="288"/>
      <c r="E1953" s="290"/>
      <c r="F1953" s="266"/>
      <c r="G1953" s="288"/>
      <c r="H1953" s="291"/>
      <c r="I1953" s="292"/>
      <c r="J1953" s="292"/>
      <c r="K1953" s="291"/>
      <c r="L1953" s="293"/>
      <c r="M1953" s="287"/>
      <c r="O1953" s="286"/>
      <c r="P1953" s="269"/>
      <c r="Q1953" s="269"/>
      <c r="R1953" s="269"/>
    </row>
    <row r="1954" spans="1:18" s="285" customFormat="1" ht="39.6" customHeight="1" x14ac:dyDescent="0.25">
      <c r="A1954" s="276"/>
      <c r="B1954" s="276"/>
      <c r="C1954" s="276"/>
      <c r="D1954" s="288"/>
      <c r="E1954" s="290"/>
      <c r="F1954" s="266"/>
      <c r="G1954" s="288"/>
      <c r="H1954" s="291"/>
      <c r="I1954" s="292"/>
      <c r="J1954" s="292"/>
      <c r="K1954" s="291"/>
      <c r="L1954" s="293"/>
      <c r="M1954" s="287"/>
      <c r="O1954" s="286"/>
      <c r="P1954" s="269"/>
      <c r="Q1954" s="269"/>
      <c r="R1954" s="269"/>
    </row>
    <row r="1955" spans="1:18" s="285" customFormat="1" ht="39.6" customHeight="1" x14ac:dyDescent="0.25">
      <c r="A1955" s="276"/>
      <c r="B1955" s="276"/>
      <c r="C1955" s="276"/>
      <c r="D1955" s="288"/>
      <c r="E1955" s="290"/>
      <c r="F1955" s="266"/>
      <c r="G1955" s="288"/>
      <c r="H1955" s="291"/>
      <c r="I1955" s="292"/>
      <c r="J1955" s="292"/>
      <c r="K1955" s="291"/>
      <c r="L1955" s="293"/>
      <c r="M1955" s="287"/>
      <c r="O1955" s="286"/>
      <c r="P1955" s="269"/>
      <c r="Q1955" s="269"/>
      <c r="R1955" s="269"/>
    </row>
    <row r="1956" spans="1:18" s="285" customFormat="1" ht="39.6" customHeight="1" x14ac:dyDescent="0.25">
      <c r="A1956" s="276"/>
      <c r="B1956" s="276"/>
      <c r="C1956" s="276"/>
      <c r="D1956" s="288"/>
      <c r="E1956" s="290"/>
      <c r="F1956" s="266"/>
      <c r="G1956" s="288"/>
      <c r="H1956" s="291"/>
      <c r="I1956" s="292"/>
      <c r="J1956" s="292"/>
      <c r="K1956" s="291"/>
      <c r="L1956" s="293"/>
      <c r="M1956" s="287"/>
      <c r="O1956" s="286"/>
      <c r="P1956" s="269"/>
      <c r="Q1956" s="269"/>
      <c r="R1956" s="269"/>
    </row>
    <row r="1957" spans="1:18" s="285" customFormat="1" ht="39.6" customHeight="1" x14ac:dyDescent="0.25">
      <c r="A1957" s="276"/>
      <c r="B1957" s="276"/>
      <c r="C1957" s="276"/>
      <c r="D1957" s="288"/>
      <c r="E1957" s="290"/>
      <c r="F1957" s="266"/>
      <c r="G1957" s="288"/>
      <c r="H1957" s="291"/>
      <c r="I1957" s="292"/>
      <c r="J1957" s="292"/>
      <c r="K1957" s="291"/>
      <c r="L1957" s="293"/>
      <c r="M1957" s="287"/>
      <c r="O1957" s="286"/>
      <c r="P1957" s="269"/>
      <c r="Q1957" s="269"/>
      <c r="R1957" s="269"/>
    </row>
    <row r="1958" spans="1:18" s="285" customFormat="1" ht="39.6" customHeight="1" x14ac:dyDescent="0.25">
      <c r="A1958" s="276"/>
      <c r="B1958" s="276"/>
      <c r="C1958" s="276"/>
      <c r="D1958" s="288"/>
      <c r="E1958" s="290"/>
      <c r="F1958" s="266"/>
      <c r="G1958" s="288"/>
      <c r="H1958" s="291"/>
      <c r="I1958" s="292"/>
      <c r="J1958" s="292"/>
      <c r="K1958" s="291"/>
      <c r="L1958" s="293"/>
      <c r="M1958" s="287"/>
      <c r="O1958" s="286"/>
      <c r="P1958" s="269"/>
      <c r="Q1958" s="269"/>
      <c r="R1958" s="269"/>
    </row>
    <row r="1959" spans="1:18" s="285" customFormat="1" ht="39.6" customHeight="1" x14ac:dyDescent="0.25">
      <c r="A1959" s="276"/>
      <c r="B1959" s="276"/>
      <c r="C1959" s="276"/>
      <c r="D1959" s="288"/>
      <c r="E1959" s="290"/>
      <c r="F1959" s="266"/>
      <c r="G1959" s="288"/>
      <c r="H1959" s="291"/>
      <c r="I1959" s="292"/>
      <c r="J1959" s="292"/>
      <c r="K1959" s="291"/>
      <c r="L1959" s="293"/>
      <c r="M1959" s="287"/>
      <c r="O1959" s="286"/>
      <c r="P1959" s="269"/>
      <c r="Q1959" s="269"/>
      <c r="R1959" s="269"/>
    </row>
    <row r="1960" spans="1:18" s="285" customFormat="1" ht="39.6" customHeight="1" x14ac:dyDescent="0.25">
      <c r="A1960" s="276"/>
      <c r="B1960" s="276"/>
      <c r="C1960" s="276"/>
      <c r="D1960" s="288"/>
      <c r="E1960" s="290"/>
      <c r="F1960" s="266"/>
      <c r="G1960" s="288"/>
      <c r="H1960" s="291"/>
      <c r="I1960" s="292"/>
      <c r="J1960" s="292"/>
      <c r="K1960" s="291"/>
      <c r="L1960" s="293"/>
      <c r="M1960" s="287"/>
      <c r="O1960" s="286"/>
      <c r="P1960" s="269"/>
      <c r="Q1960" s="269"/>
      <c r="R1960" s="269"/>
    </row>
    <row r="1961" spans="1:18" s="285" customFormat="1" ht="39.6" customHeight="1" x14ac:dyDescent="0.25">
      <c r="A1961" s="276"/>
      <c r="B1961" s="276"/>
      <c r="C1961" s="276"/>
      <c r="D1961" s="288"/>
      <c r="E1961" s="290"/>
      <c r="F1961" s="266"/>
      <c r="G1961" s="288"/>
      <c r="H1961" s="291"/>
      <c r="I1961" s="292"/>
      <c r="J1961" s="292"/>
      <c r="K1961" s="291"/>
      <c r="L1961" s="293"/>
      <c r="M1961" s="287"/>
      <c r="O1961" s="286"/>
      <c r="P1961" s="269"/>
      <c r="Q1961" s="269"/>
      <c r="R1961" s="269"/>
    </row>
    <row r="1962" spans="1:18" s="285" customFormat="1" ht="39.6" customHeight="1" x14ac:dyDescent="0.25">
      <c r="A1962" s="276"/>
      <c r="B1962" s="276"/>
      <c r="C1962" s="276"/>
      <c r="D1962" s="288"/>
      <c r="E1962" s="290"/>
      <c r="F1962" s="266"/>
      <c r="G1962" s="288"/>
      <c r="H1962" s="291"/>
      <c r="I1962" s="292"/>
      <c r="J1962" s="292"/>
      <c r="K1962" s="291"/>
      <c r="L1962" s="293"/>
      <c r="M1962" s="287"/>
      <c r="O1962" s="286"/>
      <c r="P1962" s="269"/>
      <c r="Q1962" s="269"/>
      <c r="R1962" s="269"/>
    </row>
    <row r="1963" spans="1:18" s="285" customFormat="1" ht="39.6" customHeight="1" x14ac:dyDescent="0.25">
      <c r="A1963" s="276"/>
      <c r="B1963" s="276"/>
      <c r="C1963" s="276"/>
      <c r="D1963" s="288"/>
      <c r="E1963" s="290"/>
      <c r="F1963" s="266"/>
      <c r="G1963" s="288"/>
      <c r="H1963" s="291"/>
      <c r="I1963" s="292"/>
      <c r="J1963" s="292"/>
      <c r="K1963" s="291"/>
      <c r="L1963" s="293"/>
      <c r="M1963" s="287"/>
      <c r="O1963" s="286"/>
      <c r="P1963" s="269"/>
      <c r="Q1963" s="269"/>
      <c r="R1963" s="269"/>
    </row>
    <row r="1964" spans="1:18" s="285" customFormat="1" ht="39.6" customHeight="1" x14ac:dyDescent="0.25">
      <c r="A1964" s="276"/>
      <c r="B1964" s="276"/>
      <c r="C1964" s="276"/>
      <c r="D1964" s="288"/>
      <c r="E1964" s="290"/>
      <c r="F1964" s="266"/>
      <c r="G1964" s="288"/>
      <c r="H1964" s="291"/>
      <c r="I1964" s="292"/>
      <c r="J1964" s="292"/>
      <c r="K1964" s="291"/>
      <c r="L1964" s="293"/>
      <c r="M1964" s="287"/>
      <c r="O1964" s="286"/>
      <c r="P1964" s="269"/>
      <c r="Q1964" s="269"/>
      <c r="R1964" s="269"/>
    </row>
    <row r="1965" spans="1:18" s="285" customFormat="1" ht="39.6" customHeight="1" x14ac:dyDescent="0.25">
      <c r="A1965" s="276"/>
      <c r="B1965" s="276"/>
      <c r="C1965" s="276"/>
      <c r="D1965" s="288"/>
      <c r="E1965" s="290"/>
      <c r="F1965" s="266"/>
      <c r="G1965" s="288"/>
      <c r="H1965" s="291"/>
      <c r="I1965" s="292"/>
      <c r="J1965" s="292"/>
      <c r="K1965" s="291"/>
      <c r="L1965" s="293"/>
      <c r="M1965" s="287"/>
      <c r="O1965" s="286"/>
      <c r="P1965" s="269"/>
      <c r="Q1965" s="269"/>
      <c r="R1965" s="269"/>
    </row>
    <row r="1966" spans="1:18" s="285" customFormat="1" ht="39.6" customHeight="1" x14ac:dyDescent="0.25">
      <c r="A1966" s="276"/>
      <c r="B1966" s="276"/>
      <c r="C1966" s="276"/>
      <c r="D1966" s="288"/>
      <c r="E1966" s="290"/>
      <c r="F1966" s="266"/>
      <c r="G1966" s="288"/>
      <c r="H1966" s="291"/>
      <c r="I1966" s="292"/>
      <c r="J1966" s="292"/>
      <c r="K1966" s="291"/>
      <c r="L1966" s="293"/>
      <c r="M1966" s="287"/>
      <c r="O1966" s="286"/>
      <c r="P1966" s="269"/>
      <c r="Q1966" s="269"/>
      <c r="R1966" s="269"/>
    </row>
    <row r="1967" spans="1:18" s="285" customFormat="1" ht="39.6" customHeight="1" x14ac:dyDescent="0.25">
      <c r="A1967" s="276"/>
      <c r="B1967" s="276"/>
      <c r="C1967" s="276"/>
      <c r="D1967" s="288"/>
      <c r="E1967" s="290"/>
      <c r="F1967" s="266"/>
      <c r="G1967" s="288"/>
      <c r="H1967" s="291"/>
      <c r="I1967" s="292"/>
      <c r="J1967" s="292"/>
      <c r="K1967" s="291"/>
      <c r="L1967" s="293"/>
      <c r="M1967" s="287"/>
      <c r="O1967" s="286"/>
      <c r="P1967" s="269"/>
      <c r="Q1967" s="269"/>
      <c r="R1967" s="269"/>
    </row>
    <row r="1968" spans="1:18" s="285" customFormat="1" ht="39.6" customHeight="1" x14ac:dyDescent="0.25">
      <c r="A1968" s="276"/>
      <c r="B1968" s="276"/>
      <c r="C1968" s="276"/>
      <c r="D1968" s="288"/>
      <c r="E1968" s="290"/>
      <c r="F1968" s="266"/>
      <c r="G1968" s="288"/>
      <c r="H1968" s="291"/>
      <c r="I1968" s="292"/>
      <c r="J1968" s="292"/>
      <c r="K1968" s="291"/>
      <c r="L1968" s="293"/>
      <c r="M1968" s="287"/>
      <c r="O1968" s="286"/>
      <c r="P1968" s="269"/>
      <c r="Q1968" s="269"/>
      <c r="R1968" s="269"/>
    </row>
    <row r="1969" spans="1:18" s="285" customFormat="1" ht="39.6" customHeight="1" x14ac:dyDescent="0.25">
      <c r="A1969" s="276"/>
      <c r="B1969" s="276"/>
      <c r="C1969" s="276"/>
      <c r="D1969" s="288"/>
      <c r="E1969" s="290"/>
      <c r="F1969" s="266"/>
      <c r="G1969" s="288"/>
      <c r="H1969" s="291"/>
      <c r="I1969" s="292"/>
      <c r="J1969" s="292"/>
      <c r="K1969" s="291"/>
      <c r="L1969" s="293"/>
      <c r="M1969" s="287"/>
      <c r="O1969" s="286"/>
      <c r="P1969" s="269"/>
      <c r="Q1969" s="269"/>
      <c r="R1969" s="269"/>
    </row>
    <row r="1970" spans="1:18" s="285" customFormat="1" ht="39.6" customHeight="1" x14ac:dyDescent="0.25">
      <c r="A1970" s="276"/>
      <c r="B1970" s="276"/>
      <c r="C1970" s="276"/>
      <c r="D1970" s="288"/>
      <c r="E1970" s="290"/>
      <c r="F1970" s="266"/>
      <c r="G1970" s="288"/>
      <c r="H1970" s="291"/>
      <c r="I1970" s="292"/>
      <c r="J1970" s="292"/>
      <c r="K1970" s="291"/>
      <c r="L1970" s="293"/>
      <c r="M1970" s="287"/>
      <c r="O1970" s="286"/>
      <c r="P1970" s="269"/>
      <c r="Q1970" s="269"/>
      <c r="R1970" s="269"/>
    </row>
    <row r="1971" spans="1:18" s="285" customFormat="1" ht="39.6" customHeight="1" x14ac:dyDescent="0.25">
      <c r="A1971" s="276"/>
      <c r="B1971" s="276"/>
      <c r="C1971" s="276"/>
      <c r="D1971" s="288"/>
      <c r="E1971" s="290"/>
      <c r="F1971" s="266"/>
      <c r="G1971" s="288"/>
      <c r="H1971" s="291"/>
      <c r="I1971" s="292"/>
      <c r="J1971" s="292"/>
      <c r="K1971" s="291"/>
      <c r="L1971" s="293"/>
      <c r="M1971" s="287"/>
      <c r="O1971" s="286"/>
      <c r="P1971" s="269"/>
      <c r="Q1971" s="269"/>
      <c r="R1971" s="269"/>
    </row>
    <row r="1972" spans="1:18" s="285" customFormat="1" ht="39.6" customHeight="1" x14ac:dyDescent="0.25">
      <c r="A1972" s="276"/>
      <c r="B1972" s="276"/>
      <c r="C1972" s="276"/>
      <c r="D1972" s="288"/>
      <c r="E1972" s="290"/>
      <c r="F1972" s="266"/>
      <c r="G1972" s="288"/>
      <c r="H1972" s="291"/>
      <c r="I1972" s="292"/>
      <c r="J1972" s="292"/>
      <c r="K1972" s="291"/>
      <c r="L1972" s="293"/>
      <c r="M1972" s="287"/>
      <c r="O1972" s="286"/>
      <c r="P1972" s="269"/>
      <c r="Q1972" s="269"/>
      <c r="R1972" s="269"/>
    </row>
    <row r="1973" spans="1:18" s="285" customFormat="1" ht="39.6" customHeight="1" x14ac:dyDescent="0.25">
      <c r="A1973" s="276"/>
      <c r="B1973" s="276"/>
      <c r="C1973" s="276"/>
      <c r="D1973" s="288"/>
      <c r="E1973" s="290"/>
      <c r="F1973" s="266"/>
      <c r="G1973" s="288"/>
      <c r="H1973" s="291"/>
      <c r="I1973" s="292"/>
      <c r="J1973" s="292"/>
      <c r="K1973" s="291"/>
      <c r="L1973" s="293"/>
      <c r="M1973" s="287"/>
      <c r="O1973" s="286"/>
      <c r="P1973" s="269"/>
      <c r="Q1973" s="269"/>
      <c r="R1973" s="269"/>
    </row>
    <row r="1974" spans="1:18" s="285" customFormat="1" ht="39.6" customHeight="1" x14ac:dyDescent="0.25">
      <c r="A1974" s="276"/>
      <c r="B1974" s="276"/>
      <c r="C1974" s="276"/>
      <c r="D1974" s="288"/>
      <c r="E1974" s="290"/>
      <c r="F1974" s="266"/>
      <c r="G1974" s="288"/>
      <c r="H1974" s="291"/>
      <c r="I1974" s="292"/>
      <c r="J1974" s="292"/>
      <c r="K1974" s="291"/>
      <c r="L1974" s="293"/>
      <c r="M1974" s="287"/>
      <c r="O1974" s="286"/>
      <c r="P1974" s="269"/>
      <c r="Q1974" s="269"/>
      <c r="R1974" s="269"/>
    </row>
    <row r="1975" spans="1:18" s="285" customFormat="1" ht="39.6" customHeight="1" x14ac:dyDescent="0.25">
      <c r="A1975" s="276"/>
      <c r="B1975" s="276"/>
      <c r="C1975" s="276"/>
      <c r="D1975" s="288"/>
      <c r="E1975" s="290"/>
      <c r="F1975" s="266"/>
      <c r="G1975" s="288"/>
      <c r="H1975" s="291"/>
      <c r="I1975" s="292"/>
      <c r="J1975" s="292"/>
      <c r="K1975" s="291"/>
      <c r="L1975" s="293"/>
      <c r="M1975" s="287"/>
      <c r="O1975" s="286"/>
      <c r="P1975" s="269"/>
      <c r="Q1975" s="269"/>
      <c r="R1975" s="269"/>
    </row>
    <row r="1976" spans="1:18" s="285" customFormat="1" ht="39.6" customHeight="1" x14ac:dyDescent="0.25">
      <c r="A1976" s="276"/>
      <c r="B1976" s="276"/>
      <c r="C1976" s="276"/>
      <c r="D1976" s="288"/>
      <c r="E1976" s="290"/>
      <c r="F1976" s="266"/>
      <c r="G1976" s="288"/>
      <c r="H1976" s="291"/>
      <c r="I1976" s="292"/>
      <c r="J1976" s="292"/>
      <c r="K1976" s="291"/>
      <c r="L1976" s="293"/>
      <c r="M1976" s="287"/>
      <c r="O1976" s="286"/>
      <c r="P1976" s="269"/>
      <c r="Q1976" s="269"/>
      <c r="R1976" s="269"/>
    </row>
    <row r="1977" spans="1:18" s="285" customFormat="1" ht="39.6" customHeight="1" x14ac:dyDescent="0.25">
      <c r="A1977" s="276"/>
      <c r="B1977" s="276"/>
      <c r="C1977" s="276"/>
      <c r="D1977" s="288"/>
      <c r="E1977" s="290"/>
      <c r="F1977" s="266"/>
      <c r="G1977" s="288"/>
      <c r="H1977" s="291"/>
      <c r="I1977" s="292"/>
      <c r="J1977" s="292"/>
      <c r="K1977" s="291"/>
      <c r="L1977" s="293"/>
      <c r="M1977" s="287"/>
      <c r="O1977" s="286"/>
      <c r="P1977" s="269"/>
      <c r="Q1977" s="269"/>
      <c r="R1977" s="269"/>
    </row>
    <row r="1978" spans="1:18" s="285" customFormat="1" ht="39.6" customHeight="1" x14ac:dyDescent="0.25">
      <c r="A1978" s="276"/>
      <c r="B1978" s="276"/>
      <c r="C1978" s="276"/>
      <c r="D1978" s="288"/>
      <c r="E1978" s="290"/>
      <c r="F1978" s="266"/>
      <c r="G1978" s="288"/>
      <c r="H1978" s="291"/>
      <c r="I1978" s="292"/>
      <c r="J1978" s="292"/>
      <c r="K1978" s="291"/>
      <c r="L1978" s="293"/>
      <c r="M1978" s="287"/>
      <c r="O1978" s="286"/>
      <c r="P1978" s="269"/>
      <c r="Q1978" s="269"/>
      <c r="R1978" s="269"/>
    </row>
    <row r="1979" spans="1:18" s="285" customFormat="1" ht="39.6" customHeight="1" x14ac:dyDescent="0.25">
      <c r="A1979" s="276"/>
      <c r="B1979" s="276"/>
      <c r="C1979" s="276"/>
      <c r="D1979" s="288"/>
      <c r="E1979" s="290"/>
      <c r="F1979" s="266"/>
      <c r="G1979" s="288"/>
      <c r="H1979" s="291"/>
      <c r="I1979" s="292"/>
      <c r="J1979" s="292"/>
      <c r="K1979" s="291"/>
      <c r="L1979" s="293"/>
      <c r="M1979" s="287"/>
      <c r="O1979" s="286"/>
      <c r="P1979" s="269"/>
      <c r="Q1979" s="269"/>
      <c r="R1979" s="269"/>
    </row>
    <row r="1980" spans="1:18" s="285" customFormat="1" ht="39.6" customHeight="1" x14ac:dyDescent="0.25">
      <c r="A1980" s="276"/>
      <c r="B1980" s="276"/>
      <c r="C1980" s="276"/>
      <c r="D1980" s="288"/>
      <c r="E1980" s="290"/>
      <c r="F1980" s="266"/>
      <c r="G1980" s="288"/>
      <c r="H1980" s="291"/>
      <c r="I1980" s="292"/>
      <c r="J1980" s="292"/>
      <c r="K1980" s="291"/>
      <c r="L1980" s="293"/>
      <c r="M1980" s="287"/>
      <c r="O1980" s="286"/>
      <c r="P1980" s="269"/>
      <c r="Q1980" s="269"/>
      <c r="R1980" s="269"/>
    </row>
    <row r="1981" spans="1:18" s="285" customFormat="1" ht="39.6" customHeight="1" x14ac:dyDescent="0.25">
      <c r="A1981" s="276"/>
      <c r="B1981" s="276"/>
      <c r="C1981" s="276"/>
      <c r="D1981" s="288"/>
      <c r="E1981" s="290"/>
      <c r="F1981" s="266"/>
      <c r="G1981" s="288"/>
      <c r="H1981" s="291"/>
      <c r="I1981" s="292"/>
      <c r="J1981" s="292"/>
      <c r="K1981" s="291"/>
      <c r="L1981" s="293"/>
      <c r="M1981" s="287"/>
      <c r="O1981" s="286"/>
      <c r="P1981" s="269"/>
      <c r="Q1981" s="269"/>
      <c r="R1981" s="269"/>
    </row>
    <row r="1982" spans="1:18" s="285" customFormat="1" ht="39.6" customHeight="1" x14ac:dyDescent="0.25">
      <c r="A1982" s="276"/>
      <c r="B1982" s="276"/>
      <c r="C1982" s="276"/>
      <c r="D1982" s="288"/>
      <c r="E1982" s="290"/>
      <c r="F1982" s="266"/>
      <c r="G1982" s="288"/>
      <c r="H1982" s="291"/>
      <c r="I1982" s="292"/>
      <c r="J1982" s="292"/>
      <c r="K1982" s="291"/>
      <c r="L1982" s="293"/>
      <c r="M1982" s="287"/>
      <c r="O1982" s="286"/>
      <c r="P1982" s="269"/>
      <c r="Q1982" s="269"/>
      <c r="R1982" s="269"/>
    </row>
    <row r="1983" spans="1:18" s="285" customFormat="1" ht="39.6" customHeight="1" x14ac:dyDescent="0.25">
      <c r="A1983" s="276"/>
      <c r="B1983" s="276"/>
      <c r="C1983" s="276"/>
      <c r="D1983" s="288"/>
      <c r="E1983" s="290"/>
      <c r="F1983" s="266"/>
      <c r="G1983" s="288"/>
      <c r="H1983" s="291"/>
      <c r="I1983" s="292"/>
      <c r="J1983" s="292"/>
      <c r="K1983" s="291"/>
      <c r="L1983" s="293"/>
      <c r="M1983" s="287"/>
      <c r="O1983" s="286"/>
      <c r="P1983" s="269"/>
      <c r="Q1983" s="269"/>
      <c r="R1983" s="269"/>
    </row>
    <row r="1984" spans="1:18" s="285" customFormat="1" ht="39.6" customHeight="1" x14ac:dyDescent="0.25">
      <c r="A1984" s="276"/>
      <c r="B1984" s="276"/>
      <c r="C1984" s="276"/>
      <c r="D1984" s="288"/>
      <c r="E1984" s="290"/>
      <c r="F1984" s="266"/>
      <c r="G1984" s="288"/>
      <c r="H1984" s="291"/>
      <c r="I1984" s="292"/>
      <c r="J1984" s="292"/>
      <c r="K1984" s="291"/>
      <c r="L1984" s="293"/>
      <c r="M1984" s="287"/>
      <c r="O1984" s="286"/>
      <c r="P1984" s="269"/>
      <c r="Q1984" s="269"/>
      <c r="R1984" s="269"/>
    </row>
    <row r="1985" spans="1:18" s="285" customFormat="1" ht="39.6" customHeight="1" x14ac:dyDescent="0.25">
      <c r="A1985" s="276"/>
      <c r="B1985" s="276"/>
      <c r="C1985" s="276"/>
      <c r="D1985" s="288"/>
      <c r="E1985" s="290"/>
      <c r="F1985" s="266"/>
      <c r="G1985" s="288"/>
      <c r="H1985" s="291"/>
      <c r="I1985" s="292"/>
      <c r="J1985" s="292"/>
      <c r="K1985" s="291"/>
      <c r="L1985" s="293"/>
      <c r="M1985" s="287"/>
      <c r="O1985" s="286"/>
      <c r="P1985" s="269"/>
      <c r="Q1985" s="269"/>
      <c r="R1985" s="269"/>
    </row>
    <row r="1986" spans="1:18" s="285" customFormat="1" ht="39.6" customHeight="1" x14ac:dyDescent="0.25">
      <c r="A1986" s="276"/>
      <c r="B1986" s="276"/>
      <c r="C1986" s="276"/>
      <c r="D1986" s="288"/>
      <c r="E1986" s="290"/>
      <c r="F1986" s="266"/>
      <c r="G1986" s="288"/>
      <c r="H1986" s="291"/>
      <c r="I1986" s="292"/>
      <c r="J1986" s="292"/>
      <c r="K1986" s="291"/>
      <c r="L1986" s="293"/>
      <c r="M1986" s="287"/>
      <c r="O1986" s="286"/>
      <c r="P1986" s="269"/>
      <c r="Q1986" s="269"/>
      <c r="R1986" s="269"/>
    </row>
    <row r="1987" spans="1:18" s="285" customFormat="1" ht="39.6" customHeight="1" x14ac:dyDescent="0.25">
      <c r="A1987" s="276"/>
      <c r="B1987" s="276"/>
      <c r="C1987" s="276"/>
      <c r="D1987" s="288"/>
      <c r="E1987" s="290"/>
      <c r="F1987" s="266"/>
      <c r="G1987" s="288"/>
      <c r="H1987" s="291"/>
      <c r="I1987" s="292"/>
      <c r="J1987" s="292"/>
      <c r="K1987" s="291"/>
      <c r="L1987" s="293"/>
      <c r="M1987" s="287"/>
      <c r="O1987" s="286"/>
      <c r="P1987" s="269"/>
      <c r="Q1987" s="269"/>
      <c r="R1987" s="269"/>
    </row>
    <row r="1988" spans="1:18" s="285" customFormat="1" ht="39.6" customHeight="1" x14ac:dyDescent="0.25">
      <c r="A1988" s="276"/>
      <c r="B1988" s="276"/>
      <c r="C1988" s="276"/>
      <c r="D1988" s="288"/>
      <c r="E1988" s="290"/>
      <c r="F1988" s="266"/>
      <c r="G1988" s="288"/>
      <c r="H1988" s="291"/>
      <c r="I1988" s="292"/>
      <c r="J1988" s="292"/>
      <c r="K1988" s="291"/>
      <c r="L1988" s="293"/>
      <c r="M1988" s="287"/>
      <c r="O1988" s="286"/>
      <c r="P1988" s="269"/>
      <c r="Q1988" s="269"/>
      <c r="R1988" s="269"/>
    </row>
    <row r="1989" spans="1:18" s="285" customFormat="1" ht="39.6" customHeight="1" x14ac:dyDescent="0.25">
      <c r="A1989" s="276"/>
      <c r="B1989" s="276"/>
      <c r="C1989" s="276"/>
      <c r="D1989" s="288"/>
      <c r="E1989" s="290"/>
      <c r="F1989" s="266"/>
      <c r="G1989" s="288"/>
      <c r="H1989" s="291"/>
      <c r="I1989" s="292"/>
      <c r="J1989" s="292"/>
      <c r="K1989" s="291"/>
      <c r="L1989" s="293"/>
      <c r="M1989" s="287"/>
      <c r="O1989" s="286"/>
      <c r="P1989" s="269"/>
      <c r="Q1989" s="269"/>
      <c r="R1989" s="269"/>
    </row>
    <row r="1990" spans="1:18" s="285" customFormat="1" ht="39.6" customHeight="1" x14ac:dyDescent="0.25">
      <c r="A1990" s="276"/>
      <c r="B1990" s="276"/>
      <c r="C1990" s="276"/>
      <c r="D1990" s="288"/>
      <c r="E1990" s="290"/>
      <c r="F1990" s="266"/>
      <c r="G1990" s="288"/>
      <c r="H1990" s="291"/>
      <c r="I1990" s="292"/>
      <c r="J1990" s="292"/>
      <c r="K1990" s="291"/>
      <c r="L1990" s="293"/>
      <c r="M1990" s="287"/>
      <c r="O1990" s="286"/>
      <c r="P1990" s="269"/>
      <c r="Q1990" s="269"/>
      <c r="R1990" s="269"/>
    </row>
    <row r="1991" spans="1:18" s="285" customFormat="1" ht="39.6" customHeight="1" x14ac:dyDescent="0.25">
      <c r="A1991" s="276"/>
      <c r="B1991" s="276"/>
      <c r="C1991" s="276"/>
      <c r="D1991" s="288"/>
      <c r="E1991" s="290"/>
      <c r="F1991" s="266"/>
      <c r="G1991" s="288"/>
      <c r="H1991" s="291"/>
      <c r="I1991" s="292"/>
      <c r="J1991" s="292"/>
      <c r="K1991" s="291"/>
      <c r="L1991" s="293"/>
      <c r="M1991" s="287"/>
      <c r="O1991" s="286"/>
      <c r="P1991" s="269"/>
      <c r="Q1991" s="269"/>
      <c r="R1991" s="269"/>
    </row>
    <row r="1992" spans="1:18" s="285" customFormat="1" ht="39.6" customHeight="1" x14ac:dyDescent="0.25">
      <c r="A1992" s="276"/>
      <c r="B1992" s="276"/>
      <c r="C1992" s="276"/>
      <c r="D1992" s="288"/>
      <c r="E1992" s="290"/>
      <c r="F1992" s="266"/>
      <c r="G1992" s="288"/>
      <c r="H1992" s="291"/>
      <c r="I1992" s="292"/>
      <c r="J1992" s="292"/>
      <c r="K1992" s="291"/>
      <c r="L1992" s="293"/>
      <c r="M1992" s="287"/>
      <c r="O1992" s="286"/>
      <c r="P1992" s="269"/>
      <c r="Q1992" s="269"/>
      <c r="R1992" s="269"/>
    </row>
    <row r="1993" spans="1:18" s="285" customFormat="1" ht="39.6" customHeight="1" x14ac:dyDescent="0.25">
      <c r="A1993" s="276"/>
      <c r="B1993" s="276"/>
      <c r="C1993" s="276"/>
      <c r="D1993" s="288"/>
      <c r="E1993" s="290"/>
      <c r="F1993" s="266"/>
      <c r="G1993" s="288"/>
      <c r="H1993" s="291"/>
      <c r="I1993" s="292"/>
      <c r="J1993" s="292"/>
      <c r="K1993" s="291"/>
      <c r="L1993" s="293"/>
      <c r="M1993" s="287"/>
      <c r="O1993" s="286"/>
      <c r="P1993" s="269"/>
      <c r="Q1993" s="269"/>
      <c r="R1993" s="269"/>
    </row>
    <row r="1994" spans="1:18" s="285" customFormat="1" ht="39.6" customHeight="1" x14ac:dyDescent="0.25">
      <c r="A1994" s="276"/>
      <c r="B1994" s="276"/>
      <c r="C1994" s="276"/>
      <c r="D1994" s="288"/>
      <c r="E1994" s="290"/>
      <c r="F1994" s="266"/>
      <c r="G1994" s="288"/>
      <c r="H1994" s="291"/>
      <c r="I1994" s="292"/>
      <c r="J1994" s="292"/>
      <c r="K1994" s="291"/>
      <c r="L1994" s="293"/>
      <c r="M1994" s="287"/>
      <c r="O1994" s="286"/>
      <c r="P1994" s="269"/>
      <c r="Q1994" s="269"/>
      <c r="R1994" s="269"/>
    </row>
    <row r="1995" spans="1:18" s="285" customFormat="1" ht="39.6" customHeight="1" x14ac:dyDescent="0.25">
      <c r="A1995" s="276"/>
      <c r="B1995" s="276"/>
      <c r="C1995" s="276"/>
      <c r="D1995" s="288"/>
      <c r="E1995" s="290"/>
      <c r="F1995" s="266"/>
      <c r="G1995" s="288"/>
      <c r="H1995" s="291"/>
      <c r="I1995" s="292"/>
      <c r="J1995" s="292"/>
      <c r="K1995" s="291"/>
      <c r="L1995" s="293"/>
      <c r="M1995" s="287"/>
      <c r="O1995" s="286"/>
      <c r="P1995" s="269"/>
      <c r="Q1995" s="269"/>
      <c r="R1995" s="269"/>
    </row>
    <row r="1996" spans="1:18" s="285" customFormat="1" ht="39.6" customHeight="1" x14ac:dyDescent="0.25">
      <c r="A1996" s="276"/>
      <c r="B1996" s="276"/>
      <c r="C1996" s="276"/>
      <c r="D1996" s="288"/>
      <c r="E1996" s="290"/>
      <c r="F1996" s="266"/>
      <c r="G1996" s="288"/>
      <c r="H1996" s="291"/>
      <c r="I1996" s="292"/>
      <c r="J1996" s="292"/>
      <c r="K1996" s="291"/>
      <c r="L1996" s="293"/>
      <c r="M1996" s="287"/>
      <c r="O1996" s="286"/>
      <c r="P1996" s="269"/>
      <c r="Q1996" s="269"/>
      <c r="R1996" s="269"/>
    </row>
    <row r="1997" spans="1:18" s="285" customFormat="1" ht="39.6" customHeight="1" x14ac:dyDescent="0.25">
      <c r="A1997" s="276"/>
      <c r="B1997" s="276"/>
      <c r="C1997" s="276"/>
      <c r="D1997" s="288"/>
      <c r="E1997" s="290"/>
      <c r="F1997" s="266"/>
      <c r="G1997" s="288"/>
      <c r="H1997" s="291"/>
      <c r="I1997" s="292"/>
      <c r="J1997" s="292"/>
      <c r="K1997" s="291"/>
      <c r="L1997" s="293"/>
      <c r="M1997" s="287"/>
      <c r="O1997" s="286"/>
      <c r="P1997" s="269"/>
      <c r="Q1997" s="269"/>
      <c r="R1997" s="269"/>
    </row>
    <row r="1998" spans="1:18" s="285" customFormat="1" ht="39.6" customHeight="1" x14ac:dyDescent="0.25">
      <c r="A1998" s="276"/>
      <c r="B1998" s="276"/>
      <c r="C1998" s="276"/>
      <c r="D1998" s="288"/>
      <c r="E1998" s="290"/>
      <c r="F1998" s="266"/>
      <c r="G1998" s="288"/>
      <c r="H1998" s="291"/>
      <c r="I1998" s="292"/>
      <c r="J1998" s="292"/>
      <c r="K1998" s="291"/>
      <c r="L1998" s="293"/>
      <c r="M1998" s="287"/>
      <c r="O1998" s="286"/>
      <c r="P1998" s="269"/>
      <c r="Q1998" s="269"/>
      <c r="R1998" s="269"/>
    </row>
    <row r="1999" spans="1:18" s="285" customFormat="1" ht="39.6" customHeight="1" x14ac:dyDescent="0.25">
      <c r="A1999" s="276"/>
      <c r="B1999" s="276"/>
      <c r="C1999" s="276"/>
      <c r="D1999" s="288"/>
      <c r="E1999" s="290"/>
      <c r="F1999" s="266"/>
      <c r="G1999" s="288"/>
      <c r="H1999" s="291"/>
      <c r="I1999" s="292"/>
      <c r="J1999" s="292"/>
      <c r="K1999" s="291"/>
      <c r="L1999" s="293"/>
      <c r="M1999" s="287"/>
      <c r="O1999" s="286"/>
      <c r="P1999" s="269"/>
      <c r="Q1999" s="269"/>
      <c r="R1999" s="269"/>
    </row>
    <row r="2000" spans="1:18" s="285" customFormat="1" ht="39.6" customHeight="1" x14ac:dyDescent="0.25">
      <c r="A2000" s="276"/>
      <c r="B2000" s="276"/>
      <c r="C2000" s="276"/>
      <c r="D2000" s="288"/>
      <c r="E2000" s="290"/>
      <c r="F2000" s="266"/>
      <c r="G2000" s="288"/>
      <c r="H2000" s="291"/>
      <c r="I2000" s="292"/>
      <c r="J2000" s="292"/>
      <c r="K2000" s="291"/>
      <c r="L2000" s="293"/>
      <c r="M2000" s="287"/>
      <c r="O2000" s="286"/>
      <c r="P2000" s="269"/>
      <c r="Q2000" s="269"/>
      <c r="R2000" s="269"/>
    </row>
    <row r="2001" spans="1:18" s="285" customFormat="1" ht="39.6" customHeight="1" x14ac:dyDescent="0.25">
      <c r="A2001" s="276"/>
      <c r="B2001" s="276"/>
      <c r="C2001" s="276"/>
      <c r="D2001" s="288"/>
      <c r="E2001" s="290"/>
      <c r="F2001" s="266"/>
      <c r="G2001" s="288"/>
      <c r="H2001" s="291"/>
      <c r="I2001" s="292"/>
      <c r="J2001" s="292"/>
      <c r="K2001" s="291"/>
      <c r="L2001" s="293"/>
      <c r="M2001" s="287"/>
      <c r="O2001" s="286"/>
      <c r="P2001" s="269"/>
      <c r="Q2001" s="269"/>
      <c r="R2001" s="269"/>
    </row>
    <row r="2002" spans="1:18" s="285" customFormat="1" ht="39.6" customHeight="1" x14ac:dyDescent="0.25">
      <c r="A2002" s="276"/>
      <c r="B2002" s="276"/>
      <c r="C2002" s="276"/>
      <c r="D2002" s="288"/>
      <c r="E2002" s="290"/>
      <c r="F2002" s="266"/>
      <c r="G2002" s="288"/>
      <c r="H2002" s="291"/>
      <c r="I2002" s="292"/>
      <c r="J2002" s="292"/>
      <c r="K2002" s="291"/>
      <c r="L2002" s="293"/>
      <c r="M2002" s="287"/>
      <c r="O2002" s="286"/>
      <c r="P2002" s="269"/>
      <c r="Q2002" s="269"/>
      <c r="R2002" s="269"/>
    </row>
    <row r="2003" spans="1:18" s="285" customFormat="1" ht="39.6" customHeight="1" x14ac:dyDescent="0.25">
      <c r="A2003" s="276"/>
      <c r="B2003" s="276"/>
      <c r="C2003" s="276"/>
      <c r="D2003" s="288"/>
      <c r="E2003" s="290"/>
      <c r="F2003" s="266"/>
      <c r="G2003" s="288"/>
      <c r="H2003" s="291"/>
      <c r="I2003" s="292"/>
      <c r="J2003" s="292"/>
      <c r="K2003" s="291"/>
      <c r="L2003" s="293"/>
      <c r="M2003" s="287"/>
      <c r="O2003" s="286"/>
      <c r="P2003" s="269"/>
      <c r="Q2003" s="269"/>
      <c r="R2003" s="269"/>
    </row>
    <row r="2004" spans="1:18" s="285" customFormat="1" ht="39.6" customHeight="1" x14ac:dyDescent="0.25">
      <c r="A2004" s="276"/>
      <c r="B2004" s="276"/>
      <c r="C2004" s="276"/>
      <c r="D2004" s="288"/>
      <c r="E2004" s="290"/>
      <c r="F2004" s="266"/>
      <c r="G2004" s="288"/>
      <c r="H2004" s="291"/>
      <c r="I2004" s="292"/>
      <c r="J2004" s="292"/>
      <c r="K2004" s="291"/>
      <c r="L2004" s="293"/>
      <c r="M2004" s="287"/>
      <c r="O2004" s="286"/>
      <c r="P2004" s="269"/>
      <c r="Q2004" s="269"/>
      <c r="R2004" s="269"/>
    </row>
    <row r="2005" spans="1:18" s="285" customFormat="1" ht="39.6" customHeight="1" x14ac:dyDescent="0.25">
      <c r="A2005" s="276"/>
      <c r="B2005" s="276"/>
      <c r="C2005" s="276"/>
      <c r="D2005" s="288"/>
      <c r="E2005" s="290"/>
      <c r="F2005" s="266"/>
      <c r="G2005" s="288"/>
      <c r="H2005" s="291"/>
      <c r="I2005" s="292"/>
      <c r="J2005" s="292"/>
      <c r="K2005" s="291"/>
      <c r="L2005" s="293"/>
      <c r="M2005" s="287"/>
      <c r="O2005" s="286"/>
      <c r="P2005" s="269"/>
      <c r="Q2005" s="269"/>
      <c r="R2005" s="269"/>
    </row>
    <row r="2006" spans="1:18" s="285" customFormat="1" ht="39.6" customHeight="1" x14ac:dyDescent="0.25">
      <c r="A2006" s="276"/>
      <c r="B2006" s="276"/>
      <c r="C2006" s="276"/>
      <c r="D2006" s="288"/>
      <c r="E2006" s="290"/>
      <c r="F2006" s="266"/>
      <c r="G2006" s="288"/>
      <c r="H2006" s="291"/>
      <c r="I2006" s="292"/>
      <c r="J2006" s="292"/>
      <c r="K2006" s="291"/>
      <c r="L2006" s="293"/>
      <c r="M2006" s="287"/>
      <c r="O2006" s="286"/>
      <c r="P2006" s="269"/>
      <c r="Q2006" s="269"/>
      <c r="R2006" s="269"/>
    </row>
    <row r="2007" spans="1:18" s="285" customFormat="1" ht="39.6" customHeight="1" x14ac:dyDescent="0.25">
      <c r="A2007" s="276"/>
      <c r="B2007" s="276"/>
      <c r="C2007" s="276"/>
      <c r="D2007" s="288"/>
      <c r="E2007" s="290"/>
      <c r="F2007" s="266"/>
      <c r="G2007" s="288"/>
      <c r="H2007" s="291"/>
      <c r="I2007" s="292"/>
      <c r="J2007" s="292"/>
      <c r="K2007" s="291"/>
      <c r="L2007" s="293"/>
      <c r="M2007" s="287"/>
      <c r="O2007" s="286"/>
      <c r="P2007" s="269"/>
      <c r="Q2007" s="269"/>
      <c r="R2007" s="269"/>
    </row>
    <row r="2008" spans="1:18" s="285" customFormat="1" ht="39.6" customHeight="1" x14ac:dyDescent="0.25">
      <c r="A2008" s="276"/>
      <c r="B2008" s="276"/>
      <c r="C2008" s="276"/>
      <c r="D2008" s="288"/>
      <c r="E2008" s="290"/>
      <c r="F2008" s="266"/>
      <c r="G2008" s="288"/>
      <c r="H2008" s="291"/>
      <c r="I2008" s="292"/>
      <c r="J2008" s="292"/>
      <c r="K2008" s="291"/>
      <c r="L2008" s="293"/>
      <c r="M2008" s="287"/>
      <c r="O2008" s="286"/>
      <c r="P2008" s="269"/>
      <c r="Q2008" s="269"/>
      <c r="R2008" s="269"/>
    </row>
    <row r="2009" spans="1:18" s="285" customFormat="1" ht="39.6" customHeight="1" x14ac:dyDescent="0.25">
      <c r="A2009" s="276"/>
      <c r="B2009" s="276"/>
      <c r="C2009" s="276"/>
      <c r="D2009" s="288"/>
      <c r="E2009" s="290"/>
      <c r="F2009" s="266"/>
      <c r="G2009" s="288"/>
      <c r="H2009" s="291"/>
      <c r="I2009" s="292"/>
      <c r="J2009" s="292"/>
      <c r="K2009" s="291"/>
      <c r="L2009" s="293"/>
      <c r="M2009" s="287"/>
      <c r="O2009" s="286"/>
      <c r="P2009" s="269"/>
      <c r="Q2009" s="269"/>
      <c r="R2009" s="269"/>
    </row>
    <row r="2010" spans="1:18" s="285" customFormat="1" ht="39.6" customHeight="1" x14ac:dyDescent="0.25">
      <c r="A2010" s="276"/>
      <c r="B2010" s="276"/>
      <c r="C2010" s="276"/>
      <c r="D2010" s="288"/>
      <c r="E2010" s="290"/>
      <c r="F2010" s="266"/>
      <c r="G2010" s="288"/>
      <c r="H2010" s="291"/>
      <c r="I2010" s="292"/>
      <c r="J2010" s="292"/>
      <c r="K2010" s="291"/>
      <c r="L2010" s="293"/>
      <c r="M2010" s="287"/>
      <c r="O2010" s="286"/>
      <c r="P2010" s="269"/>
      <c r="Q2010" s="269"/>
      <c r="R2010" s="269"/>
    </row>
    <row r="2011" spans="1:18" s="285" customFormat="1" ht="39.6" customHeight="1" x14ac:dyDescent="0.25">
      <c r="A2011" s="276"/>
      <c r="B2011" s="276"/>
      <c r="C2011" s="276"/>
      <c r="D2011" s="288"/>
      <c r="E2011" s="290"/>
      <c r="F2011" s="266"/>
      <c r="G2011" s="288"/>
      <c r="H2011" s="291"/>
      <c r="I2011" s="292"/>
      <c r="J2011" s="292"/>
      <c r="K2011" s="291"/>
      <c r="L2011" s="293"/>
      <c r="M2011" s="287"/>
      <c r="O2011" s="286"/>
      <c r="P2011" s="269"/>
      <c r="Q2011" s="269"/>
      <c r="R2011" s="269"/>
    </row>
    <row r="2012" spans="1:18" s="285" customFormat="1" ht="39.6" customHeight="1" x14ac:dyDescent="0.25">
      <c r="A2012" s="276"/>
      <c r="B2012" s="276"/>
      <c r="C2012" s="276"/>
      <c r="D2012" s="288"/>
      <c r="E2012" s="290"/>
      <c r="F2012" s="266"/>
      <c r="G2012" s="288"/>
      <c r="H2012" s="291"/>
      <c r="I2012" s="292"/>
      <c r="J2012" s="292"/>
      <c r="K2012" s="291"/>
      <c r="L2012" s="293"/>
      <c r="M2012" s="287"/>
      <c r="O2012" s="286"/>
      <c r="P2012" s="269"/>
      <c r="Q2012" s="269"/>
      <c r="R2012" s="269"/>
    </row>
    <row r="2013" spans="1:18" s="285" customFormat="1" ht="39.6" customHeight="1" x14ac:dyDescent="0.25">
      <c r="A2013" s="276"/>
      <c r="B2013" s="276"/>
      <c r="C2013" s="276"/>
      <c r="D2013" s="288"/>
      <c r="E2013" s="290"/>
      <c r="F2013" s="266"/>
      <c r="G2013" s="288"/>
      <c r="H2013" s="291"/>
      <c r="I2013" s="292"/>
      <c r="J2013" s="292"/>
      <c r="K2013" s="291"/>
      <c r="L2013" s="293"/>
      <c r="M2013" s="287"/>
      <c r="O2013" s="286"/>
      <c r="P2013" s="269"/>
      <c r="Q2013" s="269"/>
      <c r="R2013" s="269"/>
    </row>
    <row r="2014" spans="1:18" s="285" customFormat="1" ht="39.6" customHeight="1" x14ac:dyDescent="0.25">
      <c r="A2014" s="276"/>
      <c r="B2014" s="276"/>
      <c r="C2014" s="276"/>
      <c r="D2014" s="288"/>
      <c r="E2014" s="290"/>
      <c r="F2014" s="266"/>
      <c r="G2014" s="288"/>
      <c r="H2014" s="291"/>
      <c r="I2014" s="292"/>
      <c r="J2014" s="292"/>
      <c r="K2014" s="291"/>
      <c r="L2014" s="293"/>
      <c r="M2014" s="287"/>
      <c r="O2014" s="286"/>
      <c r="P2014" s="269"/>
      <c r="Q2014" s="269"/>
      <c r="R2014" s="269"/>
    </row>
    <row r="2015" spans="1:18" s="285" customFormat="1" ht="39.6" customHeight="1" x14ac:dyDescent="0.25">
      <c r="A2015" s="276"/>
      <c r="B2015" s="276"/>
      <c r="C2015" s="276"/>
      <c r="D2015" s="288"/>
      <c r="E2015" s="290"/>
      <c r="F2015" s="266"/>
      <c r="G2015" s="288"/>
      <c r="H2015" s="291"/>
      <c r="I2015" s="292"/>
      <c r="J2015" s="292"/>
      <c r="K2015" s="291"/>
      <c r="L2015" s="293"/>
      <c r="M2015" s="287"/>
      <c r="O2015" s="286"/>
      <c r="P2015" s="269"/>
      <c r="Q2015" s="269"/>
      <c r="R2015" s="269"/>
    </row>
    <row r="2016" spans="1:18" s="285" customFormat="1" ht="39.6" customHeight="1" x14ac:dyDescent="0.25">
      <c r="A2016" s="276"/>
      <c r="B2016" s="276"/>
      <c r="C2016" s="276"/>
      <c r="D2016" s="288"/>
      <c r="E2016" s="290"/>
      <c r="F2016" s="266"/>
      <c r="G2016" s="288"/>
      <c r="H2016" s="291"/>
      <c r="I2016" s="292"/>
      <c r="J2016" s="292"/>
      <c r="K2016" s="291"/>
      <c r="L2016" s="293"/>
      <c r="M2016" s="287"/>
      <c r="O2016" s="286"/>
      <c r="P2016" s="269"/>
      <c r="Q2016" s="269"/>
      <c r="R2016" s="269"/>
    </row>
    <row r="2017" spans="1:18" s="285" customFormat="1" ht="39.6" customHeight="1" x14ac:dyDescent="0.25">
      <c r="A2017" s="276"/>
      <c r="B2017" s="276"/>
      <c r="C2017" s="276"/>
      <c r="D2017" s="288"/>
      <c r="E2017" s="290"/>
      <c r="F2017" s="266"/>
      <c r="G2017" s="288"/>
      <c r="H2017" s="291"/>
      <c r="I2017" s="292"/>
      <c r="J2017" s="292"/>
      <c r="K2017" s="291"/>
      <c r="L2017" s="293"/>
      <c r="M2017" s="287"/>
      <c r="O2017" s="286"/>
      <c r="P2017" s="269"/>
      <c r="Q2017" s="269"/>
      <c r="R2017" s="269"/>
    </row>
    <row r="2018" spans="1:18" s="285" customFormat="1" ht="39.6" customHeight="1" x14ac:dyDescent="0.25">
      <c r="A2018" s="276"/>
      <c r="B2018" s="276"/>
      <c r="C2018" s="276"/>
      <c r="D2018" s="288"/>
      <c r="E2018" s="290"/>
      <c r="F2018" s="266"/>
      <c r="G2018" s="288"/>
      <c r="H2018" s="291"/>
      <c r="I2018" s="292"/>
      <c r="J2018" s="292"/>
      <c r="K2018" s="291"/>
      <c r="L2018" s="293"/>
      <c r="M2018" s="287"/>
      <c r="O2018" s="286"/>
      <c r="P2018" s="269"/>
      <c r="Q2018" s="269"/>
      <c r="R2018" s="269"/>
    </row>
    <row r="2019" spans="1:18" s="285" customFormat="1" ht="39.6" customHeight="1" x14ac:dyDescent="0.25">
      <c r="A2019" s="276"/>
      <c r="B2019" s="276"/>
      <c r="C2019" s="276"/>
      <c r="D2019" s="288"/>
      <c r="E2019" s="290"/>
      <c r="F2019" s="266"/>
      <c r="G2019" s="288"/>
      <c r="H2019" s="291"/>
      <c r="I2019" s="292"/>
      <c r="J2019" s="292"/>
      <c r="K2019" s="291"/>
      <c r="L2019" s="293"/>
      <c r="M2019" s="287"/>
      <c r="O2019" s="286"/>
      <c r="P2019" s="269"/>
      <c r="Q2019" s="269"/>
      <c r="R2019" s="269"/>
    </row>
    <row r="2020" spans="1:18" s="285" customFormat="1" ht="39.6" customHeight="1" x14ac:dyDescent="0.25">
      <c r="A2020" s="276"/>
      <c r="B2020" s="276"/>
      <c r="C2020" s="276"/>
      <c r="D2020" s="288"/>
      <c r="E2020" s="290"/>
      <c r="F2020" s="266"/>
      <c r="G2020" s="288"/>
      <c r="H2020" s="291"/>
      <c r="I2020" s="292"/>
      <c r="J2020" s="292"/>
      <c r="K2020" s="291"/>
      <c r="L2020" s="293"/>
      <c r="M2020" s="287"/>
      <c r="O2020" s="286"/>
      <c r="P2020" s="269"/>
      <c r="Q2020" s="269"/>
      <c r="R2020" s="269"/>
    </row>
    <row r="2021" spans="1:18" s="285" customFormat="1" ht="39.6" customHeight="1" x14ac:dyDescent="0.25">
      <c r="A2021" s="276"/>
      <c r="B2021" s="276"/>
      <c r="C2021" s="276"/>
      <c r="D2021" s="288"/>
      <c r="E2021" s="290"/>
      <c r="F2021" s="266"/>
      <c r="G2021" s="288"/>
      <c r="H2021" s="291"/>
      <c r="I2021" s="292"/>
      <c r="J2021" s="292"/>
      <c r="K2021" s="291"/>
      <c r="L2021" s="293"/>
      <c r="M2021" s="287"/>
      <c r="O2021" s="286"/>
      <c r="P2021" s="269"/>
      <c r="Q2021" s="269"/>
      <c r="R2021" s="269"/>
    </row>
    <row r="2022" spans="1:18" s="285" customFormat="1" ht="39.6" customHeight="1" x14ac:dyDescent="0.25">
      <c r="A2022" s="276"/>
      <c r="B2022" s="276"/>
      <c r="C2022" s="276"/>
      <c r="D2022" s="288"/>
      <c r="E2022" s="290"/>
      <c r="F2022" s="266"/>
      <c r="G2022" s="288"/>
      <c r="H2022" s="291"/>
      <c r="I2022" s="292"/>
      <c r="J2022" s="292"/>
      <c r="K2022" s="291"/>
      <c r="L2022" s="293"/>
      <c r="M2022" s="287"/>
      <c r="O2022" s="286"/>
      <c r="P2022" s="269"/>
      <c r="Q2022" s="269"/>
      <c r="R2022" s="269"/>
    </row>
    <row r="2023" spans="1:18" s="285" customFormat="1" ht="39.6" customHeight="1" x14ac:dyDescent="0.25">
      <c r="A2023" s="276"/>
      <c r="B2023" s="276"/>
      <c r="C2023" s="276"/>
      <c r="D2023" s="288"/>
      <c r="E2023" s="290"/>
      <c r="F2023" s="266"/>
      <c r="G2023" s="288"/>
      <c r="H2023" s="291"/>
      <c r="I2023" s="292"/>
      <c r="J2023" s="292"/>
      <c r="K2023" s="291"/>
      <c r="L2023" s="293"/>
      <c r="M2023" s="287"/>
      <c r="O2023" s="286"/>
      <c r="P2023" s="269"/>
      <c r="Q2023" s="269"/>
      <c r="R2023" s="269"/>
    </row>
    <row r="2024" spans="1:18" s="285" customFormat="1" ht="39.6" customHeight="1" x14ac:dyDescent="0.25">
      <c r="A2024" s="276"/>
      <c r="B2024" s="276"/>
      <c r="C2024" s="276"/>
      <c r="D2024" s="288"/>
      <c r="E2024" s="290"/>
      <c r="F2024" s="266"/>
      <c r="G2024" s="288"/>
      <c r="H2024" s="291"/>
      <c r="I2024" s="292"/>
      <c r="J2024" s="292"/>
      <c r="K2024" s="291"/>
      <c r="L2024" s="293"/>
      <c r="M2024" s="287"/>
      <c r="O2024" s="286"/>
      <c r="P2024" s="269"/>
      <c r="Q2024" s="269"/>
      <c r="R2024" s="269"/>
    </row>
    <row r="2025" spans="1:18" s="285" customFormat="1" ht="39.6" customHeight="1" x14ac:dyDescent="0.25">
      <c r="A2025" s="276"/>
      <c r="B2025" s="276"/>
      <c r="C2025" s="276"/>
      <c r="D2025" s="288"/>
      <c r="E2025" s="290"/>
      <c r="F2025" s="266"/>
      <c r="G2025" s="288"/>
      <c r="H2025" s="291"/>
      <c r="I2025" s="292"/>
      <c r="J2025" s="292"/>
      <c r="K2025" s="291"/>
      <c r="L2025" s="293"/>
      <c r="M2025" s="287"/>
      <c r="O2025" s="286"/>
      <c r="P2025" s="269"/>
      <c r="Q2025" s="269"/>
      <c r="R2025" s="269"/>
    </row>
    <row r="2026" spans="1:18" s="285" customFormat="1" ht="39.6" customHeight="1" x14ac:dyDescent="0.25">
      <c r="A2026" s="276"/>
      <c r="B2026" s="276"/>
      <c r="C2026" s="276"/>
      <c r="D2026" s="288"/>
      <c r="E2026" s="290"/>
      <c r="F2026" s="266"/>
      <c r="G2026" s="288"/>
      <c r="H2026" s="291"/>
      <c r="I2026" s="292"/>
      <c r="J2026" s="292"/>
      <c r="K2026" s="291"/>
      <c r="L2026" s="293"/>
      <c r="M2026" s="287"/>
      <c r="O2026" s="286"/>
      <c r="P2026" s="269"/>
      <c r="Q2026" s="269"/>
      <c r="R2026" s="269"/>
    </row>
    <row r="2027" spans="1:18" s="285" customFormat="1" ht="39.6" customHeight="1" x14ac:dyDescent="0.25">
      <c r="A2027" s="276"/>
      <c r="B2027" s="276"/>
      <c r="C2027" s="276"/>
      <c r="D2027" s="288"/>
      <c r="E2027" s="290"/>
      <c r="F2027" s="266"/>
      <c r="G2027" s="288"/>
      <c r="H2027" s="291"/>
      <c r="I2027" s="292"/>
      <c r="J2027" s="292"/>
      <c r="K2027" s="291"/>
      <c r="L2027" s="293"/>
      <c r="M2027" s="287"/>
      <c r="O2027" s="286"/>
      <c r="P2027" s="269"/>
      <c r="Q2027" s="269"/>
      <c r="R2027" s="269"/>
    </row>
    <row r="2028" spans="1:18" s="285" customFormat="1" ht="39.6" customHeight="1" x14ac:dyDescent="0.25">
      <c r="A2028" s="276"/>
      <c r="B2028" s="276"/>
      <c r="C2028" s="276"/>
      <c r="D2028" s="288"/>
      <c r="E2028" s="290"/>
      <c r="F2028" s="266"/>
      <c r="G2028" s="288"/>
      <c r="H2028" s="291"/>
      <c r="I2028" s="292"/>
      <c r="J2028" s="292"/>
      <c r="K2028" s="291"/>
      <c r="L2028" s="293"/>
      <c r="M2028" s="287"/>
      <c r="O2028" s="286"/>
      <c r="P2028" s="269"/>
      <c r="Q2028" s="269"/>
      <c r="R2028" s="269"/>
    </row>
    <row r="2029" spans="1:18" s="285" customFormat="1" ht="39.6" customHeight="1" x14ac:dyDescent="0.25">
      <c r="A2029" s="276"/>
      <c r="B2029" s="276"/>
      <c r="C2029" s="276"/>
      <c r="D2029" s="288"/>
      <c r="E2029" s="290"/>
      <c r="F2029" s="266"/>
      <c r="G2029" s="288"/>
      <c r="H2029" s="291"/>
      <c r="I2029" s="292"/>
      <c r="J2029" s="292"/>
      <c r="K2029" s="291"/>
      <c r="L2029" s="293"/>
      <c r="M2029" s="287"/>
      <c r="O2029" s="286"/>
      <c r="P2029" s="269"/>
      <c r="Q2029" s="269"/>
      <c r="R2029" s="269"/>
    </row>
    <row r="2030" spans="1:18" s="285" customFormat="1" ht="39.6" customHeight="1" x14ac:dyDescent="0.25">
      <c r="A2030" s="276"/>
      <c r="B2030" s="276"/>
      <c r="C2030" s="276"/>
      <c r="D2030" s="288"/>
      <c r="E2030" s="290"/>
      <c r="F2030" s="266"/>
      <c r="G2030" s="288"/>
      <c r="H2030" s="291"/>
      <c r="I2030" s="292"/>
      <c r="J2030" s="292"/>
      <c r="K2030" s="291"/>
      <c r="L2030" s="293"/>
      <c r="M2030" s="287"/>
      <c r="O2030" s="286"/>
      <c r="P2030" s="269"/>
      <c r="Q2030" s="269"/>
      <c r="R2030" s="269"/>
    </row>
    <row r="2031" spans="1:18" s="285" customFormat="1" ht="39.6" customHeight="1" x14ac:dyDescent="0.25">
      <c r="A2031" s="276"/>
      <c r="B2031" s="276"/>
      <c r="C2031" s="276"/>
      <c r="D2031" s="288"/>
      <c r="E2031" s="290"/>
      <c r="F2031" s="266"/>
      <c r="G2031" s="288"/>
      <c r="H2031" s="291"/>
      <c r="I2031" s="292"/>
      <c r="J2031" s="292"/>
      <c r="K2031" s="291"/>
      <c r="L2031" s="293"/>
      <c r="M2031" s="287"/>
      <c r="O2031" s="286"/>
      <c r="P2031" s="269"/>
      <c r="Q2031" s="269"/>
      <c r="R2031" s="269"/>
    </row>
    <row r="2032" spans="1:18" s="285" customFormat="1" ht="39.6" customHeight="1" x14ac:dyDescent="0.25">
      <c r="A2032" s="276"/>
      <c r="B2032" s="276"/>
      <c r="C2032" s="276"/>
      <c r="D2032" s="288"/>
      <c r="E2032" s="290"/>
      <c r="F2032" s="266"/>
      <c r="G2032" s="288"/>
      <c r="H2032" s="291"/>
      <c r="I2032" s="292"/>
      <c r="J2032" s="292"/>
      <c r="K2032" s="291"/>
      <c r="L2032" s="293"/>
      <c r="M2032" s="287"/>
      <c r="O2032" s="286"/>
      <c r="P2032" s="269"/>
      <c r="Q2032" s="269"/>
      <c r="R2032" s="269"/>
    </row>
    <row r="2033" spans="1:18" s="285" customFormat="1" ht="39.6" customHeight="1" x14ac:dyDescent="0.25">
      <c r="A2033" s="276"/>
      <c r="B2033" s="276"/>
      <c r="C2033" s="276"/>
      <c r="D2033" s="288"/>
      <c r="E2033" s="290"/>
      <c r="F2033" s="266"/>
      <c r="G2033" s="288"/>
      <c r="H2033" s="291"/>
      <c r="I2033" s="292"/>
      <c r="J2033" s="292"/>
      <c r="K2033" s="291"/>
      <c r="L2033" s="293"/>
      <c r="M2033" s="287"/>
      <c r="O2033" s="286"/>
      <c r="P2033" s="269"/>
      <c r="Q2033" s="269"/>
      <c r="R2033" s="269"/>
    </row>
    <row r="2034" spans="1:18" s="285" customFormat="1" ht="39.6" customHeight="1" x14ac:dyDescent="0.25">
      <c r="A2034" s="276"/>
      <c r="B2034" s="276"/>
      <c r="C2034" s="276"/>
      <c r="D2034" s="288"/>
      <c r="E2034" s="290"/>
      <c r="F2034" s="266"/>
      <c r="G2034" s="288"/>
      <c r="H2034" s="291"/>
      <c r="I2034" s="292"/>
      <c r="J2034" s="292"/>
      <c r="K2034" s="291"/>
      <c r="L2034" s="293"/>
      <c r="M2034" s="287"/>
      <c r="O2034" s="286"/>
      <c r="P2034" s="269"/>
      <c r="Q2034" s="269"/>
      <c r="R2034" s="269"/>
    </row>
    <row r="2035" spans="1:18" s="285" customFormat="1" ht="39.6" customHeight="1" x14ac:dyDescent="0.25">
      <c r="A2035" s="276"/>
      <c r="B2035" s="276"/>
      <c r="C2035" s="276"/>
      <c r="D2035" s="288"/>
      <c r="E2035" s="290"/>
      <c r="F2035" s="266"/>
      <c r="G2035" s="288"/>
      <c r="H2035" s="291"/>
      <c r="I2035" s="292"/>
      <c r="J2035" s="292"/>
      <c r="K2035" s="291"/>
      <c r="L2035" s="293"/>
      <c r="M2035" s="287"/>
      <c r="O2035" s="286"/>
      <c r="P2035" s="269"/>
      <c r="Q2035" s="269"/>
      <c r="R2035" s="269"/>
    </row>
    <row r="2036" spans="1:18" s="285" customFormat="1" ht="39.6" customHeight="1" x14ac:dyDescent="0.25">
      <c r="A2036" s="276"/>
      <c r="B2036" s="276"/>
      <c r="C2036" s="276"/>
      <c r="D2036" s="288"/>
      <c r="E2036" s="290"/>
      <c r="F2036" s="266"/>
      <c r="G2036" s="288"/>
      <c r="H2036" s="291"/>
      <c r="I2036" s="292"/>
      <c r="J2036" s="292"/>
      <c r="K2036" s="291"/>
      <c r="L2036" s="293"/>
      <c r="M2036" s="287"/>
      <c r="O2036" s="286"/>
      <c r="P2036" s="269"/>
      <c r="Q2036" s="269"/>
      <c r="R2036" s="269"/>
    </row>
    <row r="2037" spans="1:18" s="285" customFormat="1" ht="39.6" customHeight="1" x14ac:dyDescent="0.25">
      <c r="A2037" s="276"/>
      <c r="B2037" s="276"/>
      <c r="C2037" s="276"/>
      <c r="D2037" s="288"/>
      <c r="E2037" s="290"/>
      <c r="F2037" s="266"/>
      <c r="G2037" s="288"/>
      <c r="H2037" s="291"/>
      <c r="I2037" s="292"/>
      <c r="J2037" s="292"/>
      <c r="K2037" s="291"/>
      <c r="L2037" s="293"/>
      <c r="M2037" s="287"/>
      <c r="O2037" s="286"/>
      <c r="P2037" s="269"/>
      <c r="Q2037" s="269"/>
      <c r="R2037" s="269"/>
    </row>
    <row r="2038" spans="1:18" s="285" customFormat="1" ht="39.6" customHeight="1" x14ac:dyDescent="0.25">
      <c r="A2038" s="276"/>
      <c r="B2038" s="276"/>
      <c r="C2038" s="276"/>
      <c r="D2038" s="288"/>
      <c r="E2038" s="290"/>
      <c r="F2038" s="266"/>
      <c r="G2038" s="288"/>
      <c r="H2038" s="291"/>
      <c r="I2038" s="292"/>
      <c r="J2038" s="292"/>
      <c r="K2038" s="291"/>
      <c r="L2038" s="293"/>
      <c r="M2038" s="287"/>
      <c r="O2038" s="286"/>
      <c r="P2038" s="269"/>
      <c r="Q2038" s="269"/>
      <c r="R2038" s="269"/>
    </row>
    <row r="2039" spans="1:18" s="285" customFormat="1" ht="39.6" customHeight="1" x14ac:dyDescent="0.25">
      <c r="A2039" s="276"/>
      <c r="B2039" s="276"/>
      <c r="C2039" s="276"/>
      <c r="D2039" s="288"/>
      <c r="E2039" s="290"/>
      <c r="F2039" s="266"/>
      <c r="G2039" s="288"/>
      <c r="H2039" s="291"/>
      <c r="I2039" s="292"/>
      <c r="J2039" s="292"/>
      <c r="K2039" s="291"/>
      <c r="L2039" s="293"/>
      <c r="M2039" s="287"/>
      <c r="O2039" s="286"/>
      <c r="P2039" s="269"/>
      <c r="Q2039" s="269"/>
      <c r="R2039" s="269"/>
    </row>
    <row r="2040" spans="1:18" s="285" customFormat="1" ht="39.6" customHeight="1" x14ac:dyDescent="0.25">
      <c r="A2040" s="276"/>
      <c r="B2040" s="276"/>
      <c r="C2040" s="276"/>
      <c r="D2040" s="288"/>
      <c r="E2040" s="290"/>
      <c r="F2040" s="266"/>
      <c r="G2040" s="288"/>
      <c r="H2040" s="291"/>
      <c r="I2040" s="292"/>
      <c r="J2040" s="292"/>
      <c r="K2040" s="291"/>
      <c r="L2040" s="293"/>
      <c r="M2040" s="287"/>
      <c r="O2040" s="286"/>
      <c r="P2040" s="269"/>
      <c r="Q2040" s="269"/>
      <c r="R2040" s="269"/>
    </row>
    <row r="2041" spans="1:18" s="285" customFormat="1" ht="39.6" customHeight="1" x14ac:dyDescent="0.25">
      <c r="A2041" s="276"/>
      <c r="B2041" s="276"/>
      <c r="C2041" s="276"/>
      <c r="D2041" s="288"/>
      <c r="E2041" s="290"/>
      <c r="F2041" s="266"/>
      <c r="G2041" s="288"/>
      <c r="H2041" s="291"/>
      <c r="I2041" s="292"/>
      <c r="J2041" s="292"/>
      <c r="K2041" s="291"/>
      <c r="L2041" s="293"/>
      <c r="M2041" s="287"/>
      <c r="O2041" s="286"/>
      <c r="P2041" s="269"/>
      <c r="Q2041" s="269"/>
      <c r="R2041" s="269"/>
    </row>
    <row r="2042" spans="1:18" s="285" customFormat="1" ht="39.6" customHeight="1" x14ac:dyDescent="0.25">
      <c r="A2042" s="276"/>
      <c r="B2042" s="276"/>
      <c r="C2042" s="276"/>
      <c r="D2042" s="288"/>
      <c r="E2042" s="290"/>
      <c r="F2042" s="266"/>
      <c r="G2042" s="288"/>
      <c r="H2042" s="291"/>
      <c r="I2042" s="292"/>
      <c r="J2042" s="292"/>
      <c r="K2042" s="291"/>
      <c r="L2042" s="293"/>
      <c r="M2042" s="287"/>
      <c r="O2042" s="286"/>
      <c r="P2042" s="269"/>
      <c r="Q2042" s="269"/>
      <c r="R2042" s="269"/>
    </row>
    <row r="2043" spans="1:18" s="285" customFormat="1" ht="39.6" customHeight="1" x14ac:dyDescent="0.25">
      <c r="A2043" s="276"/>
      <c r="B2043" s="276"/>
      <c r="C2043" s="276"/>
      <c r="D2043" s="288"/>
      <c r="E2043" s="290"/>
      <c r="F2043" s="266"/>
      <c r="G2043" s="288"/>
      <c r="H2043" s="291"/>
      <c r="I2043" s="292"/>
      <c r="J2043" s="292"/>
      <c r="K2043" s="291"/>
      <c r="L2043" s="293"/>
      <c r="M2043" s="287"/>
      <c r="O2043" s="286"/>
      <c r="P2043" s="269"/>
      <c r="Q2043" s="269"/>
      <c r="R2043" s="269"/>
    </row>
    <row r="2044" spans="1:18" s="285" customFormat="1" ht="39.6" customHeight="1" x14ac:dyDescent="0.25">
      <c r="A2044" s="276"/>
      <c r="B2044" s="276"/>
      <c r="C2044" s="276"/>
      <c r="D2044" s="288"/>
      <c r="E2044" s="290"/>
      <c r="F2044" s="266"/>
      <c r="G2044" s="288"/>
      <c r="H2044" s="291"/>
      <c r="I2044" s="292"/>
      <c r="J2044" s="292"/>
      <c r="K2044" s="291"/>
      <c r="L2044" s="293"/>
      <c r="M2044" s="287"/>
      <c r="O2044" s="286"/>
      <c r="P2044" s="269"/>
      <c r="Q2044" s="269"/>
      <c r="R2044" s="269"/>
    </row>
    <row r="2045" spans="1:18" s="285" customFormat="1" ht="39.6" customHeight="1" x14ac:dyDescent="0.25">
      <c r="A2045" s="276"/>
      <c r="B2045" s="276"/>
      <c r="C2045" s="276"/>
      <c r="D2045" s="288"/>
      <c r="E2045" s="290"/>
      <c r="F2045" s="266"/>
      <c r="G2045" s="288"/>
      <c r="H2045" s="291"/>
      <c r="I2045" s="292"/>
      <c r="J2045" s="292"/>
      <c r="K2045" s="291"/>
      <c r="L2045" s="293"/>
      <c r="M2045" s="287"/>
      <c r="O2045" s="286"/>
      <c r="P2045" s="269"/>
      <c r="Q2045" s="269"/>
      <c r="R2045" s="269"/>
    </row>
    <row r="2046" spans="1:18" s="285" customFormat="1" ht="39.6" customHeight="1" x14ac:dyDescent="0.25">
      <c r="A2046" s="276"/>
      <c r="B2046" s="276"/>
      <c r="C2046" s="276"/>
      <c r="D2046" s="288"/>
      <c r="E2046" s="290"/>
      <c r="F2046" s="266"/>
      <c r="G2046" s="288"/>
      <c r="H2046" s="291"/>
      <c r="I2046" s="292"/>
      <c r="J2046" s="292"/>
      <c r="K2046" s="291"/>
      <c r="L2046" s="293"/>
      <c r="M2046" s="287"/>
      <c r="O2046" s="286"/>
      <c r="P2046" s="269"/>
      <c r="Q2046" s="269"/>
      <c r="R2046" s="269"/>
    </row>
    <row r="2047" spans="1:18" s="285" customFormat="1" ht="39.6" customHeight="1" x14ac:dyDescent="0.25">
      <c r="A2047" s="276"/>
      <c r="B2047" s="276"/>
      <c r="C2047" s="276"/>
      <c r="D2047" s="288"/>
      <c r="E2047" s="290"/>
      <c r="F2047" s="266"/>
      <c r="G2047" s="288"/>
      <c r="H2047" s="291"/>
      <c r="I2047" s="292"/>
      <c r="J2047" s="292"/>
      <c r="K2047" s="291"/>
      <c r="L2047" s="293"/>
      <c r="M2047" s="287"/>
      <c r="O2047" s="286"/>
      <c r="P2047" s="269"/>
      <c r="Q2047" s="269"/>
      <c r="R2047" s="269"/>
    </row>
    <row r="2048" spans="1:18" s="285" customFormat="1" ht="39.6" customHeight="1" x14ac:dyDescent="0.25">
      <c r="A2048" s="276"/>
      <c r="B2048" s="276"/>
      <c r="C2048" s="276"/>
      <c r="D2048" s="288"/>
      <c r="E2048" s="290"/>
      <c r="F2048" s="266"/>
      <c r="G2048" s="288"/>
      <c r="H2048" s="291"/>
      <c r="I2048" s="292"/>
      <c r="J2048" s="292"/>
      <c r="K2048" s="291"/>
      <c r="L2048" s="293"/>
      <c r="M2048" s="287"/>
      <c r="O2048" s="286"/>
      <c r="P2048" s="269"/>
      <c r="Q2048" s="269"/>
      <c r="R2048" s="269"/>
    </row>
    <row r="2049" spans="1:18" s="285" customFormat="1" ht="39.6" customHeight="1" x14ac:dyDescent="0.25">
      <c r="A2049" s="276"/>
      <c r="B2049" s="276"/>
      <c r="C2049" s="276"/>
      <c r="D2049" s="288"/>
      <c r="E2049" s="290"/>
      <c r="F2049" s="266"/>
      <c r="G2049" s="288"/>
      <c r="H2049" s="291"/>
      <c r="I2049" s="292"/>
      <c r="J2049" s="292"/>
      <c r="K2049" s="291"/>
      <c r="L2049" s="293"/>
      <c r="M2049" s="287"/>
      <c r="O2049" s="286"/>
      <c r="P2049" s="269"/>
      <c r="Q2049" s="269"/>
      <c r="R2049" s="269"/>
    </row>
    <row r="2050" spans="1:18" s="285" customFormat="1" ht="39.6" customHeight="1" x14ac:dyDescent="0.25">
      <c r="A2050" s="276"/>
      <c r="B2050" s="276"/>
      <c r="C2050" s="276"/>
      <c r="D2050" s="288"/>
      <c r="E2050" s="290"/>
      <c r="F2050" s="266"/>
      <c r="G2050" s="288"/>
      <c r="H2050" s="291"/>
      <c r="I2050" s="292"/>
      <c r="J2050" s="292"/>
      <c r="K2050" s="291"/>
      <c r="L2050" s="293"/>
      <c r="M2050" s="287"/>
      <c r="O2050" s="286"/>
      <c r="P2050" s="269"/>
      <c r="Q2050" s="269"/>
      <c r="R2050" s="269"/>
    </row>
    <row r="2051" spans="1:18" s="285" customFormat="1" ht="39.6" customHeight="1" x14ac:dyDescent="0.25">
      <c r="A2051" s="276"/>
      <c r="B2051" s="276"/>
      <c r="C2051" s="276"/>
      <c r="D2051" s="288"/>
      <c r="E2051" s="290"/>
      <c r="F2051" s="266"/>
      <c r="G2051" s="288"/>
      <c r="H2051" s="291"/>
      <c r="I2051" s="292"/>
      <c r="J2051" s="292"/>
      <c r="K2051" s="291"/>
      <c r="L2051" s="293"/>
      <c r="M2051" s="287"/>
      <c r="O2051" s="286"/>
      <c r="P2051" s="269"/>
      <c r="Q2051" s="269"/>
      <c r="R2051" s="269"/>
    </row>
    <row r="2052" spans="1:18" s="285" customFormat="1" ht="39.6" customHeight="1" x14ac:dyDescent="0.25">
      <c r="A2052" s="276"/>
      <c r="B2052" s="276"/>
      <c r="C2052" s="276"/>
      <c r="D2052" s="288"/>
      <c r="E2052" s="290"/>
      <c r="F2052" s="266"/>
      <c r="G2052" s="288"/>
      <c r="H2052" s="291"/>
      <c r="I2052" s="292"/>
      <c r="J2052" s="292"/>
      <c r="K2052" s="291"/>
      <c r="L2052" s="293"/>
      <c r="M2052" s="287"/>
      <c r="O2052" s="286"/>
      <c r="P2052" s="269"/>
      <c r="Q2052" s="269"/>
      <c r="R2052" s="269"/>
    </row>
    <row r="2053" spans="1:18" s="285" customFormat="1" ht="39.6" customHeight="1" x14ac:dyDescent="0.25">
      <c r="A2053" s="276"/>
      <c r="B2053" s="276"/>
      <c r="C2053" s="276"/>
      <c r="D2053" s="288"/>
      <c r="E2053" s="290"/>
      <c r="F2053" s="266"/>
      <c r="G2053" s="288"/>
      <c r="H2053" s="291"/>
      <c r="I2053" s="292"/>
      <c r="J2053" s="292"/>
      <c r="K2053" s="291"/>
      <c r="L2053" s="293"/>
      <c r="M2053" s="287"/>
      <c r="O2053" s="286"/>
      <c r="P2053" s="269"/>
      <c r="Q2053" s="269"/>
      <c r="R2053" s="269"/>
    </row>
    <row r="2054" spans="1:18" s="285" customFormat="1" ht="39.6" customHeight="1" x14ac:dyDescent="0.25">
      <c r="A2054" s="276"/>
      <c r="B2054" s="276"/>
      <c r="C2054" s="276"/>
      <c r="D2054" s="288"/>
      <c r="E2054" s="290"/>
      <c r="F2054" s="266"/>
      <c r="G2054" s="288"/>
      <c r="H2054" s="291"/>
      <c r="I2054" s="292"/>
      <c r="J2054" s="292"/>
      <c r="K2054" s="291"/>
      <c r="L2054" s="293"/>
      <c r="M2054" s="287"/>
      <c r="O2054" s="286"/>
      <c r="P2054" s="269"/>
      <c r="Q2054" s="269"/>
      <c r="R2054" s="269"/>
    </row>
    <row r="2055" spans="1:18" s="285" customFormat="1" ht="39.6" customHeight="1" x14ac:dyDescent="0.25">
      <c r="A2055" s="276"/>
      <c r="B2055" s="276"/>
      <c r="C2055" s="276"/>
      <c r="D2055" s="288"/>
      <c r="E2055" s="290"/>
      <c r="F2055" s="266"/>
      <c r="G2055" s="288"/>
      <c r="H2055" s="291"/>
      <c r="I2055" s="292"/>
      <c r="J2055" s="292"/>
      <c r="K2055" s="291"/>
      <c r="L2055" s="293"/>
      <c r="M2055" s="287"/>
      <c r="O2055" s="286"/>
      <c r="P2055" s="269"/>
      <c r="Q2055" s="269"/>
      <c r="R2055" s="269"/>
    </row>
    <row r="2056" spans="1:18" s="285" customFormat="1" ht="39.6" customHeight="1" x14ac:dyDescent="0.25">
      <c r="A2056" s="276"/>
      <c r="B2056" s="276"/>
      <c r="C2056" s="276"/>
      <c r="D2056" s="288"/>
      <c r="E2056" s="290"/>
      <c r="F2056" s="266"/>
      <c r="G2056" s="288"/>
      <c r="H2056" s="291"/>
      <c r="I2056" s="292"/>
      <c r="J2056" s="292"/>
      <c r="K2056" s="291"/>
      <c r="L2056" s="293"/>
      <c r="M2056" s="287"/>
      <c r="O2056" s="286"/>
      <c r="P2056" s="269"/>
      <c r="Q2056" s="269"/>
      <c r="R2056" s="269"/>
    </row>
    <row r="2057" spans="1:18" s="285" customFormat="1" ht="39.6" customHeight="1" x14ac:dyDescent="0.25">
      <c r="A2057" s="276"/>
      <c r="B2057" s="276"/>
      <c r="C2057" s="276"/>
      <c r="D2057" s="288"/>
      <c r="E2057" s="290"/>
      <c r="F2057" s="266"/>
      <c r="G2057" s="288"/>
      <c r="H2057" s="291"/>
      <c r="I2057" s="292"/>
      <c r="J2057" s="292"/>
      <c r="K2057" s="291"/>
      <c r="L2057" s="293"/>
      <c r="M2057" s="287"/>
      <c r="O2057" s="286"/>
      <c r="P2057" s="269"/>
      <c r="Q2057" s="269"/>
      <c r="R2057" s="269"/>
    </row>
    <row r="2058" spans="1:18" s="285" customFormat="1" ht="39.6" customHeight="1" x14ac:dyDescent="0.25">
      <c r="A2058" s="276"/>
      <c r="B2058" s="276"/>
      <c r="C2058" s="276"/>
      <c r="D2058" s="288"/>
      <c r="E2058" s="290"/>
      <c r="F2058" s="266"/>
      <c r="G2058" s="288"/>
      <c r="H2058" s="291"/>
      <c r="I2058" s="292"/>
      <c r="J2058" s="292"/>
      <c r="K2058" s="291"/>
      <c r="L2058" s="293"/>
      <c r="M2058" s="287"/>
      <c r="O2058" s="286"/>
      <c r="P2058" s="269"/>
      <c r="Q2058" s="269"/>
      <c r="R2058" s="269"/>
    </row>
    <row r="2059" spans="1:18" s="285" customFormat="1" ht="39.6" customHeight="1" x14ac:dyDescent="0.25">
      <c r="A2059" s="276"/>
      <c r="B2059" s="276"/>
      <c r="C2059" s="276"/>
      <c r="D2059" s="288"/>
      <c r="E2059" s="290"/>
      <c r="F2059" s="266"/>
      <c r="G2059" s="288"/>
      <c r="H2059" s="291"/>
      <c r="I2059" s="292"/>
      <c r="J2059" s="292"/>
      <c r="K2059" s="291"/>
      <c r="L2059" s="293"/>
      <c r="M2059" s="287"/>
      <c r="O2059" s="286"/>
      <c r="P2059" s="269"/>
      <c r="Q2059" s="269"/>
      <c r="R2059" s="269"/>
    </row>
    <row r="2060" spans="1:18" s="285" customFormat="1" ht="39.6" customHeight="1" x14ac:dyDescent="0.25">
      <c r="A2060" s="276"/>
      <c r="B2060" s="276"/>
      <c r="C2060" s="276"/>
      <c r="D2060" s="288"/>
      <c r="E2060" s="290"/>
      <c r="F2060" s="266"/>
      <c r="G2060" s="288"/>
      <c r="H2060" s="291"/>
      <c r="I2060" s="292"/>
      <c r="J2060" s="292"/>
      <c r="K2060" s="291"/>
      <c r="L2060" s="293"/>
      <c r="M2060" s="287"/>
      <c r="O2060" s="286"/>
      <c r="P2060" s="269"/>
      <c r="Q2060" s="269"/>
      <c r="R2060" s="269"/>
    </row>
    <row r="2061" spans="1:18" s="285" customFormat="1" ht="39.6" customHeight="1" x14ac:dyDescent="0.25">
      <c r="A2061" s="276"/>
      <c r="B2061" s="276"/>
      <c r="C2061" s="276"/>
      <c r="D2061" s="288"/>
      <c r="E2061" s="290"/>
      <c r="F2061" s="266"/>
      <c r="G2061" s="288"/>
      <c r="H2061" s="291"/>
      <c r="I2061" s="292"/>
      <c r="J2061" s="292"/>
      <c r="K2061" s="291"/>
      <c r="L2061" s="293"/>
      <c r="M2061" s="287"/>
      <c r="O2061" s="286"/>
      <c r="P2061" s="269"/>
      <c r="Q2061" s="269"/>
      <c r="R2061" s="269"/>
    </row>
    <row r="2062" spans="1:18" s="285" customFormat="1" ht="39.6" customHeight="1" x14ac:dyDescent="0.25">
      <c r="A2062" s="276"/>
      <c r="B2062" s="276"/>
      <c r="C2062" s="276"/>
      <c r="D2062" s="288"/>
      <c r="E2062" s="290"/>
      <c r="F2062" s="266"/>
      <c r="G2062" s="288"/>
      <c r="H2062" s="291"/>
      <c r="I2062" s="292"/>
      <c r="J2062" s="292"/>
      <c r="K2062" s="291"/>
      <c r="L2062" s="293"/>
      <c r="M2062" s="287"/>
      <c r="O2062" s="286"/>
      <c r="P2062" s="269"/>
      <c r="Q2062" s="269"/>
      <c r="R2062" s="269"/>
    </row>
    <row r="2063" spans="1:18" s="285" customFormat="1" ht="39.6" customHeight="1" x14ac:dyDescent="0.25">
      <c r="A2063" s="276"/>
      <c r="B2063" s="276"/>
      <c r="C2063" s="276"/>
      <c r="D2063" s="288"/>
      <c r="E2063" s="290"/>
      <c r="F2063" s="266"/>
      <c r="G2063" s="288"/>
      <c r="H2063" s="291"/>
      <c r="I2063" s="292"/>
      <c r="J2063" s="292"/>
      <c r="K2063" s="291"/>
      <c r="L2063" s="293"/>
      <c r="M2063" s="287"/>
      <c r="O2063" s="286"/>
      <c r="P2063" s="269"/>
      <c r="Q2063" s="269"/>
      <c r="R2063" s="269"/>
    </row>
    <row r="2064" spans="1:18" s="285" customFormat="1" ht="39.6" customHeight="1" x14ac:dyDescent="0.25">
      <c r="A2064" s="276"/>
      <c r="B2064" s="276"/>
      <c r="C2064" s="276"/>
      <c r="D2064" s="288"/>
      <c r="E2064" s="290"/>
      <c r="F2064" s="266"/>
      <c r="G2064" s="288"/>
      <c r="H2064" s="291"/>
      <c r="I2064" s="292"/>
      <c r="J2064" s="292"/>
      <c r="K2064" s="291"/>
      <c r="L2064" s="293"/>
      <c r="M2064" s="287"/>
      <c r="O2064" s="286"/>
      <c r="P2064" s="269"/>
      <c r="Q2064" s="269"/>
      <c r="R2064" s="269"/>
    </row>
    <row r="2065" spans="1:18" s="285" customFormat="1" ht="39.6" customHeight="1" x14ac:dyDescent="0.25">
      <c r="A2065" s="276"/>
      <c r="B2065" s="276"/>
      <c r="C2065" s="276"/>
      <c r="D2065" s="288"/>
      <c r="E2065" s="290"/>
      <c r="F2065" s="266"/>
      <c r="G2065" s="288"/>
      <c r="H2065" s="291"/>
      <c r="I2065" s="292"/>
      <c r="J2065" s="292"/>
      <c r="K2065" s="291"/>
      <c r="L2065" s="293"/>
      <c r="M2065" s="287"/>
      <c r="O2065" s="286"/>
      <c r="P2065" s="269"/>
      <c r="Q2065" s="269"/>
      <c r="R2065" s="269"/>
    </row>
    <row r="2066" spans="1:18" s="285" customFormat="1" ht="39.6" customHeight="1" x14ac:dyDescent="0.25">
      <c r="A2066" s="276"/>
      <c r="B2066" s="276"/>
      <c r="C2066" s="276"/>
      <c r="D2066" s="288"/>
      <c r="E2066" s="290"/>
      <c r="F2066" s="266"/>
      <c r="G2066" s="288"/>
      <c r="H2066" s="291"/>
      <c r="I2066" s="292"/>
      <c r="J2066" s="292"/>
      <c r="K2066" s="291"/>
      <c r="L2066" s="293"/>
      <c r="M2066" s="287"/>
      <c r="O2066" s="286"/>
      <c r="P2066" s="269"/>
      <c r="Q2066" s="269"/>
      <c r="R2066" s="269"/>
    </row>
    <row r="2067" spans="1:18" s="285" customFormat="1" ht="39.6" customHeight="1" x14ac:dyDescent="0.25">
      <c r="A2067" s="276"/>
      <c r="B2067" s="276"/>
      <c r="C2067" s="276"/>
      <c r="D2067" s="288"/>
      <c r="E2067" s="290"/>
      <c r="F2067" s="266"/>
      <c r="G2067" s="288"/>
      <c r="H2067" s="291"/>
      <c r="I2067" s="292"/>
      <c r="J2067" s="292"/>
      <c r="K2067" s="291"/>
      <c r="L2067" s="293"/>
      <c r="M2067" s="287"/>
      <c r="O2067" s="286"/>
      <c r="P2067" s="269"/>
      <c r="Q2067" s="269"/>
      <c r="R2067" s="269"/>
    </row>
    <row r="2068" spans="1:18" s="285" customFormat="1" ht="39.6" customHeight="1" x14ac:dyDescent="0.25">
      <c r="A2068" s="276"/>
      <c r="B2068" s="276"/>
      <c r="C2068" s="276"/>
      <c r="D2068" s="288"/>
      <c r="E2068" s="290"/>
      <c r="F2068" s="266"/>
      <c r="G2068" s="288"/>
      <c r="H2068" s="291"/>
      <c r="I2068" s="292"/>
      <c r="J2068" s="292"/>
      <c r="K2068" s="291"/>
      <c r="L2068" s="293"/>
      <c r="M2068" s="287"/>
      <c r="O2068" s="286"/>
      <c r="P2068" s="269"/>
      <c r="Q2068" s="269"/>
      <c r="R2068" s="269"/>
    </row>
    <row r="2069" spans="1:18" s="285" customFormat="1" ht="39.6" customHeight="1" x14ac:dyDescent="0.25">
      <c r="A2069" s="276"/>
      <c r="B2069" s="276"/>
      <c r="C2069" s="276"/>
      <c r="D2069" s="288"/>
      <c r="E2069" s="290"/>
      <c r="F2069" s="266"/>
      <c r="G2069" s="288"/>
      <c r="H2069" s="291"/>
      <c r="I2069" s="292"/>
      <c r="J2069" s="292"/>
      <c r="K2069" s="291"/>
      <c r="L2069" s="293"/>
      <c r="M2069" s="287"/>
      <c r="O2069" s="286"/>
      <c r="P2069" s="269"/>
      <c r="Q2069" s="269"/>
      <c r="R2069" s="269"/>
    </row>
    <row r="2070" spans="1:18" s="285" customFormat="1" ht="39.6" customHeight="1" x14ac:dyDescent="0.25">
      <c r="A2070" s="276"/>
      <c r="B2070" s="276"/>
      <c r="C2070" s="276"/>
      <c r="D2070" s="288"/>
      <c r="E2070" s="290"/>
      <c r="F2070" s="266"/>
      <c r="G2070" s="288"/>
      <c r="H2070" s="291"/>
      <c r="I2070" s="292"/>
      <c r="J2070" s="292"/>
      <c r="K2070" s="291"/>
      <c r="L2070" s="293"/>
      <c r="M2070" s="287"/>
      <c r="O2070" s="286"/>
      <c r="P2070" s="269"/>
      <c r="Q2070" s="269"/>
      <c r="R2070" s="269"/>
    </row>
    <row r="2071" spans="1:18" s="285" customFormat="1" ht="39.6" customHeight="1" x14ac:dyDescent="0.25">
      <c r="A2071" s="276"/>
      <c r="B2071" s="276"/>
      <c r="C2071" s="276"/>
      <c r="D2071" s="288"/>
      <c r="E2071" s="290"/>
      <c r="F2071" s="266"/>
      <c r="G2071" s="288"/>
      <c r="H2071" s="291"/>
      <c r="I2071" s="292"/>
      <c r="J2071" s="292"/>
      <c r="K2071" s="291"/>
      <c r="L2071" s="293"/>
      <c r="M2071" s="287"/>
      <c r="O2071" s="286"/>
      <c r="P2071" s="269"/>
      <c r="Q2071" s="269"/>
      <c r="R2071" s="269"/>
    </row>
    <row r="2072" spans="1:18" s="285" customFormat="1" ht="39.6" customHeight="1" x14ac:dyDescent="0.25">
      <c r="A2072" s="276"/>
      <c r="B2072" s="276"/>
      <c r="C2072" s="276"/>
      <c r="D2072" s="288"/>
      <c r="E2072" s="290"/>
      <c r="F2072" s="266"/>
      <c r="G2072" s="288"/>
      <c r="H2072" s="291"/>
      <c r="I2072" s="292"/>
      <c r="J2072" s="292"/>
      <c r="K2072" s="291"/>
      <c r="L2072" s="293"/>
      <c r="M2072" s="287"/>
      <c r="O2072" s="286"/>
      <c r="P2072" s="269"/>
      <c r="Q2072" s="269"/>
      <c r="R2072" s="269"/>
    </row>
    <row r="2073" spans="1:18" s="285" customFormat="1" ht="39.6" customHeight="1" x14ac:dyDescent="0.25">
      <c r="A2073" s="276"/>
      <c r="B2073" s="276"/>
      <c r="C2073" s="276"/>
      <c r="D2073" s="288"/>
      <c r="E2073" s="290"/>
      <c r="F2073" s="266"/>
      <c r="G2073" s="288"/>
      <c r="H2073" s="291"/>
      <c r="I2073" s="292"/>
      <c r="J2073" s="292"/>
      <c r="K2073" s="291"/>
      <c r="L2073" s="293"/>
      <c r="M2073" s="287"/>
      <c r="O2073" s="286"/>
      <c r="P2073" s="269"/>
      <c r="Q2073" s="269"/>
      <c r="R2073" s="269"/>
    </row>
    <row r="2074" spans="1:18" s="285" customFormat="1" ht="39.6" customHeight="1" x14ac:dyDescent="0.25">
      <c r="A2074" s="276"/>
      <c r="B2074" s="276"/>
      <c r="C2074" s="276"/>
      <c r="D2074" s="288"/>
      <c r="E2074" s="290"/>
      <c r="F2074" s="266"/>
      <c r="G2074" s="288"/>
      <c r="H2074" s="291"/>
      <c r="I2074" s="292"/>
      <c r="J2074" s="292"/>
      <c r="K2074" s="291"/>
      <c r="L2074" s="293"/>
      <c r="M2074" s="287"/>
      <c r="O2074" s="286"/>
      <c r="P2074" s="269"/>
      <c r="Q2074" s="269"/>
      <c r="R2074" s="269"/>
    </row>
    <row r="2075" spans="1:18" s="285" customFormat="1" ht="39.6" customHeight="1" x14ac:dyDescent="0.25">
      <c r="A2075" s="276"/>
      <c r="B2075" s="276"/>
      <c r="C2075" s="276"/>
      <c r="D2075" s="288"/>
      <c r="E2075" s="290"/>
      <c r="F2075" s="266"/>
      <c r="G2075" s="288"/>
      <c r="H2075" s="291"/>
      <c r="I2075" s="292"/>
      <c r="J2075" s="292"/>
      <c r="K2075" s="291"/>
      <c r="L2075" s="293"/>
      <c r="M2075" s="287"/>
      <c r="O2075" s="286"/>
      <c r="P2075" s="269"/>
      <c r="Q2075" s="269"/>
      <c r="R2075" s="269"/>
    </row>
    <row r="2076" spans="1:18" s="285" customFormat="1" ht="39.6" customHeight="1" x14ac:dyDescent="0.25">
      <c r="A2076" s="276"/>
      <c r="B2076" s="276"/>
      <c r="C2076" s="276"/>
      <c r="D2076" s="288"/>
      <c r="E2076" s="290"/>
      <c r="F2076" s="266"/>
      <c r="G2076" s="288"/>
      <c r="H2076" s="291"/>
      <c r="I2076" s="292"/>
      <c r="J2076" s="292"/>
      <c r="K2076" s="291"/>
      <c r="L2076" s="293"/>
      <c r="M2076" s="287"/>
      <c r="O2076" s="286"/>
      <c r="P2076" s="269"/>
      <c r="Q2076" s="269"/>
      <c r="R2076" s="269"/>
    </row>
    <row r="2077" spans="1:18" s="285" customFormat="1" ht="39.6" customHeight="1" x14ac:dyDescent="0.25">
      <c r="A2077" s="276"/>
      <c r="B2077" s="276"/>
      <c r="C2077" s="276"/>
      <c r="D2077" s="288"/>
      <c r="E2077" s="290"/>
      <c r="F2077" s="266"/>
      <c r="G2077" s="288"/>
      <c r="H2077" s="291"/>
      <c r="I2077" s="292"/>
      <c r="J2077" s="292"/>
      <c r="K2077" s="291"/>
      <c r="L2077" s="293"/>
      <c r="M2077" s="287"/>
      <c r="O2077" s="286"/>
      <c r="P2077" s="269"/>
      <c r="Q2077" s="269"/>
      <c r="R2077" s="269"/>
    </row>
    <row r="2078" spans="1:18" s="285" customFormat="1" ht="39.6" customHeight="1" x14ac:dyDescent="0.25">
      <c r="A2078" s="276"/>
      <c r="B2078" s="276"/>
      <c r="C2078" s="276"/>
      <c r="D2078" s="288"/>
      <c r="E2078" s="290"/>
      <c r="F2078" s="266"/>
      <c r="G2078" s="288"/>
      <c r="H2078" s="291"/>
      <c r="I2078" s="292"/>
      <c r="J2078" s="292"/>
      <c r="K2078" s="291"/>
      <c r="L2078" s="293"/>
      <c r="M2078" s="287"/>
      <c r="O2078" s="286"/>
      <c r="P2078" s="269"/>
      <c r="Q2078" s="269"/>
      <c r="R2078" s="269"/>
    </row>
    <row r="2079" spans="1:18" s="285" customFormat="1" ht="39.6" customHeight="1" x14ac:dyDescent="0.25">
      <c r="A2079" s="276"/>
      <c r="B2079" s="276"/>
      <c r="C2079" s="276"/>
      <c r="D2079" s="288"/>
      <c r="E2079" s="290"/>
      <c r="F2079" s="266"/>
      <c r="G2079" s="288"/>
      <c r="H2079" s="291"/>
      <c r="I2079" s="292"/>
      <c r="J2079" s="292"/>
      <c r="K2079" s="291"/>
      <c r="L2079" s="293"/>
      <c r="M2079" s="287"/>
      <c r="O2079" s="286"/>
      <c r="P2079" s="269"/>
      <c r="Q2079" s="269"/>
      <c r="R2079" s="269"/>
    </row>
    <row r="2080" spans="1:18" s="285" customFormat="1" ht="39.6" customHeight="1" x14ac:dyDescent="0.25">
      <c r="A2080" s="276"/>
      <c r="B2080" s="276"/>
      <c r="C2080" s="276"/>
      <c r="D2080" s="288"/>
      <c r="E2080" s="290"/>
      <c r="F2080" s="266"/>
      <c r="G2080" s="288"/>
      <c r="H2080" s="291"/>
      <c r="I2080" s="292"/>
      <c r="J2080" s="292"/>
      <c r="K2080" s="291"/>
      <c r="L2080" s="293"/>
      <c r="M2080" s="287"/>
      <c r="O2080" s="286"/>
      <c r="P2080" s="269"/>
      <c r="Q2080" s="269"/>
      <c r="R2080" s="269"/>
    </row>
    <row r="2081" spans="1:18" s="285" customFormat="1" ht="39.6" customHeight="1" x14ac:dyDescent="0.25">
      <c r="A2081" s="276"/>
      <c r="B2081" s="276"/>
      <c r="C2081" s="276"/>
      <c r="D2081" s="288"/>
      <c r="E2081" s="290"/>
      <c r="F2081" s="266"/>
      <c r="G2081" s="288"/>
      <c r="H2081" s="291"/>
      <c r="I2081" s="292"/>
      <c r="J2081" s="292"/>
      <c r="K2081" s="291"/>
      <c r="L2081" s="293"/>
      <c r="M2081" s="287"/>
      <c r="O2081" s="286"/>
      <c r="P2081" s="269"/>
      <c r="Q2081" s="269"/>
      <c r="R2081" s="269"/>
    </row>
    <row r="2082" spans="1:18" s="285" customFormat="1" ht="39.6" customHeight="1" x14ac:dyDescent="0.25">
      <c r="A2082" s="276"/>
      <c r="B2082" s="276"/>
      <c r="C2082" s="276"/>
      <c r="D2082" s="288"/>
      <c r="E2082" s="290"/>
      <c r="F2082" s="266"/>
      <c r="G2082" s="288"/>
      <c r="H2082" s="291"/>
      <c r="I2082" s="292"/>
      <c r="J2082" s="292"/>
      <c r="K2082" s="291"/>
      <c r="L2082" s="293"/>
      <c r="M2082" s="287"/>
      <c r="O2082" s="286"/>
      <c r="P2082" s="269"/>
      <c r="Q2082" s="269"/>
      <c r="R2082" s="269"/>
    </row>
    <row r="2083" spans="1:18" s="285" customFormat="1" ht="39.6" customHeight="1" x14ac:dyDescent="0.25">
      <c r="A2083" s="276"/>
      <c r="B2083" s="276"/>
      <c r="C2083" s="276"/>
      <c r="D2083" s="288"/>
      <c r="E2083" s="290"/>
      <c r="F2083" s="266"/>
      <c r="G2083" s="288"/>
      <c r="H2083" s="291"/>
      <c r="I2083" s="292"/>
      <c r="J2083" s="292"/>
      <c r="K2083" s="291"/>
      <c r="L2083" s="293"/>
      <c r="M2083" s="287"/>
      <c r="O2083" s="286"/>
      <c r="P2083" s="269"/>
      <c r="Q2083" s="269"/>
      <c r="R2083" s="269"/>
    </row>
    <row r="2084" spans="1:18" s="285" customFormat="1" ht="39.6" customHeight="1" x14ac:dyDescent="0.25">
      <c r="A2084" s="276"/>
      <c r="B2084" s="276"/>
      <c r="C2084" s="276"/>
      <c r="D2084" s="288"/>
      <c r="E2084" s="290"/>
      <c r="F2084" s="266"/>
      <c r="G2084" s="288"/>
      <c r="H2084" s="291"/>
      <c r="I2084" s="292"/>
      <c r="J2084" s="292"/>
      <c r="K2084" s="291"/>
      <c r="L2084" s="293"/>
      <c r="M2084" s="287"/>
      <c r="O2084" s="286"/>
      <c r="P2084" s="269"/>
      <c r="Q2084" s="269"/>
      <c r="R2084" s="269"/>
    </row>
    <row r="2085" spans="1:18" s="285" customFormat="1" ht="39.6" customHeight="1" x14ac:dyDescent="0.25">
      <c r="A2085" s="276"/>
      <c r="B2085" s="276"/>
      <c r="C2085" s="276"/>
      <c r="D2085" s="288"/>
      <c r="E2085" s="290"/>
      <c r="F2085" s="266"/>
      <c r="G2085" s="288"/>
      <c r="H2085" s="291"/>
      <c r="I2085" s="292"/>
      <c r="J2085" s="292"/>
      <c r="K2085" s="291"/>
      <c r="L2085" s="293"/>
      <c r="M2085" s="287"/>
      <c r="O2085" s="286"/>
      <c r="P2085" s="269"/>
      <c r="Q2085" s="269"/>
      <c r="R2085" s="269"/>
    </row>
    <row r="2086" spans="1:18" s="285" customFormat="1" ht="39.6" customHeight="1" x14ac:dyDescent="0.25">
      <c r="A2086" s="276"/>
      <c r="B2086" s="276"/>
      <c r="C2086" s="276"/>
      <c r="D2086" s="288"/>
      <c r="E2086" s="290"/>
      <c r="F2086" s="266"/>
      <c r="G2086" s="288"/>
      <c r="H2086" s="291"/>
      <c r="I2086" s="292"/>
      <c r="J2086" s="292"/>
      <c r="K2086" s="291"/>
      <c r="L2086" s="293"/>
      <c r="M2086" s="287"/>
      <c r="O2086" s="286"/>
      <c r="P2086" s="269"/>
      <c r="Q2086" s="269"/>
      <c r="R2086" s="269"/>
    </row>
    <row r="2087" spans="1:18" s="285" customFormat="1" ht="39.6" customHeight="1" x14ac:dyDescent="0.25">
      <c r="A2087" s="276"/>
      <c r="B2087" s="276"/>
      <c r="C2087" s="276"/>
      <c r="D2087" s="288"/>
      <c r="E2087" s="290"/>
      <c r="F2087" s="266"/>
      <c r="G2087" s="288"/>
      <c r="H2087" s="291"/>
      <c r="I2087" s="292"/>
      <c r="J2087" s="292"/>
      <c r="K2087" s="291"/>
      <c r="L2087" s="293"/>
      <c r="M2087" s="287"/>
      <c r="O2087" s="286"/>
      <c r="P2087" s="269"/>
      <c r="Q2087" s="269"/>
      <c r="R2087" s="269"/>
    </row>
    <row r="2088" spans="1:18" s="285" customFormat="1" ht="39.6" customHeight="1" x14ac:dyDescent="0.25">
      <c r="A2088" s="276"/>
      <c r="B2088" s="276"/>
      <c r="C2088" s="276"/>
      <c r="D2088" s="288"/>
      <c r="E2088" s="290"/>
      <c r="F2088" s="266"/>
      <c r="G2088" s="288"/>
      <c r="H2088" s="291"/>
      <c r="I2088" s="292"/>
      <c r="J2088" s="292"/>
      <c r="K2088" s="291"/>
      <c r="L2088" s="293"/>
      <c r="M2088" s="287"/>
      <c r="O2088" s="286"/>
      <c r="P2088" s="269"/>
      <c r="Q2088" s="269"/>
      <c r="R2088" s="269"/>
    </row>
    <row r="2089" spans="1:18" s="285" customFormat="1" ht="39.6" customHeight="1" x14ac:dyDescent="0.25">
      <c r="A2089" s="276"/>
      <c r="B2089" s="276"/>
      <c r="C2089" s="276"/>
      <c r="D2089" s="288"/>
      <c r="E2089" s="290"/>
      <c r="F2089" s="266"/>
      <c r="G2089" s="288"/>
      <c r="H2089" s="291"/>
      <c r="I2089" s="292"/>
      <c r="J2089" s="292"/>
      <c r="K2089" s="291"/>
      <c r="L2089" s="293"/>
      <c r="M2089" s="287"/>
      <c r="O2089" s="286"/>
      <c r="P2089" s="269"/>
      <c r="Q2089" s="269"/>
      <c r="R2089" s="269"/>
    </row>
    <row r="2090" spans="1:18" s="285" customFormat="1" ht="39.6" customHeight="1" x14ac:dyDescent="0.25">
      <c r="A2090" s="276"/>
      <c r="B2090" s="276"/>
      <c r="C2090" s="276"/>
      <c r="D2090" s="288"/>
      <c r="E2090" s="290"/>
      <c r="F2090" s="266"/>
      <c r="G2090" s="288"/>
      <c r="H2090" s="291"/>
      <c r="I2090" s="292"/>
      <c r="J2090" s="292"/>
      <c r="K2090" s="291"/>
      <c r="L2090" s="293"/>
      <c r="M2090" s="287"/>
      <c r="O2090" s="286"/>
      <c r="P2090" s="269"/>
      <c r="Q2090" s="269"/>
      <c r="R2090" s="269"/>
    </row>
    <row r="2091" spans="1:18" s="285" customFormat="1" ht="39.6" customHeight="1" x14ac:dyDescent="0.25">
      <c r="A2091" s="276"/>
      <c r="B2091" s="276"/>
      <c r="C2091" s="276"/>
      <c r="D2091" s="288"/>
      <c r="E2091" s="290"/>
      <c r="F2091" s="266"/>
      <c r="G2091" s="288"/>
      <c r="H2091" s="291"/>
      <c r="I2091" s="292"/>
      <c r="J2091" s="292"/>
      <c r="K2091" s="291"/>
      <c r="L2091" s="293"/>
      <c r="M2091" s="287"/>
      <c r="O2091" s="286"/>
      <c r="P2091" s="269"/>
      <c r="Q2091" s="269"/>
      <c r="R2091" s="269"/>
    </row>
    <row r="2092" spans="1:18" s="285" customFormat="1" ht="39.6" customHeight="1" x14ac:dyDescent="0.25">
      <c r="A2092" s="276"/>
      <c r="B2092" s="276"/>
      <c r="C2092" s="276"/>
      <c r="D2092" s="288"/>
      <c r="E2092" s="290"/>
      <c r="F2092" s="266"/>
      <c r="G2092" s="288"/>
      <c r="H2092" s="291"/>
      <c r="I2092" s="292"/>
      <c r="J2092" s="292"/>
      <c r="K2092" s="291"/>
      <c r="L2092" s="293"/>
      <c r="M2092" s="287"/>
      <c r="O2092" s="286"/>
      <c r="P2092" s="269"/>
      <c r="Q2092" s="269"/>
      <c r="R2092" s="269"/>
    </row>
    <row r="2093" spans="1:18" s="285" customFormat="1" ht="39.6" customHeight="1" x14ac:dyDescent="0.25">
      <c r="A2093" s="276"/>
      <c r="B2093" s="276"/>
      <c r="C2093" s="276"/>
      <c r="D2093" s="288"/>
      <c r="E2093" s="290"/>
      <c r="F2093" s="266"/>
      <c r="G2093" s="288"/>
      <c r="H2093" s="291"/>
      <c r="I2093" s="292"/>
      <c r="J2093" s="292"/>
      <c r="K2093" s="291"/>
      <c r="L2093" s="293"/>
      <c r="M2093" s="287"/>
      <c r="O2093" s="286"/>
      <c r="P2093" s="269"/>
      <c r="Q2093" s="269"/>
      <c r="R2093" s="269"/>
    </row>
    <row r="2094" spans="1:18" s="285" customFormat="1" ht="39.6" customHeight="1" x14ac:dyDescent="0.25">
      <c r="A2094" s="276"/>
      <c r="B2094" s="276"/>
      <c r="C2094" s="276"/>
      <c r="D2094" s="288"/>
      <c r="E2094" s="290"/>
      <c r="F2094" s="266"/>
      <c r="G2094" s="288"/>
      <c r="H2094" s="291"/>
      <c r="I2094" s="292"/>
      <c r="J2094" s="292"/>
      <c r="K2094" s="291"/>
      <c r="L2094" s="293"/>
      <c r="M2094" s="287"/>
      <c r="O2094" s="286"/>
      <c r="P2094" s="269"/>
      <c r="Q2094" s="269"/>
      <c r="R2094" s="269"/>
    </row>
    <row r="2095" spans="1:18" s="285" customFormat="1" ht="39.6" customHeight="1" x14ac:dyDescent="0.25">
      <c r="A2095" s="276"/>
      <c r="B2095" s="276"/>
      <c r="C2095" s="276"/>
      <c r="D2095" s="288"/>
      <c r="E2095" s="290"/>
      <c r="F2095" s="266"/>
      <c r="G2095" s="288"/>
      <c r="H2095" s="291"/>
      <c r="I2095" s="292"/>
      <c r="J2095" s="292"/>
      <c r="K2095" s="291"/>
      <c r="L2095" s="293"/>
      <c r="M2095" s="287"/>
      <c r="O2095" s="286"/>
      <c r="P2095" s="269"/>
      <c r="Q2095" s="269"/>
      <c r="R2095" s="269"/>
    </row>
    <row r="2096" spans="1:18" s="285" customFormat="1" ht="39.6" customHeight="1" x14ac:dyDescent="0.25">
      <c r="A2096" s="276"/>
      <c r="B2096" s="276"/>
      <c r="C2096" s="276"/>
      <c r="D2096" s="288"/>
      <c r="E2096" s="290"/>
      <c r="F2096" s="266"/>
      <c r="G2096" s="288"/>
      <c r="H2096" s="291"/>
      <c r="I2096" s="292"/>
      <c r="J2096" s="292"/>
      <c r="K2096" s="291"/>
      <c r="L2096" s="293"/>
      <c r="M2096" s="287"/>
      <c r="O2096" s="286"/>
      <c r="P2096" s="269"/>
      <c r="Q2096" s="269"/>
      <c r="R2096" s="269"/>
    </row>
    <row r="2097" spans="1:18" s="285" customFormat="1" ht="39.6" customHeight="1" x14ac:dyDescent="0.25">
      <c r="A2097" s="276"/>
      <c r="B2097" s="276"/>
      <c r="C2097" s="276"/>
      <c r="D2097" s="288"/>
      <c r="E2097" s="290"/>
      <c r="F2097" s="266"/>
      <c r="G2097" s="288"/>
      <c r="H2097" s="291"/>
      <c r="I2097" s="292"/>
      <c r="J2097" s="292"/>
      <c r="K2097" s="291"/>
      <c r="L2097" s="293"/>
      <c r="M2097" s="287"/>
      <c r="O2097" s="286"/>
      <c r="P2097" s="269"/>
      <c r="Q2097" s="269"/>
      <c r="R2097" s="269"/>
    </row>
    <row r="2098" spans="1:18" s="285" customFormat="1" ht="39.6" customHeight="1" x14ac:dyDescent="0.25">
      <c r="A2098" s="276"/>
      <c r="B2098" s="276"/>
      <c r="C2098" s="276"/>
      <c r="D2098" s="288"/>
      <c r="E2098" s="290"/>
      <c r="F2098" s="266"/>
      <c r="G2098" s="288"/>
      <c r="H2098" s="291"/>
      <c r="I2098" s="292"/>
      <c r="J2098" s="292"/>
      <c r="K2098" s="291"/>
      <c r="L2098" s="293"/>
      <c r="M2098" s="287"/>
      <c r="O2098" s="286"/>
      <c r="P2098" s="269"/>
      <c r="Q2098" s="269"/>
      <c r="R2098" s="269"/>
    </row>
    <row r="2099" spans="1:18" s="285" customFormat="1" ht="39.6" customHeight="1" x14ac:dyDescent="0.25">
      <c r="A2099" s="276"/>
      <c r="B2099" s="276"/>
      <c r="C2099" s="276"/>
      <c r="D2099" s="288"/>
      <c r="E2099" s="290"/>
      <c r="F2099" s="266"/>
      <c r="G2099" s="288"/>
      <c r="H2099" s="291"/>
      <c r="I2099" s="292"/>
      <c r="J2099" s="292"/>
      <c r="K2099" s="291"/>
      <c r="L2099" s="293"/>
      <c r="M2099" s="287"/>
      <c r="O2099" s="286"/>
      <c r="P2099" s="269"/>
      <c r="Q2099" s="269"/>
      <c r="R2099" s="269"/>
    </row>
    <row r="2100" spans="1:18" s="285" customFormat="1" ht="39.6" customHeight="1" x14ac:dyDescent="0.25">
      <c r="A2100" s="276"/>
      <c r="B2100" s="276"/>
      <c r="C2100" s="276"/>
      <c r="D2100" s="288"/>
      <c r="E2100" s="290"/>
      <c r="F2100" s="266"/>
      <c r="G2100" s="288"/>
      <c r="H2100" s="291"/>
      <c r="I2100" s="292"/>
      <c r="J2100" s="292"/>
      <c r="K2100" s="291"/>
      <c r="L2100" s="293"/>
      <c r="M2100" s="287"/>
      <c r="O2100" s="286"/>
      <c r="P2100" s="269"/>
      <c r="Q2100" s="269"/>
      <c r="R2100" s="269"/>
    </row>
    <row r="2101" spans="1:18" s="285" customFormat="1" ht="39.6" customHeight="1" x14ac:dyDescent="0.25">
      <c r="A2101" s="276"/>
      <c r="B2101" s="276"/>
      <c r="C2101" s="276"/>
      <c r="D2101" s="288"/>
      <c r="E2101" s="290"/>
      <c r="F2101" s="266"/>
      <c r="G2101" s="288"/>
      <c r="H2101" s="291"/>
      <c r="I2101" s="292"/>
      <c r="J2101" s="292"/>
      <c r="K2101" s="291"/>
      <c r="L2101" s="293"/>
      <c r="M2101" s="287"/>
      <c r="O2101" s="286"/>
      <c r="P2101" s="269"/>
      <c r="Q2101" s="269"/>
      <c r="R2101" s="269"/>
    </row>
    <row r="2102" spans="1:18" s="285" customFormat="1" ht="39.6" customHeight="1" x14ac:dyDescent="0.25">
      <c r="A2102" s="276"/>
      <c r="B2102" s="276"/>
      <c r="C2102" s="276"/>
      <c r="D2102" s="288"/>
      <c r="E2102" s="290"/>
      <c r="F2102" s="266"/>
      <c r="G2102" s="288"/>
      <c r="H2102" s="291"/>
      <c r="I2102" s="292"/>
      <c r="J2102" s="292"/>
      <c r="K2102" s="291"/>
      <c r="L2102" s="293"/>
      <c r="M2102" s="287"/>
      <c r="O2102" s="286"/>
      <c r="P2102" s="269"/>
      <c r="Q2102" s="269"/>
      <c r="R2102" s="269"/>
    </row>
    <row r="2103" spans="1:18" s="285" customFormat="1" ht="39.6" customHeight="1" x14ac:dyDescent="0.25">
      <c r="A2103" s="276"/>
      <c r="B2103" s="276"/>
      <c r="C2103" s="276"/>
      <c r="D2103" s="288"/>
      <c r="E2103" s="290"/>
      <c r="F2103" s="266"/>
      <c r="G2103" s="288"/>
      <c r="H2103" s="291"/>
      <c r="I2103" s="292"/>
      <c r="J2103" s="292"/>
      <c r="K2103" s="291"/>
      <c r="L2103" s="293"/>
      <c r="M2103" s="287"/>
      <c r="O2103" s="286"/>
      <c r="P2103" s="269"/>
      <c r="Q2103" s="269"/>
      <c r="R2103" s="269"/>
    </row>
    <row r="2104" spans="1:18" s="285" customFormat="1" ht="39.6" customHeight="1" x14ac:dyDescent="0.25">
      <c r="A2104" s="276"/>
      <c r="B2104" s="276"/>
      <c r="C2104" s="276"/>
      <c r="D2104" s="288"/>
      <c r="E2104" s="290"/>
      <c r="F2104" s="266"/>
      <c r="G2104" s="288"/>
      <c r="H2104" s="291"/>
      <c r="I2104" s="292"/>
      <c r="J2104" s="292"/>
      <c r="K2104" s="291"/>
      <c r="L2104" s="293"/>
      <c r="M2104" s="287"/>
      <c r="O2104" s="286"/>
      <c r="P2104" s="269"/>
      <c r="Q2104" s="269"/>
      <c r="R2104" s="269"/>
    </row>
    <row r="2105" spans="1:18" s="285" customFormat="1" ht="39.6" customHeight="1" x14ac:dyDescent="0.25">
      <c r="A2105" s="276"/>
      <c r="B2105" s="276"/>
      <c r="C2105" s="276"/>
      <c r="D2105" s="288"/>
      <c r="E2105" s="290"/>
      <c r="F2105" s="266"/>
      <c r="G2105" s="288"/>
      <c r="H2105" s="291"/>
      <c r="I2105" s="292"/>
      <c r="J2105" s="292"/>
      <c r="K2105" s="291"/>
      <c r="L2105" s="293"/>
      <c r="M2105" s="287"/>
      <c r="O2105" s="286"/>
      <c r="P2105" s="269"/>
      <c r="Q2105" s="269"/>
      <c r="R2105" s="269"/>
    </row>
    <row r="2106" spans="1:18" s="285" customFormat="1" ht="39.6" customHeight="1" x14ac:dyDescent="0.25">
      <c r="A2106" s="276"/>
      <c r="B2106" s="276"/>
      <c r="C2106" s="276"/>
      <c r="D2106" s="288"/>
      <c r="E2106" s="290"/>
      <c r="F2106" s="266"/>
      <c r="G2106" s="288"/>
      <c r="H2106" s="291"/>
      <c r="I2106" s="292"/>
      <c r="J2106" s="292"/>
      <c r="K2106" s="291"/>
      <c r="L2106" s="293"/>
      <c r="M2106" s="287"/>
      <c r="O2106" s="286"/>
      <c r="P2106" s="269"/>
      <c r="Q2106" s="269"/>
      <c r="R2106" s="269"/>
    </row>
    <row r="2107" spans="1:18" s="285" customFormat="1" ht="39.6" customHeight="1" x14ac:dyDescent="0.25">
      <c r="A2107" s="276"/>
      <c r="B2107" s="276"/>
      <c r="C2107" s="276"/>
      <c r="D2107" s="288"/>
      <c r="E2107" s="290"/>
      <c r="F2107" s="266"/>
      <c r="G2107" s="288"/>
      <c r="H2107" s="291"/>
      <c r="I2107" s="292"/>
      <c r="J2107" s="292"/>
      <c r="K2107" s="291"/>
      <c r="L2107" s="293"/>
      <c r="M2107" s="287"/>
      <c r="O2107" s="286"/>
      <c r="P2107" s="269"/>
      <c r="Q2107" s="269"/>
      <c r="R2107" s="269"/>
    </row>
    <row r="2108" spans="1:18" s="285" customFormat="1" ht="39.6" customHeight="1" x14ac:dyDescent="0.25">
      <c r="A2108" s="276"/>
      <c r="B2108" s="276"/>
      <c r="C2108" s="276"/>
      <c r="D2108" s="288"/>
      <c r="E2108" s="290"/>
      <c r="F2108" s="266"/>
      <c r="G2108" s="288"/>
      <c r="H2108" s="291"/>
      <c r="I2108" s="292"/>
      <c r="J2108" s="292"/>
      <c r="K2108" s="291"/>
      <c r="L2108" s="293"/>
      <c r="M2108" s="287"/>
      <c r="O2108" s="286"/>
      <c r="P2108" s="269"/>
      <c r="Q2108" s="269"/>
      <c r="R2108" s="269"/>
    </row>
    <row r="2109" spans="1:18" s="285" customFormat="1" ht="39.6" customHeight="1" x14ac:dyDescent="0.25">
      <c r="A2109" s="276"/>
      <c r="B2109" s="276"/>
      <c r="C2109" s="276"/>
      <c r="D2109" s="288"/>
      <c r="E2109" s="290"/>
      <c r="F2109" s="266"/>
      <c r="G2109" s="288"/>
      <c r="H2109" s="291"/>
      <c r="I2109" s="292"/>
      <c r="J2109" s="292"/>
      <c r="K2109" s="291"/>
      <c r="L2109" s="293"/>
      <c r="M2109" s="287"/>
      <c r="O2109" s="286"/>
      <c r="P2109" s="269"/>
      <c r="Q2109" s="269"/>
      <c r="R2109" s="269"/>
    </row>
    <row r="2110" spans="1:18" s="285" customFormat="1" ht="39.6" customHeight="1" x14ac:dyDescent="0.25">
      <c r="A2110" s="276"/>
      <c r="B2110" s="276"/>
      <c r="C2110" s="276"/>
      <c r="D2110" s="288"/>
      <c r="E2110" s="290"/>
      <c r="F2110" s="266"/>
      <c r="G2110" s="288"/>
      <c r="H2110" s="291"/>
      <c r="I2110" s="292"/>
      <c r="J2110" s="292"/>
      <c r="K2110" s="291"/>
      <c r="L2110" s="293"/>
      <c r="M2110" s="287"/>
      <c r="O2110" s="286"/>
      <c r="P2110" s="269"/>
      <c r="Q2110" s="269"/>
      <c r="R2110" s="269"/>
    </row>
    <row r="2111" spans="1:18" s="285" customFormat="1" ht="39.6" customHeight="1" x14ac:dyDescent="0.25">
      <c r="A2111" s="276"/>
      <c r="B2111" s="276"/>
      <c r="C2111" s="276"/>
      <c r="D2111" s="288"/>
      <c r="E2111" s="290"/>
      <c r="F2111" s="266"/>
      <c r="G2111" s="288"/>
      <c r="H2111" s="291"/>
      <c r="I2111" s="292"/>
      <c r="J2111" s="292"/>
      <c r="K2111" s="291"/>
      <c r="L2111" s="293"/>
      <c r="M2111" s="287"/>
      <c r="O2111" s="286"/>
      <c r="P2111" s="269"/>
      <c r="Q2111" s="269"/>
      <c r="R2111" s="269"/>
    </row>
    <row r="2112" spans="1:18" s="285" customFormat="1" ht="39.6" customHeight="1" x14ac:dyDescent="0.25">
      <c r="A2112" s="276"/>
      <c r="B2112" s="276"/>
      <c r="C2112" s="276"/>
      <c r="D2112" s="288"/>
      <c r="E2112" s="290"/>
      <c r="F2112" s="266"/>
      <c r="G2112" s="288"/>
      <c r="H2112" s="291"/>
      <c r="I2112" s="292"/>
      <c r="J2112" s="292"/>
      <c r="K2112" s="291"/>
      <c r="L2112" s="293"/>
      <c r="M2112" s="287"/>
      <c r="O2112" s="286"/>
      <c r="P2112" s="269"/>
      <c r="Q2112" s="269"/>
      <c r="R2112" s="269"/>
    </row>
    <row r="2113" spans="1:18" s="285" customFormat="1" ht="39.6" customHeight="1" x14ac:dyDescent="0.25">
      <c r="A2113" s="276"/>
      <c r="B2113" s="276"/>
      <c r="C2113" s="276"/>
      <c r="D2113" s="288"/>
      <c r="E2113" s="290"/>
      <c r="F2113" s="266"/>
      <c r="G2113" s="288"/>
      <c r="H2113" s="291"/>
      <c r="I2113" s="292"/>
      <c r="J2113" s="292"/>
      <c r="K2113" s="291"/>
      <c r="L2113" s="293"/>
      <c r="M2113" s="287"/>
      <c r="O2113" s="286"/>
      <c r="P2113" s="269"/>
      <c r="Q2113" s="269"/>
      <c r="R2113" s="269"/>
    </row>
    <row r="2114" spans="1:18" s="285" customFormat="1" ht="39.6" customHeight="1" x14ac:dyDescent="0.25">
      <c r="A2114" s="276"/>
      <c r="B2114" s="276"/>
      <c r="C2114" s="276"/>
      <c r="D2114" s="288"/>
      <c r="E2114" s="290"/>
      <c r="F2114" s="266"/>
      <c r="G2114" s="288"/>
      <c r="H2114" s="291"/>
      <c r="I2114" s="292"/>
      <c r="J2114" s="292"/>
      <c r="K2114" s="291"/>
      <c r="L2114" s="293"/>
      <c r="M2114" s="287"/>
      <c r="O2114" s="286"/>
      <c r="P2114" s="269"/>
      <c r="Q2114" s="269"/>
      <c r="R2114" s="269"/>
    </row>
    <row r="2115" spans="1:18" s="285" customFormat="1" ht="39.6" customHeight="1" x14ac:dyDescent="0.25">
      <c r="A2115" s="276"/>
      <c r="B2115" s="276"/>
      <c r="C2115" s="276"/>
      <c r="D2115" s="288"/>
      <c r="E2115" s="290"/>
      <c r="F2115" s="266"/>
      <c r="G2115" s="288"/>
      <c r="H2115" s="291"/>
      <c r="I2115" s="292"/>
      <c r="J2115" s="292"/>
      <c r="K2115" s="291"/>
      <c r="L2115" s="293"/>
      <c r="M2115" s="287"/>
      <c r="O2115" s="286"/>
      <c r="P2115" s="269"/>
      <c r="Q2115" s="269"/>
      <c r="R2115" s="269"/>
    </row>
    <row r="2116" spans="1:18" s="285" customFormat="1" ht="39.6" customHeight="1" x14ac:dyDescent="0.25">
      <c r="A2116" s="276"/>
      <c r="B2116" s="276"/>
      <c r="C2116" s="276"/>
      <c r="D2116" s="288"/>
      <c r="E2116" s="290"/>
      <c r="F2116" s="266"/>
      <c r="G2116" s="288"/>
      <c r="H2116" s="291"/>
      <c r="I2116" s="292"/>
      <c r="J2116" s="292"/>
      <c r="K2116" s="291"/>
      <c r="L2116" s="293"/>
      <c r="M2116" s="287"/>
      <c r="O2116" s="286"/>
      <c r="P2116" s="269"/>
      <c r="Q2116" s="269"/>
      <c r="R2116" s="269"/>
    </row>
    <row r="2117" spans="1:18" s="285" customFormat="1" ht="39.6" customHeight="1" x14ac:dyDescent="0.25">
      <c r="A2117" s="276"/>
      <c r="B2117" s="276"/>
      <c r="C2117" s="276"/>
      <c r="D2117" s="288"/>
      <c r="E2117" s="290"/>
      <c r="F2117" s="266"/>
      <c r="G2117" s="288"/>
      <c r="H2117" s="291"/>
      <c r="I2117" s="292"/>
      <c r="J2117" s="292"/>
      <c r="K2117" s="291"/>
      <c r="L2117" s="293"/>
      <c r="M2117" s="287"/>
      <c r="O2117" s="286"/>
      <c r="P2117" s="269"/>
      <c r="Q2117" s="269"/>
      <c r="R2117" s="269"/>
    </row>
    <row r="2118" spans="1:18" s="285" customFormat="1" ht="39.6" customHeight="1" x14ac:dyDescent="0.25">
      <c r="A2118" s="276"/>
      <c r="B2118" s="276"/>
      <c r="C2118" s="276"/>
      <c r="D2118" s="288"/>
      <c r="E2118" s="290"/>
      <c r="F2118" s="266"/>
      <c r="G2118" s="288"/>
      <c r="H2118" s="291"/>
      <c r="I2118" s="292"/>
      <c r="J2118" s="292"/>
      <c r="K2118" s="291"/>
      <c r="L2118" s="293"/>
      <c r="M2118" s="287"/>
      <c r="O2118" s="286"/>
      <c r="P2118" s="269"/>
      <c r="Q2118" s="269"/>
      <c r="R2118" s="269"/>
    </row>
    <row r="2119" spans="1:18" s="285" customFormat="1" ht="39.6" customHeight="1" x14ac:dyDescent="0.25">
      <c r="A2119" s="276"/>
      <c r="B2119" s="276"/>
      <c r="C2119" s="276"/>
      <c r="D2119" s="288"/>
      <c r="E2119" s="290"/>
      <c r="F2119" s="266"/>
      <c r="G2119" s="288"/>
      <c r="H2119" s="291"/>
      <c r="I2119" s="292"/>
      <c r="J2119" s="292"/>
      <c r="K2119" s="291"/>
      <c r="L2119" s="293"/>
      <c r="M2119" s="287"/>
      <c r="O2119" s="286"/>
      <c r="P2119" s="269"/>
      <c r="Q2119" s="269"/>
      <c r="R2119" s="269"/>
    </row>
    <row r="2120" spans="1:18" s="285" customFormat="1" ht="39.6" customHeight="1" x14ac:dyDescent="0.25">
      <c r="A2120" s="276"/>
      <c r="B2120" s="276"/>
      <c r="C2120" s="276"/>
      <c r="D2120" s="288"/>
      <c r="E2120" s="290"/>
      <c r="F2120" s="266"/>
      <c r="G2120" s="288"/>
      <c r="H2120" s="291"/>
      <c r="I2120" s="292"/>
      <c r="J2120" s="292"/>
      <c r="K2120" s="291"/>
      <c r="L2120" s="293"/>
      <c r="M2120" s="287"/>
      <c r="O2120" s="286"/>
      <c r="P2120" s="269"/>
      <c r="Q2120" s="269"/>
      <c r="R2120" s="269"/>
    </row>
    <row r="2121" spans="1:18" s="285" customFormat="1" ht="39.6" customHeight="1" x14ac:dyDescent="0.25">
      <c r="A2121" s="276"/>
      <c r="B2121" s="276"/>
      <c r="C2121" s="276"/>
      <c r="D2121" s="288"/>
      <c r="E2121" s="290"/>
      <c r="F2121" s="266"/>
      <c r="G2121" s="288"/>
      <c r="H2121" s="291"/>
      <c r="I2121" s="292"/>
      <c r="J2121" s="292"/>
      <c r="K2121" s="291"/>
      <c r="L2121" s="293"/>
      <c r="M2121" s="287"/>
      <c r="O2121" s="286"/>
      <c r="P2121" s="269"/>
      <c r="Q2121" s="269"/>
      <c r="R2121" s="269"/>
    </row>
    <row r="2122" spans="1:18" s="285" customFormat="1" ht="39.6" customHeight="1" x14ac:dyDescent="0.25">
      <c r="A2122" s="276"/>
      <c r="B2122" s="276"/>
      <c r="C2122" s="276"/>
      <c r="D2122" s="288"/>
      <c r="E2122" s="290"/>
      <c r="F2122" s="266"/>
      <c r="G2122" s="288"/>
      <c r="H2122" s="291"/>
      <c r="I2122" s="292"/>
      <c r="J2122" s="292"/>
      <c r="K2122" s="291"/>
      <c r="L2122" s="293"/>
      <c r="M2122" s="287"/>
      <c r="O2122" s="286"/>
      <c r="P2122" s="269"/>
      <c r="Q2122" s="269"/>
      <c r="R2122" s="269"/>
    </row>
    <row r="2123" spans="1:18" s="285" customFormat="1" ht="39.6" customHeight="1" x14ac:dyDescent="0.25">
      <c r="A2123" s="276"/>
      <c r="B2123" s="276"/>
      <c r="C2123" s="276"/>
      <c r="D2123" s="288"/>
      <c r="E2123" s="290"/>
      <c r="F2123" s="266"/>
      <c r="G2123" s="288"/>
      <c r="H2123" s="291"/>
      <c r="I2123" s="292"/>
      <c r="J2123" s="292"/>
      <c r="K2123" s="291"/>
      <c r="L2123" s="293"/>
      <c r="M2123" s="287"/>
      <c r="O2123" s="286"/>
      <c r="P2123" s="269"/>
      <c r="Q2123" s="269"/>
      <c r="R2123" s="269"/>
    </row>
    <row r="2124" spans="1:18" s="285" customFormat="1" ht="39.6" customHeight="1" x14ac:dyDescent="0.25">
      <c r="A2124" s="276"/>
      <c r="B2124" s="276"/>
      <c r="C2124" s="276"/>
      <c r="D2124" s="288"/>
      <c r="E2124" s="290"/>
      <c r="F2124" s="266"/>
      <c r="G2124" s="288"/>
      <c r="H2124" s="291"/>
      <c r="I2124" s="292"/>
      <c r="J2124" s="292"/>
      <c r="K2124" s="291"/>
      <c r="L2124" s="293"/>
      <c r="M2124" s="287"/>
      <c r="O2124" s="286"/>
      <c r="P2124" s="269"/>
      <c r="Q2124" s="269"/>
      <c r="R2124" s="269"/>
    </row>
    <row r="2125" spans="1:18" s="285" customFormat="1" ht="39.6" customHeight="1" x14ac:dyDescent="0.25">
      <c r="A2125" s="276"/>
      <c r="B2125" s="276"/>
      <c r="C2125" s="276"/>
      <c r="D2125" s="288"/>
      <c r="E2125" s="290"/>
      <c r="F2125" s="266"/>
      <c r="G2125" s="288"/>
      <c r="H2125" s="291"/>
      <c r="I2125" s="292"/>
      <c r="J2125" s="292"/>
      <c r="K2125" s="291"/>
      <c r="L2125" s="293"/>
      <c r="M2125" s="287"/>
      <c r="O2125" s="286"/>
      <c r="P2125" s="269"/>
      <c r="Q2125" s="269"/>
      <c r="R2125" s="269"/>
    </row>
    <row r="2126" spans="1:18" s="285" customFormat="1" ht="39.6" customHeight="1" x14ac:dyDescent="0.25">
      <c r="A2126" s="276"/>
      <c r="B2126" s="276"/>
      <c r="C2126" s="276"/>
      <c r="D2126" s="288"/>
      <c r="E2126" s="290"/>
      <c r="F2126" s="266"/>
      <c r="G2126" s="288"/>
      <c r="H2126" s="291"/>
      <c r="I2126" s="292"/>
      <c r="J2126" s="292"/>
      <c r="K2126" s="291"/>
      <c r="L2126" s="293"/>
      <c r="M2126" s="287"/>
      <c r="O2126" s="286"/>
      <c r="P2126" s="269"/>
      <c r="Q2126" s="269"/>
      <c r="R2126" s="269"/>
    </row>
    <row r="2127" spans="1:18" s="285" customFormat="1" ht="39.6" customHeight="1" x14ac:dyDescent="0.25">
      <c r="A2127" s="276"/>
      <c r="B2127" s="276"/>
      <c r="C2127" s="276"/>
      <c r="D2127" s="288"/>
      <c r="E2127" s="290"/>
      <c r="F2127" s="266"/>
      <c r="G2127" s="288"/>
      <c r="H2127" s="291"/>
      <c r="I2127" s="292"/>
      <c r="J2127" s="292"/>
      <c r="K2127" s="291"/>
      <c r="L2127" s="293"/>
      <c r="M2127" s="287"/>
      <c r="O2127" s="286"/>
      <c r="P2127" s="269"/>
      <c r="Q2127" s="269"/>
      <c r="R2127" s="269"/>
    </row>
    <row r="2128" spans="1:18" s="285" customFormat="1" ht="39.6" customHeight="1" x14ac:dyDescent="0.25">
      <c r="A2128" s="276"/>
      <c r="B2128" s="276"/>
      <c r="C2128" s="276"/>
      <c r="D2128" s="288"/>
      <c r="E2128" s="290"/>
      <c r="F2128" s="266"/>
      <c r="G2128" s="288"/>
      <c r="H2128" s="291"/>
      <c r="I2128" s="292"/>
      <c r="J2128" s="292"/>
      <c r="K2128" s="291"/>
      <c r="L2128" s="293"/>
      <c r="M2128" s="287"/>
      <c r="O2128" s="286"/>
      <c r="P2128" s="269"/>
      <c r="Q2128" s="269"/>
      <c r="R2128" s="269"/>
    </row>
    <row r="2129" spans="1:18" s="285" customFormat="1" ht="39.6" customHeight="1" x14ac:dyDescent="0.25">
      <c r="A2129" s="276"/>
      <c r="B2129" s="276"/>
      <c r="C2129" s="276"/>
      <c r="D2129" s="288"/>
      <c r="E2129" s="290"/>
      <c r="F2129" s="266"/>
      <c r="G2129" s="288"/>
      <c r="H2129" s="291"/>
      <c r="I2129" s="292"/>
      <c r="J2129" s="292"/>
      <c r="K2129" s="291"/>
      <c r="L2129" s="293"/>
      <c r="M2129" s="287"/>
      <c r="O2129" s="286"/>
      <c r="P2129" s="269"/>
      <c r="Q2129" s="269"/>
      <c r="R2129" s="269"/>
    </row>
    <row r="2130" spans="1:18" s="285" customFormat="1" ht="39.6" customHeight="1" x14ac:dyDescent="0.25">
      <c r="A2130" s="276"/>
      <c r="B2130" s="276"/>
      <c r="C2130" s="276"/>
      <c r="D2130" s="288"/>
      <c r="E2130" s="290"/>
      <c r="F2130" s="266"/>
      <c r="G2130" s="288"/>
      <c r="H2130" s="291"/>
      <c r="I2130" s="292"/>
      <c r="J2130" s="292"/>
      <c r="K2130" s="291"/>
      <c r="L2130" s="293"/>
      <c r="M2130" s="287"/>
      <c r="O2130" s="286"/>
      <c r="P2130" s="269"/>
      <c r="Q2130" s="269"/>
      <c r="R2130" s="269"/>
    </row>
    <row r="2131" spans="1:18" s="285" customFormat="1" ht="39.6" customHeight="1" x14ac:dyDescent="0.25">
      <c r="A2131" s="276"/>
      <c r="B2131" s="276"/>
      <c r="C2131" s="276"/>
      <c r="D2131" s="288"/>
      <c r="E2131" s="290"/>
      <c r="F2131" s="266"/>
      <c r="G2131" s="288"/>
      <c r="H2131" s="291"/>
      <c r="I2131" s="292"/>
      <c r="J2131" s="292"/>
      <c r="K2131" s="291"/>
      <c r="L2131" s="293"/>
      <c r="M2131" s="287"/>
      <c r="O2131" s="286"/>
      <c r="P2131" s="269"/>
      <c r="Q2131" s="269"/>
      <c r="R2131" s="269"/>
    </row>
    <row r="2132" spans="1:18" s="285" customFormat="1" ht="39.6" customHeight="1" x14ac:dyDescent="0.25">
      <c r="A2132" s="276"/>
      <c r="B2132" s="276"/>
      <c r="C2132" s="276"/>
      <c r="D2132" s="288"/>
      <c r="E2132" s="290"/>
      <c r="F2132" s="266"/>
      <c r="G2132" s="288"/>
      <c r="H2132" s="291"/>
      <c r="I2132" s="292"/>
      <c r="J2132" s="292"/>
      <c r="K2132" s="291"/>
      <c r="L2132" s="293"/>
      <c r="M2132" s="287"/>
      <c r="O2132" s="286"/>
      <c r="P2132" s="269"/>
      <c r="Q2132" s="269"/>
      <c r="R2132" s="269"/>
    </row>
    <row r="2133" spans="1:18" s="285" customFormat="1" ht="39.6" customHeight="1" x14ac:dyDescent="0.25">
      <c r="A2133" s="276"/>
      <c r="B2133" s="276"/>
      <c r="C2133" s="276"/>
      <c r="D2133" s="288"/>
      <c r="E2133" s="290"/>
      <c r="F2133" s="266"/>
      <c r="G2133" s="288"/>
      <c r="H2133" s="291"/>
      <c r="I2133" s="292"/>
      <c r="J2133" s="292"/>
      <c r="K2133" s="291"/>
      <c r="L2133" s="293"/>
      <c r="M2133" s="287"/>
      <c r="O2133" s="286"/>
      <c r="P2133" s="269"/>
      <c r="Q2133" s="269"/>
      <c r="R2133" s="269"/>
    </row>
    <row r="2134" spans="1:18" s="285" customFormat="1" ht="39.6" customHeight="1" x14ac:dyDescent="0.25">
      <c r="A2134" s="276"/>
      <c r="B2134" s="276"/>
      <c r="C2134" s="276"/>
      <c r="D2134" s="288"/>
      <c r="E2134" s="290"/>
      <c r="F2134" s="266"/>
      <c r="G2134" s="288"/>
      <c r="H2134" s="291"/>
      <c r="I2134" s="292"/>
      <c r="J2134" s="292"/>
      <c r="K2134" s="291"/>
      <c r="L2134" s="293"/>
      <c r="M2134" s="287"/>
      <c r="O2134" s="286"/>
      <c r="P2134" s="269"/>
      <c r="Q2134" s="269"/>
      <c r="R2134" s="269"/>
    </row>
    <row r="2135" spans="1:18" s="285" customFormat="1" ht="39.6" customHeight="1" x14ac:dyDescent="0.25">
      <c r="A2135" s="276"/>
      <c r="B2135" s="276"/>
      <c r="C2135" s="276"/>
      <c r="D2135" s="288"/>
      <c r="E2135" s="290"/>
      <c r="F2135" s="266"/>
      <c r="G2135" s="288"/>
      <c r="H2135" s="291"/>
      <c r="I2135" s="292"/>
      <c r="J2135" s="292"/>
      <c r="K2135" s="291"/>
      <c r="L2135" s="293"/>
      <c r="M2135" s="287"/>
      <c r="O2135" s="286"/>
      <c r="P2135" s="269"/>
      <c r="Q2135" s="269"/>
      <c r="R2135" s="269"/>
    </row>
    <row r="2136" spans="1:18" s="285" customFormat="1" ht="39.6" customHeight="1" x14ac:dyDescent="0.25">
      <c r="A2136" s="276"/>
      <c r="B2136" s="276"/>
      <c r="C2136" s="276"/>
      <c r="D2136" s="288"/>
      <c r="E2136" s="290"/>
      <c r="F2136" s="266"/>
      <c r="G2136" s="288"/>
      <c r="H2136" s="291"/>
      <c r="I2136" s="292"/>
      <c r="J2136" s="292"/>
      <c r="K2136" s="291"/>
      <c r="L2136" s="293"/>
      <c r="M2136" s="287"/>
      <c r="O2136" s="286"/>
      <c r="P2136" s="269"/>
      <c r="Q2136" s="269"/>
      <c r="R2136" s="269"/>
    </row>
    <row r="2137" spans="1:18" s="285" customFormat="1" ht="39.6" customHeight="1" x14ac:dyDescent="0.25">
      <c r="A2137" s="276"/>
      <c r="B2137" s="276"/>
      <c r="C2137" s="276"/>
      <c r="D2137" s="288"/>
      <c r="E2137" s="290"/>
      <c r="F2137" s="266"/>
      <c r="G2137" s="288"/>
      <c r="H2137" s="291"/>
      <c r="I2137" s="292"/>
      <c r="J2137" s="292"/>
      <c r="K2137" s="291"/>
      <c r="L2137" s="293"/>
      <c r="M2137" s="287"/>
      <c r="O2137" s="286"/>
      <c r="P2137" s="269"/>
      <c r="Q2137" s="269"/>
      <c r="R2137" s="269"/>
    </row>
    <row r="2138" spans="1:18" s="285" customFormat="1" ht="39.6" customHeight="1" x14ac:dyDescent="0.25">
      <c r="A2138" s="276"/>
      <c r="B2138" s="276"/>
      <c r="C2138" s="276"/>
      <c r="D2138" s="288"/>
      <c r="E2138" s="290"/>
      <c r="F2138" s="266"/>
      <c r="G2138" s="288"/>
      <c r="H2138" s="291"/>
      <c r="I2138" s="292"/>
      <c r="J2138" s="292"/>
      <c r="K2138" s="291"/>
      <c r="L2138" s="293"/>
      <c r="M2138" s="287"/>
      <c r="O2138" s="286"/>
      <c r="P2138" s="269"/>
      <c r="Q2138" s="269"/>
      <c r="R2138" s="269"/>
    </row>
    <row r="2139" spans="1:18" s="285" customFormat="1" ht="39.6" customHeight="1" x14ac:dyDescent="0.25">
      <c r="A2139" s="276"/>
      <c r="B2139" s="276"/>
      <c r="C2139" s="276"/>
      <c r="D2139" s="288"/>
      <c r="E2139" s="290"/>
      <c r="F2139" s="266"/>
      <c r="G2139" s="288"/>
      <c r="H2139" s="291"/>
      <c r="I2139" s="292"/>
      <c r="J2139" s="292"/>
      <c r="K2139" s="291"/>
      <c r="L2139" s="293"/>
      <c r="M2139" s="287"/>
      <c r="O2139" s="286"/>
      <c r="P2139" s="269"/>
      <c r="Q2139" s="269"/>
      <c r="R2139" s="269"/>
    </row>
    <row r="2140" spans="1:18" s="285" customFormat="1" ht="39.6" customHeight="1" x14ac:dyDescent="0.25">
      <c r="A2140" s="276"/>
      <c r="B2140" s="276"/>
      <c r="C2140" s="276"/>
      <c r="D2140" s="288"/>
      <c r="E2140" s="290"/>
      <c r="F2140" s="266"/>
      <c r="G2140" s="288"/>
      <c r="H2140" s="291"/>
      <c r="I2140" s="292"/>
      <c r="J2140" s="292"/>
      <c r="K2140" s="291"/>
      <c r="L2140" s="293"/>
      <c r="M2140" s="287"/>
      <c r="O2140" s="286"/>
      <c r="P2140" s="269"/>
      <c r="Q2140" s="269"/>
      <c r="R2140" s="269"/>
    </row>
    <row r="2141" spans="1:18" s="285" customFormat="1" ht="39.6" customHeight="1" x14ac:dyDescent="0.25">
      <c r="A2141" s="276"/>
      <c r="B2141" s="276"/>
      <c r="C2141" s="276"/>
      <c r="D2141" s="288"/>
      <c r="E2141" s="290"/>
      <c r="F2141" s="266"/>
      <c r="G2141" s="288"/>
      <c r="H2141" s="291"/>
      <c r="I2141" s="292"/>
      <c r="J2141" s="292"/>
      <c r="K2141" s="291"/>
      <c r="L2141" s="293"/>
      <c r="M2141" s="287"/>
      <c r="O2141" s="286"/>
      <c r="P2141" s="269"/>
      <c r="Q2141" s="269"/>
      <c r="R2141" s="269"/>
    </row>
    <row r="2142" spans="1:18" s="285" customFormat="1" ht="39.6" customHeight="1" x14ac:dyDescent="0.25">
      <c r="A2142" s="276"/>
      <c r="B2142" s="276"/>
      <c r="C2142" s="276"/>
      <c r="D2142" s="288"/>
      <c r="E2142" s="290"/>
      <c r="F2142" s="266"/>
      <c r="G2142" s="288"/>
      <c r="H2142" s="291"/>
      <c r="I2142" s="292"/>
      <c r="J2142" s="292"/>
      <c r="K2142" s="291"/>
      <c r="L2142" s="293"/>
      <c r="M2142" s="287"/>
      <c r="O2142" s="286"/>
      <c r="P2142" s="269"/>
      <c r="Q2142" s="269"/>
      <c r="R2142" s="269"/>
    </row>
    <row r="2143" spans="1:18" s="285" customFormat="1" ht="39.6" customHeight="1" x14ac:dyDescent="0.25">
      <c r="A2143" s="276"/>
      <c r="B2143" s="276"/>
      <c r="C2143" s="276"/>
      <c r="D2143" s="288"/>
      <c r="E2143" s="290"/>
      <c r="F2143" s="266"/>
      <c r="G2143" s="288"/>
      <c r="H2143" s="291"/>
      <c r="I2143" s="292"/>
      <c r="J2143" s="292"/>
      <c r="K2143" s="291"/>
      <c r="L2143" s="293"/>
      <c r="M2143" s="287"/>
      <c r="O2143" s="286"/>
      <c r="P2143" s="269"/>
      <c r="Q2143" s="269"/>
      <c r="R2143" s="269"/>
    </row>
    <row r="2144" spans="1:18" s="285" customFormat="1" ht="39.6" customHeight="1" x14ac:dyDescent="0.25">
      <c r="A2144" s="276"/>
      <c r="B2144" s="276"/>
      <c r="C2144" s="276"/>
      <c r="D2144" s="288"/>
      <c r="E2144" s="290"/>
      <c r="F2144" s="266"/>
      <c r="G2144" s="288"/>
      <c r="H2144" s="291"/>
      <c r="I2144" s="292"/>
      <c r="J2144" s="292"/>
      <c r="K2144" s="291"/>
      <c r="L2144" s="293"/>
      <c r="M2144" s="287"/>
      <c r="O2144" s="286"/>
      <c r="P2144" s="269"/>
      <c r="Q2144" s="269"/>
      <c r="R2144" s="269"/>
    </row>
    <row r="2145" spans="1:18" s="285" customFormat="1" ht="39.6" customHeight="1" x14ac:dyDescent="0.25">
      <c r="A2145" s="276"/>
      <c r="B2145" s="276"/>
      <c r="C2145" s="276"/>
      <c r="D2145" s="288"/>
      <c r="E2145" s="290"/>
      <c r="F2145" s="266"/>
      <c r="G2145" s="288"/>
      <c r="H2145" s="291"/>
      <c r="I2145" s="292"/>
      <c r="J2145" s="292"/>
      <c r="K2145" s="291"/>
      <c r="L2145" s="293"/>
      <c r="M2145" s="287"/>
      <c r="O2145" s="286"/>
      <c r="P2145" s="269"/>
      <c r="Q2145" s="269"/>
      <c r="R2145" s="269"/>
    </row>
    <row r="2146" spans="1:18" s="285" customFormat="1" ht="39.6" customHeight="1" x14ac:dyDescent="0.25">
      <c r="A2146" s="276"/>
      <c r="B2146" s="276"/>
      <c r="C2146" s="276"/>
      <c r="D2146" s="288"/>
      <c r="E2146" s="290"/>
      <c r="F2146" s="266"/>
      <c r="G2146" s="288"/>
      <c r="H2146" s="291"/>
      <c r="I2146" s="292"/>
      <c r="J2146" s="292"/>
      <c r="K2146" s="291"/>
      <c r="L2146" s="293"/>
      <c r="M2146" s="287"/>
      <c r="O2146" s="286"/>
      <c r="P2146" s="269"/>
      <c r="Q2146" s="269"/>
      <c r="R2146" s="269"/>
    </row>
    <row r="2147" spans="1:18" s="285" customFormat="1" ht="39.6" customHeight="1" x14ac:dyDescent="0.25">
      <c r="A2147" s="276"/>
      <c r="B2147" s="276"/>
      <c r="C2147" s="276"/>
      <c r="D2147" s="288"/>
      <c r="E2147" s="290"/>
      <c r="F2147" s="266"/>
      <c r="G2147" s="288"/>
      <c r="H2147" s="291"/>
      <c r="I2147" s="292"/>
      <c r="J2147" s="292"/>
      <c r="K2147" s="291"/>
      <c r="L2147" s="293"/>
      <c r="M2147" s="287"/>
      <c r="O2147" s="286"/>
      <c r="P2147" s="269"/>
      <c r="Q2147" s="269"/>
      <c r="R2147" s="269"/>
    </row>
    <row r="2148" spans="1:18" s="285" customFormat="1" ht="39.6" customHeight="1" x14ac:dyDescent="0.25">
      <c r="A2148" s="276"/>
      <c r="B2148" s="276"/>
      <c r="C2148" s="276"/>
      <c r="D2148" s="288"/>
      <c r="E2148" s="290"/>
      <c r="F2148" s="266"/>
      <c r="G2148" s="288"/>
      <c r="H2148" s="291"/>
      <c r="I2148" s="292"/>
      <c r="J2148" s="292"/>
      <c r="K2148" s="291"/>
      <c r="L2148" s="293"/>
      <c r="M2148" s="287"/>
      <c r="O2148" s="286"/>
      <c r="P2148" s="269"/>
      <c r="Q2148" s="269"/>
      <c r="R2148" s="269"/>
    </row>
    <row r="2149" spans="1:18" s="285" customFormat="1" ht="39.6" customHeight="1" x14ac:dyDescent="0.25">
      <c r="A2149" s="276"/>
      <c r="B2149" s="276"/>
      <c r="C2149" s="276"/>
      <c r="D2149" s="288"/>
      <c r="E2149" s="290"/>
      <c r="F2149" s="266"/>
      <c r="G2149" s="288"/>
      <c r="H2149" s="291"/>
      <c r="I2149" s="292"/>
      <c r="J2149" s="292"/>
      <c r="K2149" s="291"/>
      <c r="L2149" s="293"/>
      <c r="M2149" s="287"/>
      <c r="O2149" s="286"/>
      <c r="P2149" s="269"/>
      <c r="Q2149" s="269"/>
      <c r="R2149" s="269"/>
    </row>
    <row r="2150" spans="1:18" s="285" customFormat="1" ht="39.6" customHeight="1" x14ac:dyDescent="0.25">
      <c r="A2150" s="276"/>
      <c r="B2150" s="276"/>
      <c r="C2150" s="276"/>
      <c r="D2150" s="288"/>
      <c r="E2150" s="290"/>
      <c r="F2150" s="266"/>
      <c r="G2150" s="288"/>
      <c r="H2150" s="291"/>
      <c r="I2150" s="292"/>
      <c r="J2150" s="292"/>
      <c r="K2150" s="291"/>
      <c r="L2150" s="293"/>
      <c r="M2150" s="287"/>
      <c r="O2150" s="286"/>
      <c r="P2150" s="269"/>
      <c r="Q2150" s="269"/>
      <c r="R2150" s="269"/>
    </row>
    <row r="2151" spans="1:18" s="285" customFormat="1" ht="39.6" customHeight="1" x14ac:dyDescent="0.25">
      <c r="A2151" s="276"/>
      <c r="B2151" s="276"/>
      <c r="C2151" s="276"/>
      <c r="D2151" s="288"/>
      <c r="E2151" s="290"/>
      <c r="F2151" s="266"/>
      <c r="G2151" s="288"/>
      <c r="H2151" s="291"/>
      <c r="I2151" s="292"/>
      <c r="J2151" s="292"/>
      <c r="K2151" s="291"/>
      <c r="L2151" s="293"/>
      <c r="M2151" s="287"/>
      <c r="O2151" s="286"/>
      <c r="P2151" s="269"/>
      <c r="Q2151" s="269"/>
      <c r="R2151" s="269"/>
    </row>
    <row r="2152" spans="1:18" s="285" customFormat="1" ht="39.6" customHeight="1" x14ac:dyDescent="0.25">
      <c r="A2152" s="276"/>
      <c r="B2152" s="276"/>
      <c r="C2152" s="276"/>
      <c r="D2152" s="288"/>
      <c r="E2152" s="290"/>
      <c r="F2152" s="266"/>
      <c r="G2152" s="288"/>
      <c r="H2152" s="291"/>
      <c r="I2152" s="292"/>
      <c r="J2152" s="292"/>
      <c r="K2152" s="291"/>
      <c r="L2152" s="293"/>
      <c r="M2152" s="287"/>
      <c r="O2152" s="286"/>
      <c r="P2152" s="269"/>
      <c r="Q2152" s="269"/>
      <c r="R2152" s="269"/>
    </row>
    <row r="2153" spans="1:18" s="285" customFormat="1" ht="39.6" customHeight="1" x14ac:dyDescent="0.25">
      <c r="A2153" s="276"/>
      <c r="B2153" s="276"/>
      <c r="C2153" s="276"/>
      <c r="D2153" s="288"/>
      <c r="E2153" s="290"/>
      <c r="F2153" s="266"/>
      <c r="G2153" s="288"/>
      <c r="H2153" s="291"/>
      <c r="I2153" s="292"/>
      <c r="J2153" s="292"/>
      <c r="K2153" s="291"/>
      <c r="L2153" s="293"/>
      <c r="M2153" s="287"/>
      <c r="O2153" s="286"/>
      <c r="P2153" s="269"/>
      <c r="Q2153" s="269"/>
      <c r="R2153" s="269"/>
    </row>
    <row r="2154" spans="1:18" s="285" customFormat="1" ht="39.6" customHeight="1" x14ac:dyDescent="0.25">
      <c r="A2154" s="276"/>
      <c r="B2154" s="276"/>
      <c r="C2154" s="276"/>
      <c r="D2154" s="288"/>
      <c r="E2154" s="290"/>
      <c r="F2154" s="266"/>
      <c r="G2154" s="288"/>
      <c r="H2154" s="291"/>
      <c r="I2154" s="292"/>
      <c r="J2154" s="292"/>
      <c r="K2154" s="291"/>
      <c r="L2154" s="293"/>
      <c r="M2154" s="287"/>
      <c r="O2154" s="286"/>
      <c r="P2154" s="269"/>
      <c r="Q2154" s="269"/>
      <c r="R2154" s="269"/>
    </row>
    <row r="2155" spans="1:18" s="285" customFormat="1" ht="39.6" customHeight="1" x14ac:dyDescent="0.25">
      <c r="A2155" s="276"/>
      <c r="B2155" s="276"/>
      <c r="C2155" s="276"/>
      <c r="D2155" s="288"/>
      <c r="E2155" s="290"/>
      <c r="F2155" s="266"/>
      <c r="G2155" s="288"/>
      <c r="H2155" s="291"/>
      <c r="I2155" s="292"/>
      <c r="J2155" s="292"/>
      <c r="K2155" s="291"/>
      <c r="L2155" s="293"/>
      <c r="M2155" s="287"/>
      <c r="O2155" s="286"/>
      <c r="P2155" s="269"/>
      <c r="Q2155" s="269"/>
      <c r="R2155" s="269"/>
    </row>
    <row r="2156" spans="1:18" s="285" customFormat="1" ht="39.6" customHeight="1" x14ac:dyDescent="0.25">
      <c r="A2156" s="276"/>
      <c r="B2156" s="276"/>
      <c r="C2156" s="276"/>
      <c r="D2156" s="288"/>
      <c r="E2156" s="290"/>
      <c r="F2156" s="266"/>
      <c r="G2156" s="288"/>
      <c r="H2156" s="291"/>
      <c r="I2156" s="292"/>
      <c r="J2156" s="292"/>
      <c r="K2156" s="291"/>
      <c r="L2156" s="293"/>
      <c r="M2156" s="287"/>
      <c r="O2156" s="286"/>
      <c r="P2156" s="269"/>
      <c r="Q2156" s="269"/>
      <c r="R2156" s="269"/>
    </row>
    <row r="2157" spans="1:18" s="285" customFormat="1" ht="39.6" customHeight="1" x14ac:dyDescent="0.25">
      <c r="A2157" s="276"/>
      <c r="B2157" s="276"/>
      <c r="C2157" s="276"/>
      <c r="D2157" s="288"/>
      <c r="E2157" s="290"/>
      <c r="F2157" s="266"/>
      <c r="G2157" s="288"/>
      <c r="H2157" s="291"/>
      <c r="I2157" s="292"/>
      <c r="J2157" s="292"/>
      <c r="K2157" s="291"/>
      <c r="L2157" s="293"/>
      <c r="M2157" s="287"/>
      <c r="O2157" s="286"/>
      <c r="P2157" s="269"/>
      <c r="Q2157" s="269"/>
      <c r="R2157" s="269"/>
    </row>
    <row r="2158" spans="1:18" s="285" customFormat="1" ht="39.6" customHeight="1" x14ac:dyDescent="0.25">
      <c r="A2158" s="276"/>
      <c r="B2158" s="276"/>
      <c r="C2158" s="276"/>
      <c r="D2158" s="288"/>
      <c r="E2158" s="290"/>
      <c r="F2158" s="266"/>
      <c r="G2158" s="288"/>
      <c r="H2158" s="291"/>
      <c r="I2158" s="292"/>
      <c r="J2158" s="292"/>
      <c r="K2158" s="291"/>
      <c r="L2158" s="293"/>
      <c r="M2158" s="287"/>
      <c r="O2158" s="286"/>
      <c r="P2158" s="269"/>
      <c r="Q2158" s="269"/>
      <c r="R2158" s="269"/>
    </row>
    <row r="2159" spans="1:18" s="285" customFormat="1" ht="39.6" customHeight="1" x14ac:dyDescent="0.25">
      <c r="A2159" s="276"/>
      <c r="B2159" s="276"/>
      <c r="C2159" s="276"/>
      <c r="D2159" s="288"/>
      <c r="E2159" s="290"/>
      <c r="F2159" s="266"/>
      <c r="G2159" s="288"/>
      <c r="H2159" s="291"/>
      <c r="I2159" s="292"/>
      <c r="J2159" s="292"/>
      <c r="K2159" s="291"/>
      <c r="L2159" s="293"/>
      <c r="M2159" s="287"/>
      <c r="O2159" s="286"/>
      <c r="P2159" s="269"/>
      <c r="Q2159" s="269"/>
      <c r="R2159" s="269"/>
    </row>
    <row r="2160" spans="1:18" s="285" customFormat="1" ht="39.6" customHeight="1" x14ac:dyDescent="0.25">
      <c r="A2160" s="276"/>
      <c r="B2160" s="276"/>
      <c r="C2160" s="276"/>
      <c r="D2160" s="288"/>
      <c r="E2160" s="290"/>
      <c r="F2160" s="266"/>
      <c r="G2160" s="288"/>
      <c r="H2160" s="291"/>
      <c r="I2160" s="292"/>
      <c r="J2160" s="292"/>
      <c r="K2160" s="291"/>
      <c r="L2160" s="293"/>
      <c r="M2160" s="287"/>
      <c r="O2160" s="286"/>
      <c r="P2160" s="269"/>
      <c r="Q2160" s="269"/>
      <c r="R2160" s="269"/>
    </row>
    <row r="2161" spans="1:18" s="285" customFormat="1" ht="39.6" customHeight="1" x14ac:dyDescent="0.25">
      <c r="A2161" s="276"/>
      <c r="B2161" s="276"/>
      <c r="C2161" s="276"/>
      <c r="D2161" s="288"/>
      <c r="E2161" s="290"/>
      <c r="F2161" s="266"/>
      <c r="G2161" s="288"/>
      <c r="H2161" s="291"/>
      <c r="I2161" s="292"/>
      <c r="J2161" s="292"/>
      <c r="K2161" s="291"/>
      <c r="L2161" s="293"/>
      <c r="M2161" s="287"/>
      <c r="O2161" s="286"/>
      <c r="P2161" s="269"/>
      <c r="Q2161" s="269"/>
      <c r="R2161" s="269"/>
    </row>
    <row r="2162" spans="1:18" s="285" customFormat="1" ht="39.6" customHeight="1" x14ac:dyDescent="0.25">
      <c r="A2162" s="276"/>
      <c r="B2162" s="276"/>
      <c r="C2162" s="276"/>
      <c r="D2162" s="288"/>
      <c r="E2162" s="290"/>
      <c r="F2162" s="266"/>
      <c r="G2162" s="288"/>
      <c r="H2162" s="291"/>
      <c r="I2162" s="292"/>
      <c r="J2162" s="292"/>
      <c r="K2162" s="291"/>
      <c r="L2162" s="293"/>
      <c r="M2162" s="287"/>
      <c r="O2162" s="286"/>
      <c r="P2162" s="269"/>
      <c r="Q2162" s="269"/>
      <c r="R2162" s="269"/>
    </row>
    <row r="2163" spans="1:18" s="285" customFormat="1" ht="39.6" customHeight="1" x14ac:dyDescent="0.25">
      <c r="A2163" s="276"/>
      <c r="B2163" s="276"/>
      <c r="C2163" s="276"/>
      <c r="D2163" s="288"/>
      <c r="E2163" s="290"/>
      <c r="F2163" s="266"/>
      <c r="G2163" s="288"/>
      <c r="H2163" s="291"/>
      <c r="I2163" s="292"/>
      <c r="J2163" s="292"/>
      <c r="K2163" s="291"/>
      <c r="L2163" s="293"/>
      <c r="M2163" s="287"/>
      <c r="O2163" s="286"/>
      <c r="P2163" s="269"/>
      <c r="Q2163" s="269"/>
      <c r="R2163" s="269"/>
    </row>
    <row r="2164" spans="1:18" s="285" customFormat="1" ht="39.6" customHeight="1" x14ac:dyDescent="0.25">
      <c r="A2164" s="276"/>
      <c r="B2164" s="276"/>
      <c r="C2164" s="276"/>
      <c r="D2164" s="288"/>
      <c r="E2164" s="290"/>
      <c r="F2164" s="266"/>
      <c r="G2164" s="288"/>
      <c r="H2164" s="291"/>
      <c r="I2164" s="292"/>
      <c r="J2164" s="292"/>
      <c r="K2164" s="291"/>
      <c r="L2164" s="293"/>
      <c r="M2164" s="287"/>
      <c r="O2164" s="286"/>
      <c r="P2164" s="269"/>
      <c r="Q2164" s="269"/>
      <c r="R2164" s="269"/>
    </row>
    <row r="2165" spans="1:18" s="285" customFormat="1" ht="39.6" customHeight="1" x14ac:dyDescent="0.25">
      <c r="A2165" s="276"/>
      <c r="B2165" s="276"/>
      <c r="C2165" s="276"/>
      <c r="D2165" s="288"/>
      <c r="E2165" s="290"/>
      <c r="F2165" s="266"/>
      <c r="G2165" s="288"/>
      <c r="H2165" s="291"/>
      <c r="I2165" s="292"/>
      <c r="J2165" s="292"/>
      <c r="K2165" s="291"/>
      <c r="L2165" s="293"/>
      <c r="M2165" s="287"/>
      <c r="O2165" s="286"/>
      <c r="P2165" s="269"/>
      <c r="Q2165" s="269"/>
      <c r="R2165" s="269"/>
    </row>
    <row r="2166" spans="1:18" s="285" customFormat="1" ht="39.6" customHeight="1" x14ac:dyDescent="0.25">
      <c r="A2166" s="276"/>
      <c r="B2166" s="276"/>
      <c r="C2166" s="276"/>
      <c r="D2166" s="288"/>
      <c r="E2166" s="290"/>
      <c r="F2166" s="266"/>
      <c r="G2166" s="288"/>
      <c r="H2166" s="291"/>
      <c r="I2166" s="292"/>
      <c r="J2166" s="292"/>
      <c r="K2166" s="291"/>
      <c r="L2166" s="293"/>
      <c r="M2166" s="287"/>
      <c r="O2166" s="286"/>
      <c r="P2166" s="269"/>
      <c r="Q2166" s="269"/>
      <c r="R2166" s="269"/>
    </row>
    <row r="2167" spans="1:18" s="285" customFormat="1" ht="39.6" customHeight="1" x14ac:dyDescent="0.25">
      <c r="A2167" s="276"/>
      <c r="B2167" s="276"/>
      <c r="C2167" s="276"/>
      <c r="D2167" s="288"/>
      <c r="E2167" s="290"/>
      <c r="F2167" s="266"/>
      <c r="G2167" s="288"/>
      <c r="H2167" s="291"/>
      <c r="I2167" s="292"/>
      <c r="J2167" s="292"/>
      <c r="K2167" s="291"/>
      <c r="L2167" s="293"/>
      <c r="M2167" s="287"/>
      <c r="O2167" s="286"/>
      <c r="P2167" s="269"/>
      <c r="Q2167" s="269"/>
      <c r="R2167" s="269"/>
    </row>
    <row r="2168" spans="1:18" ht="15" x14ac:dyDescent="0.25">
      <c r="M2168" s="287"/>
    </row>
    <row r="2169" spans="1:18" ht="15" hidden="1" x14ac:dyDescent="0.25">
      <c r="M2169" s="287"/>
    </row>
    <row r="2170" spans="1:18" ht="15" hidden="1" x14ac:dyDescent="0.25">
      <c r="M2170" s="287"/>
    </row>
    <row r="2171" spans="1:18" ht="12.75" hidden="1" x14ac:dyDescent="0.2"/>
    <row r="2172" spans="1:18" ht="12.75" hidden="1" x14ac:dyDescent="0.2"/>
    <row r="2173" spans="1:18" ht="12.75" hidden="1" x14ac:dyDescent="0.2"/>
    <row r="2174" spans="1:18" ht="12.75" hidden="1" x14ac:dyDescent="0.2"/>
    <row r="2175" spans="1:18" ht="12.75" hidden="1" x14ac:dyDescent="0.2"/>
    <row r="2176" spans="1:18" ht="12.75" hidden="1" x14ac:dyDescent="0.2"/>
    <row r="2177" spans="5:21" ht="12.75" hidden="1" x14ac:dyDescent="0.2"/>
    <row r="2178" spans="5:21" ht="12.75" hidden="1" x14ac:dyDescent="0.2"/>
    <row r="2179" spans="5:21" ht="12.75" hidden="1" x14ac:dyDescent="0.2"/>
    <row r="2180" spans="5:21" ht="12.75" hidden="1" x14ac:dyDescent="0.2"/>
    <row r="2181" spans="5:21" ht="12.75" hidden="1" x14ac:dyDescent="0.2"/>
    <row r="2182" spans="5:21" ht="12.75" hidden="1" x14ac:dyDescent="0.2"/>
    <row r="2183" spans="5:21" ht="12.75" hidden="1" x14ac:dyDescent="0.2"/>
    <row r="2184" spans="5:21" ht="12.75" hidden="1" x14ac:dyDescent="0.2"/>
    <row r="2185" spans="5:21" ht="12.75" hidden="1" x14ac:dyDescent="0.2"/>
    <row r="2186" spans="5:21" s="288" customFormat="1" ht="12.75" hidden="1" x14ac:dyDescent="0.2">
      <c r="E2186" s="290"/>
      <c r="F2186" s="266"/>
      <c r="H2186" s="291"/>
      <c r="I2186" s="292"/>
      <c r="J2186" s="292"/>
      <c r="K2186" s="291"/>
      <c r="L2186" s="293"/>
      <c r="M2186" s="290"/>
      <c r="N2186" s="269"/>
      <c r="O2186" s="294"/>
      <c r="P2186" s="269"/>
      <c r="Q2186" s="269"/>
      <c r="R2186" s="269"/>
      <c r="S2186" s="269"/>
      <c r="T2186" s="269"/>
      <c r="U2186" s="269"/>
    </row>
    <row r="2187" spans="5:21" s="288" customFormat="1" ht="12.75" hidden="1" x14ac:dyDescent="0.2">
      <c r="E2187" s="290"/>
      <c r="F2187" s="266"/>
      <c r="H2187" s="291"/>
      <c r="I2187" s="292"/>
      <c r="J2187" s="292"/>
      <c r="K2187" s="291"/>
      <c r="L2187" s="293"/>
      <c r="M2187" s="290"/>
      <c r="N2187" s="269"/>
      <c r="O2187" s="294"/>
      <c r="P2187" s="269"/>
      <c r="Q2187" s="269"/>
      <c r="R2187" s="269"/>
      <c r="S2187" s="269"/>
      <c r="T2187" s="269"/>
      <c r="U2187" s="269"/>
    </row>
    <row r="2188" spans="5:21" s="288" customFormat="1" ht="12.75" hidden="1" x14ac:dyDescent="0.2">
      <c r="E2188" s="290"/>
      <c r="F2188" s="266"/>
      <c r="H2188" s="291"/>
      <c r="I2188" s="292"/>
      <c r="J2188" s="292"/>
      <c r="K2188" s="291"/>
      <c r="L2188" s="293"/>
      <c r="M2188" s="290"/>
      <c r="N2188" s="269"/>
      <c r="O2188" s="294"/>
      <c r="P2188" s="269"/>
      <c r="Q2188" s="269"/>
      <c r="R2188" s="269"/>
      <c r="S2188" s="269"/>
      <c r="T2188" s="269"/>
      <c r="U2188" s="269"/>
    </row>
    <row r="2189" spans="5:21" s="288" customFormat="1" ht="12.75" hidden="1" x14ac:dyDescent="0.2">
      <c r="E2189" s="290"/>
      <c r="F2189" s="266"/>
      <c r="H2189" s="291"/>
      <c r="I2189" s="292"/>
      <c r="J2189" s="292"/>
      <c r="K2189" s="291"/>
      <c r="L2189" s="293"/>
      <c r="M2189" s="290"/>
      <c r="N2189" s="269"/>
      <c r="O2189" s="294"/>
      <c r="P2189" s="269"/>
      <c r="Q2189" s="269"/>
      <c r="R2189" s="269"/>
      <c r="S2189" s="269"/>
      <c r="T2189" s="269"/>
      <c r="U2189" s="269"/>
    </row>
    <row r="2190" spans="5:21" s="288" customFormat="1" ht="12.75" hidden="1" x14ac:dyDescent="0.2">
      <c r="E2190" s="290"/>
      <c r="F2190" s="266"/>
      <c r="H2190" s="291"/>
      <c r="I2190" s="292"/>
      <c r="J2190" s="292"/>
      <c r="K2190" s="291"/>
      <c r="L2190" s="293"/>
      <c r="M2190" s="290"/>
      <c r="N2190" s="269"/>
      <c r="O2190" s="294"/>
      <c r="P2190" s="269"/>
      <c r="Q2190" s="269"/>
      <c r="R2190" s="269"/>
      <c r="S2190" s="269"/>
      <c r="T2190" s="269"/>
      <c r="U2190" s="269"/>
    </row>
    <row r="2191" spans="5:21" s="288" customFormat="1" ht="12.75" hidden="1" x14ac:dyDescent="0.2">
      <c r="E2191" s="290"/>
      <c r="F2191" s="266"/>
      <c r="H2191" s="291"/>
      <c r="I2191" s="292"/>
      <c r="J2191" s="292"/>
      <c r="K2191" s="291"/>
      <c r="L2191" s="293"/>
      <c r="M2191" s="290"/>
      <c r="N2191" s="269"/>
      <c r="O2191" s="294"/>
      <c r="P2191" s="269"/>
      <c r="Q2191" s="269"/>
      <c r="R2191" s="269"/>
      <c r="S2191" s="269"/>
      <c r="T2191" s="269"/>
      <c r="U2191" s="269"/>
    </row>
    <row r="2192" spans="5:21" s="288" customFormat="1" ht="12.75" hidden="1" x14ac:dyDescent="0.2">
      <c r="E2192" s="290"/>
      <c r="F2192" s="266"/>
      <c r="H2192" s="291"/>
      <c r="I2192" s="292"/>
      <c r="J2192" s="292"/>
      <c r="K2192" s="291"/>
      <c r="L2192" s="293"/>
      <c r="M2192" s="290"/>
      <c r="N2192" s="269"/>
      <c r="O2192" s="294"/>
      <c r="P2192" s="269"/>
      <c r="Q2192" s="269"/>
      <c r="R2192" s="269"/>
      <c r="S2192" s="269"/>
      <c r="T2192" s="269"/>
      <c r="U2192" s="269"/>
    </row>
    <row r="2193" spans="5:21" s="288" customFormat="1" ht="12.75" hidden="1" x14ac:dyDescent="0.2">
      <c r="E2193" s="290"/>
      <c r="F2193" s="266"/>
      <c r="H2193" s="291"/>
      <c r="I2193" s="292"/>
      <c r="J2193" s="292"/>
      <c r="K2193" s="291"/>
      <c r="L2193" s="293"/>
      <c r="M2193" s="290"/>
      <c r="N2193" s="269"/>
      <c r="O2193" s="294"/>
      <c r="P2193" s="269"/>
      <c r="Q2193" s="269"/>
      <c r="R2193" s="269"/>
      <c r="S2193" s="269"/>
      <c r="T2193" s="269"/>
      <c r="U2193" s="269"/>
    </row>
    <row r="2194" spans="5:21" s="288" customFormat="1" ht="12.75" hidden="1" x14ac:dyDescent="0.2">
      <c r="E2194" s="290"/>
      <c r="F2194" s="266"/>
      <c r="H2194" s="291"/>
      <c r="I2194" s="292"/>
      <c r="J2194" s="292"/>
      <c r="K2194" s="291"/>
      <c r="L2194" s="293"/>
      <c r="M2194" s="290"/>
      <c r="N2194" s="269"/>
      <c r="O2194" s="294"/>
      <c r="P2194" s="269"/>
      <c r="Q2194" s="269"/>
      <c r="R2194" s="269"/>
      <c r="S2194" s="269"/>
      <c r="T2194" s="269"/>
      <c r="U2194" s="269"/>
    </row>
    <row r="2195" spans="5:21" s="288" customFormat="1" ht="12.75" hidden="1" x14ac:dyDescent="0.2">
      <c r="E2195" s="290"/>
      <c r="F2195" s="266"/>
      <c r="H2195" s="291"/>
      <c r="I2195" s="292"/>
      <c r="J2195" s="292"/>
      <c r="K2195" s="291"/>
      <c r="L2195" s="293"/>
      <c r="M2195" s="290"/>
      <c r="N2195" s="269"/>
      <c r="O2195" s="294"/>
      <c r="P2195" s="269"/>
      <c r="Q2195" s="269"/>
      <c r="R2195" s="269"/>
      <c r="S2195" s="269"/>
      <c r="T2195" s="269"/>
      <c r="U2195" s="269"/>
    </row>
    <row r="2196" spans="5:21" s="288" customFormat="1" ht="12.75" hidden="1" x14ac:dyDescent="0.2">
      <c r="E2196" s="290"/>
      <c r="F2196" s="266"/>
      <c r="H2196" s="291"/>
      <c r="I2196" s="292"/>
      <c r="J2196" s="292"/>
      <c r="K2196" s="291"/>
      <c r="L2196" s="293"/>
      <c r="M2196" s="290"/>
      <c r="N2196" s="269"/>
      <c r="O2196" s="294"/>
      <c r="P2196" s="269"/>
      <c r="Q2196" s="269"/>
      <c r="R2196" s="269"/>
      <c r="S2196" s="269"/>
      <c r="T2196" s="269"/>
      <c r="U2196" s="269"/>
    </row>
    <row r="2197" spans="5:21" s="288" customFormat="1" ht="12.75" hidden="1" x14ac:dyDescent="0.2">
      <c r="E2197" s="290"/>
      <c r="F2197" s="266"/>
      <c r="H2197" s="291"/>
      <c r="I2197" s="292"/>
      <c r="J2197" s="292"/>
      <c r="K2197" s="291"/>
      <c r="L2197" s="293"/>
      <c r="M2197" s="290"/>
      <c r="N2197" s="269"/>
      <c r="O2197" s="294"/>
      <c r="P2197" s="269"/>
      <c r="Q2197" s="269"/>
      <c r="R2197" s="269"/>
      <c r="S2197" s="269"/>
      <c r="T2197" s="269"/>
      <c r="U2197" s="269"/>
    </row>
    <row r="2198" spans="5:21" s="288" customFormat="1" ht="12.75" hidden="1" x14ac:dyDescent="0.2">
      <c r="E2198" s="290"/>
      <c r="F2198" s="266"/>
      <c r="H2198" s="291"/>
      <c r="I2198" s="292"/>
      <c r="J2198" s="292"/>
      <c r="K2198" s="291"/>
      <c r="L2198" s="293"/>
      <c r="M2198" s="290"/>
      <c r="N2198" s="269"/>
      <c r="O2198" s="294"/>
      <c r="P2198" s="269"/>
      <c r="Q2198" s="269"/>
      <c r="R2198" s="269"/>
      <c r="S2198" s="269"/>
      <c r="T2198" s="269"/>
      <c r="U2198" s="269"/>
    </row>
    <row r="2199" spans="5:21" s="288" customFormat="1" ht="12.75" hidden="1" x14ac:dyDescent="0.2">
      <c r="E2199" s="290"/>
      <c r="F2199" s="266"/>
      <c r="H2199" s="291"/>
      <c r="I2199" s="292"/>
      <c r="J2199" s="292"/>
      <c r="K2199" s="291"/>
      <c r="L2199" s="293"/>
      <c r="M2199" s="290"/>
      <c r="N2199" s="269"/>
      <c r="O2199" s="294"/>
      <c r="P2199" s="269"/>
      <c r="Q2199" s="269"/>
      <c r="R2199" s="269"/>
      <c r="S2199" s="269"/>
      <c r="T2199" s="269"/>
      <c r="U2199" s="269"/>
    </row>
    <row r="2200" spans="5:21" s="288" customFormat="1" ht="12.75" hidden="1" x14ac:dyDescent="0.2">
      <c r="E2200" s="290"/>
      <c r="F2200" s="266"/>
      <c r="H2200" s="291"/>
      <c r="I2200" s="292"/>
      <c r="J2200" s="292"/>
      <c r="K2200" s="291"/>
      <c r="L2200" s="293"/>
      <c r="M2200" s="290"/>
      <c r="N2200" s="269"/>
      <c r="O2200" s="294"/>
      <c r="P2200" s="269"/>
      <c r="Q2200" s="269"/>
      <c r="R2200" s="269"/>
      <c r="S2200" s="269"/>
      <c r="T2200" s="269"/>
      <c r="U2200" s="269"/>
    </row>
    <row r="2201" spans="5:21" s="288" customFormat="1" ht="12.75" hidden="1" x14ac:dyDescent="0.2">
      <c r="E2201" s="290"/>
      <c r="F2201" s="266"/>
      <c r="H2201" s="291"/>
      <c r="I2201" s="292"/>
      <c r="J2201" s="292"/>
      <c r="K2201" s="291"/>
      <c r="L2201" s="293"/>
      <c r="M2201" s="290"/>
      <c r="N2201" s="269"/>
      <c r="O2201" s="294"/>
      <c r="P2201" s="269"/>
      <c r="Q2201" s="269"/>
      <c r="R2201" s="269"/>
      <c r="S2201" s="269"/>
      <c r="T2201" s="269"/>
      <c r="U2201" s="269"/>
    </row>
    <row r="2202" spans="5:21" s="288" customFormat="1" ht="12.75" hidden="1" x14ac:dyDescent="0.2">
      <c r="E2202" s="290"/>
      <c r="F2202" s="266"/>
      <c r="H2202" s="291"/>
      <c r="I2202" s="292"/>
      <c r="J2202" s="292"/>
      <c r="K2202" s="291"/>
      <c r="L2202" s="293"/>
      <c r="M2202" s="290"/>
      <c r="N2202" s="269"/>
      <c r="O2202" s="294"/>
      <c r="P2202" s="269"/>
      <c r="Q2202" s="269"/>
      <c r="R2202" s="269"/>
      <c r="S2202" s="269"/>
      <c r="T2202" s="269"/>
      <c r="U2202" s="269"/>
    </row>
    <row r="2203" spans="5:21" s="288" customFormat="1" ht="12.75" hidden="1" x14ac:dyDescent="0.2">
      <c r="E2203" s="290"/>
      <c r="F2203" s="266"/>
      <c r="H2203" s="291"/>
      <c r="I2203" s="292"/>
      <c r="J2203" s="292"/>
      <c r="K2203" s="291"/>
      <c r="L2203" s="293"/>
      <c r="M2203" s="290"/>
      <c r="N2203" s="269"/>
      <c r="O2203" s="294"/>
      <c r="P2203" s="269"/>
      <c r="Q2203" s="269"/>
      <c r="R2203" s="269"/>
      <c r="S2203" s="269"/>
      <c r="T2203" s="269"/>
      <c r="U2203" s="269"/>
    </row>
    <row r="2204" spans="5:21" s="288" customFormat="1" ht="12.75" hidden="1" x14ac:dyDescent="0.2">
      <c r="E2204" s="290"/>
      <c r="F2204" s="266"/>
      <c r="H2204" s="291"/>
      <c r="I2204" s="292"/>
      <c r="J2204" s="292"/>
      <c r="K2204" s="291"/>
      <c r="L2204" s="293"/>
      <c r="M2204" s="290"/>
      <c r="N2204" s="269"/>
      <c r="O2204" s="294"/>
      <c r="P2204" s="269"/>
      <c r="Q2204" s="269"/>
      <c r="R2204" s="269"/>
      <c r="S2204" s="269"/>
      <c r="T2204" s="269"/>
      <c r="U2204" s="269"/>
    </row>
    <row r="2205" spans="5:21" s="288" customFormat="1" ht="12.75" hidden="1" x14ac:dyDescent="0.2">
      <c r="E2205" s="290"/>
      <c r="F2205" s="266"/>
      <c r="H2205" s="291"/>
      <c r="I2205" s="292"/>
      <c r="J2205" s="292"/>
      <c r="K2205" s="291"/>
      <c r="L2205" s="293"/>
      <c r="M2205" s="290"/>
      <c r="N2205" s="269"/>
      <c r="O2205" s="294"/>
      <c r="P2205" s="269"/>
      <c r="Q2205" s="269"/>
      <c r="R2205" s="269"/>
      <c r="S2205" s="269"/>
      <c r="T2205" s="269"/>
      <c r="U2205" s="269"/>
    </row>
    <row r="2206" spans="5:21" s="288" customFormat="1" ht="12.75" hidden="1" x14ac:dyDescent="0.2">
      <c r="E2206" s="290"/>
      <c r="F2206" s="266"/>
      <c r="H2206" s="291"/>
      <c r="I2206" s="292"/>
      <c r="J2206" s="292"/>
      <c r="K2206" s="291"/>
      <c r="L2206" s="293"/>
      <c r="M2206" s="290"/>
      <c r="N2206" s="269"/>
      <c r="O2206" s="294"/>
      <c r="P2206" s="269"/>
      <c r="Q2206" s="269"/>
      <c r="R2206" s="269"/>
      <c r="S2206" s="269"/>
      <c r="T2206" s="269"/>
      <c r="U2206" s="269"/>
    </row>
    <row r="2207" spans="5:21" s="288" customFormat="1" ht="12.75" hidden="1" x14ac:dyDescent="0.2">
      <c r="E2207" s="290"/>
      <c r="F2207" s="266"/>
      <c r="H2207" s="291"/>
      <c r="I2207" s="292"/>
      <c r="J2207" s="292"/>
      <c r="K2207" s="291"/>
      <c r="L2207" s="293"/>
      <c r="M2207" s="290"/>
      <c r="N2207" s="269"/>
      <c r="O2207" s="294"/>
      <c r="P2207" s="269"/>
      <c r="Q2207" s="269"/>
      <c r="R2207" s="269"/>
      <c r="S2207" s="269"/>
      <c r="T2207" s="269"/>
      <c r="U2207" s="269"/>
    </row>
    <row r="2208" spans="5:21" s="288" customFormat="1" ht="12.75" hidden="1" x14ac:dyDescent="0.2">
      <c r="E2208" s="290"/>
      <c r="F2208" s="266"/>
      <c r="H2208" s="291"/>
      <c r="I2208" s="292"/>
      <c r="J2208" s="292"/>
      <c r="K2208" s="291"/>
      <c r="L2208" s="293"/>
      <c r="M2208" s="290"/>
      <c r="N2208" s="269"/>
      <c r="O2208" s="294"/>
      <c r="P2208" s="269"/>
      <c r="Q2208" s="269"/>
      <c r="R2208" s="269"/>
      <c r="S2208" s="269"/>
      <c r="T2208" s="269"/>
      <c r="U2208" s="269"/>
    </row>
    <row r="2209" spans="5:21" s="288" customFormat="1" ht="12.75" hidden="1" x14ac:dyDescent="0.2">
      <c r="E2209" s="290"/>
      <c r="F2209" s="266"/>
      <c r="H2209" s="291"/>
      <c r="I2209" s="292"/>
      <c r="J2209" s="292"/>
      <c r="K2209" s="291"/>
      <c r="L2209" s="293"/>
      <c r="M2209" s="290"/>
      <c r="N2209" s="269"/>
      <c r="O2209" s="294"/>
      <c r="P2209" s="269"/>
      <c r="Q2209" s="269"/>
      <c r="R2209" s="269"/>
      <c r="S2209" s="269"/>
      <c r="T2209" s="269"/>
      <c r="U2209" s="269"/>
    </row>
    <row r="2210" spans="5:21" s="288" customFormat="1" ht="12.75" hidden="1" x14ac:dyDescent="0.2">
      <c r="E2210" s="290"/>
      <c r="F2210" s="266"/>
      <c r="H2210" s="291"/>
      <c r="I2210" s="292"/>
      <c r="J2210" s="292"/>
      <c r="K2210" s="291"/>
      <c r="L2210" s="293"/>
      <c r="M2210" s="290"/>
      <c r="N2210" s="269"/>
      <c r="O2210" s="294"/>
      <c r="P2210" s="269"/>
      <c r="Q2210" s="269"/>
      <c r="R2210" s="269"/>
      <c r="S2210" s="269"/>
      <c r="T2210" s="269"/>
      <c r="U2210" s="269"/>
    </row>
    <row r="2211" spans="5:21" s="288" customFormat="1" ht="12.75" hidden="1" x14ac:dyDescent="0.2">
      <c r="E2211" s="290"/>
      <c r="F2211" s="266"/>
      <c r="H2211" s="291"/>
      <c r="I2211" s="292"/>
      <c r="J2211" s="292"/>
      <c r="K2211" s="291"/>
      <c r="L2211" s="293"/>
      <c r="M2211" s="290"/>
      <c r="N2211" s="269"/>
      <c r="O2211" s="294"/>
      <c r="P2211" s="269"/>
      <c r="Q2211" s="269"/>
      <c r="R2211" s="269"/>
      <c r="S2211" s="269"/>
      <c r="T2211" s="269"/>
      <c r="U2211" s="269"/>
    </row>
    <row r="2212" spans="5:21" s="288" customFormat="1" ht="12.75" hidden="1" x14ac:dyDescent="0.2">
      <c r="E2212" s="290"/>
      <c r="F2212" s="266"/>
      <c r="H2212" s="291"/>
      <c r="I2212" s="292"/>
      <c r="J2212" s="292"/>
      <c r="K2212" s="291"/>
      <c r="L2212" s="293"/>
      <c r="M2212" s="290"/>
      <c r="N2212" s="269"/>
      <c r="O2212" s="294"/>
      <c r="P2212" s="269"/>
      <c r="Q2212" s="269"/>
      <c r="R2212" s="269"/>
      <c r="S2212" s="269"/>
      <c r="T2212" s="269"/>
      <c r="U2212" s="269"/>
    </row>
    <row r="2213" spans="5:21" s="288" customFormat="1" ht="12.75" hidden="1" x14ac:dyDescent="0.2">
      <c r="E2213" s="290"/>
      <c r="F2213" s="266"/>
      <c r="H2213" s="291"/>
      <c r="I2213" s="292"/>
      <c r="J2213" s="292"/>
      <c r="K2213" s="291"/>
      <c r="L2213" s="293"/>
      <c r="M2213" s="290"/>
      <c r="N2213" s="269"/>
      <c r="O2213" s="294"/>
      <c r="P2213" s="269"/>
      <c r="Q2213" s="269"/>
      <c r="R2213" s="269"/>
      <c r="S2213" s="269"/>
      <c r="T2213" s="269"/>
      <c r="U2213" s="269"/>
    </row>
    <row r="2214" spans="5:21" s="288" customFormat="1" ht="12.75" hidden="1" x14ac:dyDescent="0.2">
      <c r="E2214" s="290"/>
      <c r="F2214" s="266"/>
      <c r="H2214" s="291"/>
      <c r="I2214" s="292"/>
      <c r="J2214" s="292"/>
      <c r="K2214" s="291"/>
      <c r="L2214" s="293"/>
      <c r="M2214" s="290"/>
      <c r="N2214" s="269"/>
      <c r="O2214" s="294"/>
      <c r="P2214" s="269"/>
      <c r="Q2214" s="269"/>
      <c r="R2214" s="269"/>
      <c r="S2214" s="269"/>
      <c r="T2214" s="269"/>
      <c r="U2214" s="269"/>
    </row>
    <row r="2215" spans="5:21" s="288" customFormat="1" ht="12.75" hidden="1" x14ac:dyDescent="0.2">
      <c r="E2215" s="290"/>
      <c r="F2215" s="266"/>
      <c r="H2215" s="291"/>
      <c r="I2215" s="292"/>
      <c r="J2215" s="292"/>
      <c r="K2215" s="291"/>
      <c r="L2215" s="293"/>
      <c r="M2215" s="290"/>
      <c r="N2215" s="269"/>
      <c r="O2215" s="294"/>
      <c r="P2215" s="269"/>
      <c r="Q2215" s="269"/>
      <c r="R2215" s="269"/>
      <c r="S2215" s="269"/>
      <c r="T2215" s="269"/>
      <c r="U2215" s="269"/>
    </row>
    <row r="2216" spans="5:21" s="288" customFormat="1" ht="12.75" hidden="1" x14ac:dyDescent="0.2">
      <c r="E2216" s="290"/>
      <c r="F2216" s="266"/>
      <c r="H2216" s="291"/>
      <c r="I2216" s="292"/>
      <c r="J2216" s="292"/>
      <c r="K2216" s="291"/>
      <c r="L2216" s="293"/>
      <c r="M2216" s="290"/>
      <c r="N2216" s="269"/>
      <c r="O2216" s="294"/>
      <c r="P2216" s="269"/>
      <c r="Q2216" s="269"/>
      <c r="R2216" s="269"/>
      <c r="S2216" s="269"/>
      <c r="T2216" s="269"/>
      <c r="U2216" s="269"/>
    </row>
    <row r="2217" spans="5:21" s="288" customFormat="1" ht="12.75" hidden="1" x14ac:dyDescent="0.2">
      <c r="E2217" s="290"/>
      <c r="F2217" s="266"/>
      <c r="H2217" s="291"/>
      <c r="I2217" s="292"/>
      <c r="J2217" s="292"/>
      <c r="K2217" s="291"/>
      <c r="L2217" s="293"/>
      <c r="M2217" s="290"/>
      <c r="N2217" s="269"/>
      <c r="O2217" s="294"/>
      <c r="P2217" s="269"/>
      <c r="Q2217" s="269"/>
      <c r="R2217" s="269"/>
      <c r="S2217" s="269"/>
      <c r="T2217" s="269"/>
      <c r="U2217" s="269"/>
    </row>
    <row r="2218" spans="5:21" s="288" customFormat="1" ht="12.75" hidden="1" x14ac:dyDescent="0.2">
      <c r="E2218" s="290"/>
      <c r="F2218" s="266"/>
      <c r="H2218" s="291"/>
      <c r="I2218" s="292"/>
      <c r="J2218" s="292"/>
      <c r="K2218" s="291"/>
      <c r="L2218" s="293"/>
      <c r="M2218" s="290"/>
      <c r="N2218" s="269"/>
      <c r="O2218" s="294"/>
      <c r="P2218" s="269"/>
      <c r="Q2218" s="269"/>
      <c r="R2218" s="269"/>
      <c r="S2218" s="269"/>
      <c r="T2218" s="269"/>
      <c r="U2218" s="269"/>
    </row>
    <row r="2219" spans="5:21" s="288" customFormat="1" ht="12.75" hidden="1" x14ac:dyDescent="0.2">
      <c r="E2219" s="290"/>
      <c r="F2219" s="266"/>
      <c r="H2219" s="291"/>
      <c r="I2219" s="292"/>
      <c r="J2219" s="292"/>
      <c r="K2219" s="291"/>
      <c r="L2219" s="293"/>
      <c r="M2219" s="290"/>
      <c r="N2219" s="269"/>
      <c r="O2219" s="294"/>
      <c r="P2219" s="269"/>
      <c r="Q2219" s="269"/>
      <c r="R2219" s="269"/>
      <c r="S2219" s="269"/>
      <c r="T2219" s="269"/>
      <c r="U2219" s="269"/>
    </row>
    <row r="2220" spans="5:21" s="288" customFormat="1" ht="12.75" hidden="1" x14ac:dyDescent="0.2">
      <c r="E2220" s="290"/>
      <c r="F2220" s="266"/>
      <c r="H2220" s="291"/>
      <c r="I2220" s="292"/>
      <c r="J2220" s="292"/>
      <c r="K2220" s="291"/>
      <c r="L2220" s="293"/>
      <c r="M2220" s="290"/>
      <c r="N2220" s="269"/>
      <c r="O2220" s="294"/>
      <c r="P2220" s="269"/>
      <c r="Q2220" s="269"/>
      <c r="R2220" s="269"/>
      <c r="S2220" s="269"/>
      <c r="T2220" s="269"/>
      <c r="U2220" s="269"/>
    </row>
    <row r="2221" spans="5:21" s="288" customFormat="1" ht="12.75" hidden="1" x14ac:dyDescent="0.2">
      <c r="E2221" s="290"/>
      <c r="F2221" s="266"/>
      <c r="H2221" s="291"/>
      <c r="I2221" s="292"/>
      <c r="J2221" s="292"/>
      <c r="K2221" s="291"/>
      <c r="L2221" s="293"/>
      <c r="M2221" s="290"/>
      <c r="N2221" s="269"/>
      <c r="O2221" s="294"/>
      <c r="P2221" s="269"/>
      <c r="Q2221" s="269"/>
      <c r="R2221" s="269"/>
      <c r="S2221" s="269"/>
      <c r="T2221" s="269"/>
      <c r="U2221" s="269"/>
    </row>
    <row r="2222" spans="5:21" s="288" customFormat="1" ht="12.75" hidden="1" x14ac:dyDescent="0.2">
      <c r="E2222" s="290"/>
      <c r="F2222" s="266"/>
      <c r="H2222" s="291"/>
      <c r="I2222" s="292"/>
      <c r="J2222" s="292"/>
      <c r="K2222" s="291"/>
      <c r="L2222" s="293"/>
      <c r="M2222" s="290"/>
      <c r="N2222" s="269"/>
      <c r="O2222" s="294"/>
      <c r="P2222" s="269"/>
      <c r="Q2222" s="269"/>
      <c r="R2222" s="269"/>
      <c r="S2222" s="269"/>
      <c r="T2222" s="269"/>
      <c r="U2222" s="269"/>
    </row>
    <row r="2223" spans="5:21" s="288" customFormat="1" ht="12.75" hidden="1" x14ac:dyDescent="0.2">
      <c r="E2223" s="290"/>
      <c r="F2223" s="266"/>
      <c r="H2223" s="291"/>
      <c r="I2223" s="292"/>
      <c r="J2223" s="292"/>
      <c r="K2223" s="291"/>
      <c r="L2223" s="293"/>
      <c r="M2223" s="290"/>
      <c r="N2223" s="269"/>
      <c r="O2223" s="294"/>
      <c r="P2223" s="269"/>
      <c r="Q2223" s="269"/>
      <c r="R2223" s="269"/>
      <c r="S2223" s="269"/>
      <c r="T2223" s="269"/>
      <c r="U2223" s="269"/>
    </row>
    <row r="2224" spans="5:21" s="288" customFormat="1" ht="12.75" hidden="1" x14ac:dyDescent="0.2">
      <c r="E2224" s="290"/>
      <c r="F2224" s="266"/>
      <c r="H2224" s="291"/>
      <c r="I2224" s="292"/>
      <c r="J2224" s="292"/>
      <c r="K2224" s="291"/>
      <c r="L2224" s="293"/>
      <c r="M2224" s="290"/>
      <c r="N2224" s="269"/>
      <c r="O2224" s="294"/>
      <c r="P2224" s="269"/>
      <c r="Q2224" s="269"/>
      <c r="R2224" s="269"/>
      <c r="S2224" s="269"/>
      <c r="T2224" s="269"/>
      <c r="U2224" s="269"/>
    </row>
    <row r="2225" spans="5:21" s="288" customFormat="1" ht="12.75" hidden="1" x14ac:dyDescent="0.2">
      <c r="E2225" s="290"/>
      <c r="F2225" s="266"/>
      <c r="H2225" s="291"/>
      <c r="I2225" s="292"/>
      <c r="J2225" s="292"/>
      <c r="K2225" s="291"/>
      <c r="L2225" s="293"/>
      <c r="M2225" s="290"/>
      <c r="N2225" s="269"/>
      <c r="O2225" s="294"/>
      <c r="P2225" s="269"/>
      <c r="Q2225" s="269"/>
      <c r="R2225" s="269"/>
      <c r="S2225" s="269"/>
      <c r="T2225" s="269"/>
      <c r="U2225" s="269"/>
    </row>
    <row r="2226" spans="5:21" s="288" customFormat="1" ht="12.75" hidden="1" x14ac:dyDescent="0.2">
      <c r="E2226" s="290"/>
      <c r="F2226" s="266"/>
      <c r="H2226" s="291"/>
      <c r="I2226" s="292"/>
      <c r="J2226" s="292"/>
      <c r="K2226" s="291"/>
      <c r="L2226" s="293"/>
      <c r="M2226" s="290"/>
      <c r="N2226" s="269"/>
      <c r="O2226" s="294"/>
      <c r="P2226" s="269"/>
      <c r="Q2226" s="269"/>
      <c r="R2226" s="269"/>
      <c r="S2226" s="269"/>
      <c r="T2226" s="269"/>
      <c r="U2226" s="269"/>
    </row>
    <row r="2227" spans="5:21" s="288" customFormat="1" ht="12.75" hidden="1" x14ac:dyDescent="0.2">
      <c r="E2227" s="290"/>
      <c r="F2227" s="266"/>
      <c r="H2227" s="291"/>
      <c r="I2227" s="292"/>
      <c r="J2227" s="292"/>
      <c r="K2227" s="291"/>
      <c r="L2227" s="293"/>
      <c r="M2227" s="290"/>
      <c r="N2227" s="269"/>
      <c r="O2227" s="294"/>
      <c r="P2227" s="269"/>
      <c r="Q2227" s="269"/>
      <c r="R2227" s="269"/>
      <c r="S2227" s="269"/>
      <c r="T2227" s="269"/>
      <c r="U2227" s="269"/>
    </row>
    <row r="2228" spans="5:21" s="288" customFormat="1" ht="12.75" hidden="1" x14ac:dyDescent="0.2">
      <c r="E2228" s="290"/>
      <c r="F2228" s="266"/>
      <c r="H2228" s="291"/>
      <c r="I2228" s="292"/>
      <c r="J2228" s="292"/>
      <c r="K2228" s="291"/>
      <c r="L2228" s="293"/>
      <c r="M2228" s="290"/>
      <c r="N2228" s="269"/>
      <c r="O2228" s="294"/>
      <c r="P2228" s="269"/>
      <c r="Q2228" s="269"/>
      <c r="R2228" s="269"/>
      <c r="S2228" s="269"/>
      <c r="T2228" s="269"/>
      <c r="U2228" s="269"/>
    </row>
    <row r="2229" spans="5:21" s="288" customFormat="1" ht="12.75" hidden="1" x14ac:dyDescent="0.2">
      <c r="E2229" s="290"/>
      <c r="F2229" s="266"/>
      <c r="H2229" s="291"/>
      <c r="I2229" s="292"/>
      <c r="J2229" s="292"/>
      <c r="K2229" s="291"/>
      <c r="L2229" s="293"/>
      <c r="M2229" s="290"/>
      <c r="N2229" s="269"/>
      <c r="O2229" s="294"/>
      <c r="P2229" s="269"/>
      <c r="Q2229" s="269"/>
      <c r="R2229" s="269"/>
      <c r="S2229" s="269"/>
      <c r="T2229" s="269"/>
      <c r="U2229" s="269"/>
    </row>
    <row r="2230" spans="5:21" s="288" customFormat="1" ht="12.75" hidden="1" x14ac:dyDescent="0.2">
      <c r="E2230" s="290"/>
      <c r="F2230" s="266"/>
      <c r="H2230" s="291"/>
      <c r="I2230" s="292"/>
      <c r="J2230" s="292"/>
      <c r="K2230" s="291"/>
      <c r="L2230" s="293"/>
      <c r="M2230" s="290"/>
      <c r="N2230" s="269"/>
      <c r="O2230" s="294"/>
      <c r="P2230" s="269"/>
      <c r="Q2230" s="269"/>
      <c r="R2230" s="269"/>
      <c r="S2230" s="269"/>
      <c r="T2230" s="269"/>
      <c r="U2230" s="269"/>
    </row>
    <row r="2231" spans="5:21" s="288" customFormat="1" ht="12.75" hidden="1" x14ac:dyDescent="0.2">
      <c r="E2231" s="290"/>
      <c r="F2231" s="266"/>
      <c r="H2231" s="291"/>
      <c r="I2231" s="292"/>
      <c r="J2231" s="292"/>
      <c r="K2231" s="291"/>
      <c r="L2231" s="293"/>
      <c r="M2231" s="290"/>
      <c r="N2231" s="269"/>
      <c r="O2231" s="294"/>
      <c r="P2231" s="269"/>
      <c r="Q2231" s="269"/>
      <c r="R2231" s="269"/>
      <c r="S2231" s="269"/>
      <c r="T2231" s="269"/>
      <c r="U2231" s="269"/>
    </row>
    <row r="2232" spans="5:21" s="288" customFormat="1" ht="12.75" hidden="1" x14ac:dyDescent="0.2">
      <c r="E2232" s="290"/>
      <c r="F2232" s="266"/>
      <c r="H2232" s="291"/>
      <c r="I2232" s="292"/>
      <c r="J2232" s="292"/>
      <c r="K2232" s="291"/>
      <c r="L2232" s="293"/>
      <c r="M2232" s="290"/>
      <c r="N2232" s="269"/>
      <c r="O2232" s="294"/>
      <c r="P2232" s="269"/>
      <c r="Q2232" s="269"/>
      <c r="R2232" s="269"/>
      <c r="S2232" s="269"/>
      <c r="T2232" s="269"/>
      <c r="U2232" s="269"/>
    </row>
    <row r="2233" spans="5:21" s="288" customFormat="1" ht="12.75" hidden="1" x14ac:dyDescent="0.2">
      <c r="E2233" s="290"/>
      <c r="F2233" s="266"/>
      <c r="H2233" s="291"/>
      <c r="I2233" s="292"/>
      <c r="J2233" s="292"/>
      <c r="K2233" s="291"/>
      <c r="L2233" s="293"/>
      <c r="M2233" s="290"/>
      <c r="N2233" s="269"/>
      <c r="O2233" s="294"/>
      <c r="P2233" s="269"/>
      <c r="Q2233" s="269"/>
      <c r="R2233" s="269"/>
      <c r="S2233" s="269"/>
      <c r="T2233" s="269"/>
      <c r="U2233" s="269"/>
    </row>
    <row r="2234" spans="5:21" s="288" customFormat="1" ht="12.75" hidden="1" x14ac:dyDescent="0.2">
      <c r="E2234" s="290"/>
      <c r="F2234" s="266"/>
      <c r="H2234" s="291"/>
      <c r="I2234" s="292"/>
      <c r="J2234" s="292"/>
      <c r="K2234" s="291"/>
      <c r="L2234" s="293"/>
      <c r="M2234" s="290"/>
      <c r="N2234" s="269"/>
      <c r="O2234" s="294"/>
      <c r="P2234" s="269"/>
      <c r="Q2234" s="269"/>
      <c r="R2234" s="269"/>
      <c r="S2234" s="269"/>
      <c r="T2234" s="269"/>
      <c r="U2234" s="269"/>
    </row>
    <row r="2235" spans="5:21" s="288" customFormat="1" ht="12.75" hidden="1" x14ac:dyDescent="0.2">
      <c r="E2235" s="290"/>
      <c r="F2235" s="266"/>
      <c r="H2235" s="291"/>
      <c r="I2235" s="292"/>
      <c r="J2235" s="292"/>
      <c r="K2235" s="291"/>
      <c r="L2235" s="293"/>
      <c r="M2235" s="290"/>
      <c r="N2235" s="269"/>
      <c r="O2235" s="294"/>
      <c r="P2235" s="269"/>
      <c r="Q2235" s="269"/>
      <c r="R2235" s="269"/>
      <c r="S2235" s="269"/>
      <c r="T2235" s="269"/>
      <c r="U2235" s="269"/>
    </row>
    <row r="2236" spans="5:21" s="288" customFormat="1" ht="12.75" hidden="1" x14ac:dyDescent="0.2">
      <c r="E2236" s="290"/>
      <c r="F2236" s="266"/>
      <c r="H2236" s="291"/>
      <c r="I2236" s="292"/>
      <c r="J2236" s="292"/>
      <c r="K2236" s="291"/>
      <c r="L2236" s="293"/>
      <c r="M2236" s="290"/>
      <c r="N2236" s="269"/>
      <c r="O2236" s="294"/>
      <c r="P2236" s="269"/>
      <c r="Q2236" s="269"/>
      <c r="R2236" s="269"/>
      <c r="S2236" s="269"/>
      <c r="T2236" s="269"/>
      <c r="U2236" s="269"/>
    </row>
    <row r="2237" spans="5:21" s="288" customFormat="1" ht="12.75" hidden="1" x14ac:dyDescent="0.2">
      <c r="E2237" s="290"/>
      <c r="F2237" s="266"/>
      <c r="H2237" s="291"/>
      <c r="I2237" s="292"/>
      <c r="J2237" s="292"/>
      <c r="K2237" s="291"/>
      <c r="L2237" s="293"/>
      <c r="M2237" s="290"/>
      <c r="N2237" s="269"/>
      <c r="O2237" s="294"/>
      <c r="P2237" s="269"/>
      <c r="Q2237" s="269"/>
      <c r="R2237" s="269"/>
      <c r="S2237" s="269"/>
      <c r="T2237" s="269"/>
      <c r="U2237" s="269"/>
    </row>
    <row r="2238" spans="5:21" s="288" customFormat="1" ht="12.75" hidden="1" x14ac:dyDescent="0.2">
      <c r="E2238" s="290"/>
      <c r="F2238" s="266"/>
      <c r="H2238" s="291"/>
      <c r="I2238" s="292"/>
      <c r="J2238" s="292"/>
      <c r="K2238" s="291"/>
      <c r="L2238" s="293"/>
      <c r="M2238" s="290"/>
      <c r="N2238" s="269"/>
      <c r="O2238" s="294"/>
      <c r="P2238" s="269"/>
      <c r="Q2238" s="269"/>
      <c r="R2238" s="269"/>
      <c r="S2238" s="269"/>
      <c r="T2238" s="269"/>
      <c r="U2238" s="269"/>
    </row>
    <row r="2239" spans="5:21" s="288" customFormat="1" ht="12.75" hidden="1" x14ac:dyDescent="0.2">
      <c r="E2239" s="290"/>
      <c r="F2239" s="266"/>
      <c r="H2239" s="291"/>
      <c r="I2239" s="292"/>
      <c r="J2239" s="292"/>
      <c r="K2239" s="291"/>
      <c r="L2239" s="293"/>
      <c r="M2239" s="290"/>
      <c r="N2239" s="269"/>
      <c r="O2239" s="294"/>
      <c r="P2239" s="269"/>
      <c r="Q2239" s="269"/>
      <c r="R2239" s="269"/>
      <c r="S2239" s="269"/>
      <c r="T2239" s="269"/>
      <c r="U2239" s="269"/>
    </row>
    <row r="2240" spans="5:21" s="288" customFormat="1" ht="12.75" hidden="1" x14ac:dyDescent="0.2">
      <c r="E2240" s="290"/>
      <c r="F2240" s="266"/>
      <c r="H2240" s="291"/>
      <c r="I2240" s="292"/>
      <c r="J2240" s="292"/>
      <c r="K2240" s="291"/>
      <c r="L2240" s="293"/>
      <c r="M2240" s="290"/>
      <c r="N2240" s="269"/>
      <c r="O2240" s="294"/>
      <c r="P2240" s="269"/>
      <c r="Q2240" s="269"/>
      <c r="R2240" s="269"/>
      <c r="S2240" s="269"/>
      <c r="T2240" s="269"/>
      <c r="U2240" s="269"/>
    </row>
    <row r="2241" spans="5:21" s="288" customFormat="1" ht="12.75" hidden="1" x14ac:dyDescent="0.2">
      <c r="E2241" s="290"/>
      <c r="F2241" s="266"/>
      <c r="H2241" s="291"/>
      <c r="I2241" s="292"/>
      <c r="J2241" s="292"/>
      <c r="K2241" s="291"/>
      <c r="L2241" s="293"/>
      <c r="M2241" s="290"/>
      <c r="N2241" s="269"/>
      <c r="O2241" s="294"/>
      <c r="P2241" s="269"/>
      <c r="Q2241" s="269"/>
      <c r="R2241" s="269"/>
      <c r="S2241" s="269"/>
      <c r="T2241" s="269"/>
      <c r="U2241" s="269"/>
    </row>
    <row r="2242" spans="5:21" s="288" customFormat="1" ht="12.75" hidden="1" x14ac:dyDescent="0.2">
      <c r="E2242" s="290"/>
      <c r="F2242" s="266"/>
      <c r="H2242" s="291"/>
      <c r="I2242" s="292"/>
      <c r="J2242" s="292"/>
      <c r="K2242" s="291"/>
      <c r="L2242" s="293"/>
      <c r="M2242" s="290"/>
      <c r="N2242" s="269"/>
      <c r="O2242" s="294"/>
      <c r="P2242" s="269"/>
      <c r="Q2242" s="269"/>
      <c r="R2242" s="269"/>
      <c r="S2242" s="269"/>
      <c r="T2242" s="269"/>
      <c r="U2242" s="269"/>
    </row>
    <row r="2243" spans="5:21" s="288" customFormat="1" ht="12.75" hidden="1" x14ac:dyDescent="0.2">
      <c r="E2243" s="290"/>
      <c r="F2243" s="266"/>
      <c r="H2243" s="291"/>
      <c r="I2243" s="292"/>
      <c r="J2243" s="292"/>
      <c r="K2243" s="291"/>
      <c r="L2243" s="293"/>
      <c r="M2243" s="290"/>
      <c r="N2243" s="269"/>
      <c r="O2243" s="294"/>
      <c r="P2243" s="269"/>
      <c r="Q2243" s="269"/>
      <c r="R2243" s="269"/>
      <c r="S2243" s="269"/>
      <c r="T2243" s="269"/>
      <c r="U2243" s="269"/>
    </row>
    <row r="2244" spans="5:21" s="288" customFormat="1" ht="12.75" hidden="1" x14ac:dyDescent="0.2">
      <c r="E2244" s="290"/>
      <c r="F2244" s="266"/>
      <c r="H2244" s="291"/>
      <c r="I2244" s="292"/>
      <c r="J2244" s="292"/>
      <c r="K2244" s="291"/>
      <c r="L2244" s="293"/>
      <c r="M2244" s="290"/>
      <c r="N2244" s="269"/>
      <c r="O2244" s="294"/>
      <c r="P2244" s="269"/>
      <c r="Q2244" s="269"/>
      <c r="R2244" s="269"/>
      <c r="S2244" s="269"/>
      <c r="T2244" s="269"/>
      <c r="U2244" s="269"/>
    </row>
    <row r="2245" spans="5:21" s="288" customFormat="1" ht="12.75" hidden="1" x14ac:dyDescent="0.2">
      <c r="E2245" s="290"/>
      <c r="F2245" s="266"/>
      <c r="H2245" s="291"/>
      <c r="I2245" s="292"/>
      <c r="J2245" s="292"/>
      <c r="K2245" s="291"/>
      <c r="L2245" s="293"/>
      <c r="M2245" s="290"/>
      <c r="N2245" s="269"/>
      <c r="O2245" s="294"/>
      <c r="P2245" s="269"/>
      <c r="Q2245" s="269"/>
      <c r="R2245" s="269"/>
      <c r="S2245" s="269"/>
      <c r="T2245" s="269"/>
      <c r="U2245" s="269"/>
    </row>
    <row r="2246" spans="5:21" s="288" customFormat="1" ht="12.75" hidden="1" x14ac:dyDescent="0.2">
      <c r="E2246" s="290"/>
      <c r="F2246" s="266"/>
      <c r="H2246" s="291"/>
      <c r="I2246" s="292"/>
      <c r="J2246" s="292"/>
      <c r="K2246" s="291"/>
      <c r="L2246" s="293"/>
      <c r="M2246" s="290"/>
      <c r="N2246" s="269"/>
      <c r="O2246" s="294"/>
      <c r="P2246" s="269"/>
      <c r="Q2246" s="269"/>
      <c r="R2246" s="269"/>
      <c r="S2246" s="269"/>
      <c r="T2246" s="269"/>
      <c r="U2246" s="269"/>
    </row>
    <row r="2247" spans="5:21" s="288" customFormat="1" ht="12.75" hidden="1" x14ac:dyDescent="0.2">
      <c r="E2247" s="290"/>
      <c r="F2247" s="266"/>
      <c r="H2247" s="291"/>
      <c r="I2247" s="292"/>
      <c r="J2247" s="292"/>
      <c r="K2247" s="291"/>
      <c r="L2247" s="293"/>
      <c r="M2247" s="290"/>
      <c r="N2247" s="269"/>
      <c r="O2247" s="294"/>
      <c r="P2247" s="269"/>
      <c r="Q2247" s="269"/>
      <c r="R2247" s="269"/>
      <c r="S2247" s="269"/>
      <c r="T2247" s="269"/>
      <c r="U2247" s="269"/>
    </row>
    <row r="2248" spans="5:21" s="288" customFormat="1" ht="12.75" hidden="1" x14ac:dyDescent="0.2">
      <c r="E2248" s="290"/>
      <c r="F2248" s="266"/>
      <c r="H2248" s="291"/>
      <c r="I2248" s="292"/>
      <c r="J2248" s="292"/>
      <c r="K2248" s="291"/>
      <c r="L2248" s="293"/>
      <c r="M2248" s="290"/>
      <c r="N2248" s="269"/>
      <c r="O2248" s="294"/>
      <c r="P2248" s="269"/>
      <c r="Q2248" s="269"/>
      <c r="R2248" s="269"/>
      <c r="S2248" s="269"/>
      <c r="T2248" s="269"/>
      <c r="U2248" s="269"/>
    </row>
    <row r="2249" spans="5:21" s="288" customFormat="1" ht="12.75" hidden="1" x14ac:dyDescent="0.2">
      <c r="E2249" s="290"/>
      <c r="F2249" s="266"/>
      <c r="H2249" s="291"/>
      <c r="I2249" s="292"/>
      <c r="J2249" s="292"/>
      <c r="K2249" s="291"/>
      <c r="L2249" s="293"/>
      <c r="M2249" s="290"/>
      <c r="N2249" s="269"/>
      <c r="O2249" s="294"/>
      <c r="P2249" s="269"/>
      <c r="Q2249" s="269"/>
      <c r="R2249" s="269"/>
      <c r="S2249" s="269"/>
      <c r="T2249" s="269"/>
      <c r="U2249" s="269"/>
    </row>
    <row r="2250" spans="5:21" s="288" customFormat="1" ht="12.75" hidden="1" x14ac:dyDescent="0.2">
      <c r="E2250" s="290"/>
      <c r="F2250" s="266"/>
      <c r="H2250" s="291"/>
      <c r="I2250" s="292"/>
      <c r="J2250" s="292"/>
      <c r="K2250" s="291"/>
      <c r="L2250" s="293"/>
      <c r="M2250" s="290"/>
      <c r="N2250" s="269"/>
      <c r="O2250" s="294"/>
      <c r="P2250" s="269"/>
      <c r="Q2250" s="269"/>
      <c r="R2250" s="269"/>
      <c r="S2250" s="269"/>
      <c r="T2250" s="269"/>
      <c r="U2250" s="269"/>
    </row>
    <row r="2251" spans="5:21" s="288" customFormat="1" ht="12.75" hidden="1" x14ac:dyDescent="0.2">
      <c r="E2251" s="290"/>
      <c r="F2251" s="266"/>
      <c r="H2251" s="291"/>
      <c r="I2251" s="292"/>
      <c r="J2251" s="292"/>
      <c r="K2251" s="291"/>
      <c r="L2251" s="293"/>
      <c r="M2251" s="290"/>
      <c r="N2251" s="269"/>
      <c r="O2251" s="294"/>
      <c r="P2251" s="269"/>
      <c r="Q2251" s="269"/>
      <c r="R2251" s="269"/>
      <c r="S2251" s="269"/>
      <c r="T2251" s="269"/>
      <c r="U2251" s="269"/>
    </row>
    <row r="2252" spans="5:21" s="288" customFormat="1" ht="12.75" hidden="1" x14ac:dyDescent="0.2">
      <c r="E2252" s="290"/>
      <c r="F2252" s="266"/>
      <c r="H2252" s="291"/>
      <c r="I2252" s="292"/>
      <c r="J2252" s="292"/>
      <c r="K2252" s="291"/>
      <c r="L2252" s="293"/>
      <c r="M2252" s="290"/>
      <c r="N2252" s="269"/>
      <c r="O2252" s="294"/>
      <c r="P2252" s="269"/>
      <c r="Q2252" s="269"/>
      <c r="R2252" s="269"/>
      <c r="S2252" s="269"/>
      <c r="T2252" s="269"/>
      <c r="U2252" s="269"/>
    </row>
    <row r="2253" spans="5:21" s="288" customFormat="1" ht="12.75" hidden="1" x14ac:dyDescent="0.2">
      <c r="E2253" s="290"/>
      <c r="F2253" s="266"/>
      <c r="H2253" s="291"/>
      <c r="I2253" s="292"/>
      <c r="J2253" s="292"/>
      <c r="K2253" s="291"/>
      <c r="L2253" s="293"/>
      <c r="M2253" s="290"/>
      <c r="N2253" s="269"/>
      <c r="O2253" s="294"/>
      <c r="P2253" s="269"/>
      <c r="Q2253" s="269"/>
      <c r="R2253" s="269"/>
      <c r="S2253" s="269"/>
      <c r="T2253" s="269"/>
      <c r="U2253" s="269"/>
    </row>
    <row r="2254" spans="5:21" s="288" customFormat="1" ht="12.75" hidden="1" x14ac:dyDescent="0.2">
      <c r="E2254" s="290"/>
      <c r="F2254" s="266"/>
      <c r="H2254" s="291"/>
      <c r="I2254" s="292"/>
      <c r="J2254" s="292"/>
      <c r="K2254" s="291"/>
      <c r="L2254" s="293"/>
      <c r="M2254" s="290"/>
      <c r="N2254" s="269"/>
      <c r="O2254" s="294"/>
      <c r="P2254" s="269"/>
      <c r="Q2254" s="269"/>
      <c r="R2254" s="269"/>
      <c r="S2254" s="269"/>
      <c r="T2254" s="269"/>
      <c r="U2254" s="269"/>
    </row>
    <row r="2255" spans="5:21" s="288" customFormat="1" ht="12.75" hidden="1" x14ac:dyDescent="0.2">
      <c r="E2255" s="290"/>
      <c r="F2255" s="266"/>
      <c r="H2255" s="291"/>
      <c r="I2255" s="292"/>
      <c r="J2255" s="292"/>
      <c r="K2255" s="291"/>
      <c r="L2255" s="293"/>
      <c r="M2255" s="290"/>
      <c r="N2255" s="269"/>
      <c r="O2255" s="294"/>
      <c r="P2255" s="269"/>
      <c r="Q2255" s="269"/>
      <c r="R2255" s="269"/>
      <c r="S2255" s="269"/>
      <c r="T2255" s="269"/>
      <c r="U2255" s="269"/>
    </row>
    <row r="2256" spans="5:21" s="288" customFormat="1" ht="12.75" hidden="1" x14ac:dyDescent="0.2">
      <c r="E2256" s="290"/>
      <c r="F2256" s="266"/>
      <c r="H2256" s="291"/>
      <c r="I2256" s="292"/>
      <c r="J2256" s="292"/>
      <c r="K2256" s="291"/>
      <c r="L2256" s="293"/>
      <c r="M2256" s="290"/>
      <c r="N2256" s="269"/>
      <c r="O2256" s="294"/>
      <c r="P2256" s="269"/>
      <c r="Q2256" s="269"/>
      <c r="R2256" s="269"/>
      <c r="S2256" s="269"/>
      <c r="T2256" s="269"/>
      <c r="U2256" s="269"/>
    </row>
    <row r="2257" spans="5:21" s="288" customFormat="1" ht="12.75" hidden="1" x14ac:dyDescent="0.2">
      <c r="E2257" s="290"/>
      <c r="F2257" s="266"/>
      <c r="H2257" s="291"/>
      <c r="I2257" s="292"/>
      <c r="J2257" s="292"/>
      <c r="K2257" s="291"/>
      <c r="L2257" s="293"/>
      <c r="M2257" s="290"/>
      <c r="N2257" s="269"/>
      <c r="O2257" s="294"/>
      <c r="P2257" s="269"/>
      <c r="Q2257" s="269"/>
      <c r="R2257" s="269"/>
      <c r="S2257" s="269"/>
      <c r="T2257" s="269"/>
      <c r="U2257" s="269"/>
    </row>
    <row r="2258" spans="5:21" s="288" customFormat="1" ht="12.75" hidden="1" x14ac:dyDescent="0.2">
      <c r="E2258" s="290"/>
      <c r="F2258" s="266"/>
      <c r="H2258" s="291"/>
      <c r="I2258" s="292"/>
      <c r="J2258" s="292"/>
      <c r="K2258" s="291"/>
      <c r="L2258" s="293"/>
      <c r="M2258" s="290"/>
      <c r="N2258" s="269"/>
      <c r="O2258" s="294"/>
      <c r="P2258" s="269"/>
      <c r="Q2258" s="269"/>
      <c r="R2258" s="269"/>
      <c r="S2258" s="269"/>
      <c r="T2258" s="269"/>
      <c r="U2258" s="269"/>
    </row>
    <row r="2259" spans="5:21" s="288" customFormat="1" ht="12.75" hidden="1" x14ac:dyDescent="0.2">
      <c r="E2259" s="290"/>
      <c r="F2259" s="266"/>
      <c r="H2259" s="291"/>
      <c r="I2259" s="292"/>
      <c r="J2259" s="292"/>
      <c r="K2259" s="291"/>
      <c r="L2259" s="293"/>
      <c r="M2259" s="290"/>
      <c r="N2259" s="269"/>
      <c r="O2259" s="294"/>
      <c r="P2259" s="269"/>
      <c r="Q2259" s="269"/>
      <c r="R2259" s="269"/>
      <c r="S2259" s="269"/>
      <c r="T2259" s="269"/>
      <c r="U2259" s="269"/>
    </row>
    <row r="2260" spans="5:21" s="288" customFormat="1" ht="12.75" hidden="1" x14ac:dyDescent="0.2">
      <c r="E2260" s="290"/>
      <c r="F2260" s="266"/>
      <c r="H2260" s="291"/>
      <c r="I2260" s="292"/>
      <c r="J2260" s="292"/>
      <c r="K2260" s="291"/>
      <c r="L2260" s="293"/>
      <c r="M2260" s="290"/>
      <c r="N2260" s="269"/>
      <c r="O2260" s="294"/>
      <c r="P2260" s="269"/>
      <c r="Q2260" s="269"/>
      <c r="R2260" s="269"/>
      <c r="S2260" s="269"/>
      <c r="T2260" s="269"/>
      <c r="U2260" s="269"/>
    </row>
    <row r="2261" spans="5:21" s="288" customFormat="1" ht="12.75" hidden="1" x14ac:dyDescent="0.2">
      <c r="E2261" s="290"/>
      <c r="F2261" s="266"/>
      <c r="H2261" s="291"/>
      <c r="I2261" s="292"/>
      <c r="J2261" s="292"/>
      <c r="K2261" s="291"/>
      <c r="L2261" s="293"/>
      <c r="M2261" s="290"/>
      <c r="N2261" s="269"/>
      <c r="O2261" s="294"/>
      <c r="P2261" s="269"/>
      <c r="Q2261" s="269"/>
      <c r="R2261" s="269"/>
      <c r="S2261" s="269"/>
      <c r="T2261" s="269"/>
      <c r="U2261" s="269"/>
    </row>
    <row r="2262" spans="5:21" s="288" customFormat="1" ht="12.75" hidden="1" x14ac:dyDescent="0.2">
      <c r="E2262" s="290"/>
      <c r="F2262" s="266"/>
      <c r="H2262" s="291"/>
      <c r="I2262" s="292"/>
      <c r="J2262" s="292"/>
      <c r="K2262" s="291"/>
      <c r="L2262" s="293"/>
      <c r="M2262" s="290"/>
      <c r="N2262" s="269"/>
      <c r="O2262" s="294"/>
      <c r="P2262" s="269"/>
      <c r="Q2262" s="269"/>
      <c r="R2262" s="269"/>
      <c r="S2262" s="269"/>
      <c r="T2262" s="269"/>
      <c r="U2262" s="269"/>
    </row>
    <row r="2263" spans="5:21" s="288" customFormat="1" ht="12.75" hidden="1" x14ac:dyDescent="0.2">
      <c r="E2263" s="290"/>
      <c r="F2263" s="266"/>
      <c r="H2263" s="291"/>
      <c r="I2263" s="292"/>
      <c r="J2263" s="292"/>
      <c r="K2263" s="291"/>
      <c r="L2263" s="293"/>
      <c r="M2263" s="290"/>
      <c r="N2263" s="269"/>
      <c r="O2263" s="294"/>
      <c r="P2263" s="269"/>
      <c r="Q2263" s="269"/>
      <c r="R2263" s="269"/>
      <c r="S2263" s="269"/>
      <c r="T2263" s="269"/>
      <c r="U2263" s="269"/>
    </row>
    <row r="2264" spans="5:21" s="288" customFormat="1" ht="12.75" hidden="1" x14ac:dyDescent="0.2">
      <c r="E2264" s="290"/>
      <c r="F2264" s="266"/>
      <c r="H2264" s="291"/>
      <c r="I2264" s="292"/>
      <c r="J2264" s="292"/>
      <c r="K2264" s="291"/>
      <c r="L2264" s="293"/>
      <c r="M2264" s="290"/>
      <c r="N2264" s="269"/>
      <c r="O2264" s="294"/>
      <c r="P2264" s="269"/>
      <c r="Q2264" s="269"/>
      <c r="R2264" s="269"/>
      <c r="S2264" s="269"/>
      <c r="T2264" s="269"/>
      <c r="U2264" s="269"/>
    </row>
    <row r="2265" spans="5:21" s="288" customFormat="1" ht="12.75" hidden="1" x14ac:dyDescent="0.2">
      <c r="E2265" s="290"/>
      <c r="F2265" s="266"/>
      <c r="H2265" s="291"/>
      <c r="I2265" s="292"/>
      <c r="J2265" s="292"/>
      <c r="K2265" s="291"/>
      <c r="L2265" s="293"/>
      <c r="M2265" s="290"/>
      <c r="N2265" s="269"/>
      <c r="O2265" s="294"/>
      <c r="P2265" s="269"/>
      <c r="Q2265" s="269"/>
      <c r="R2265" s="269"/>
      <c r="S2265" s="269"/>
      <c r="T2265" s="269"/>
      <c r="U2265" s="269"/>
    </row>
    <row r="2266" spans="5:21" s="288" customFormat="1" ht="12.75" hidden="1" x14ac:dyDescent="0.2">
      <c r="E2266" s="290"/>
      <c r="F2266" s="266"/>
      <c r="H2266" s="291"/>
      <c r="I2266" s="292"/>
      <c r="J2266" s="292"/>
      <c r="K2266" s="291"/>
      <c r="L2266" s="293"/>
      <c r="M2266" s="290"/>
      <c r="N2266" s="269"/>
      <c r="O2266" s="294"/>
      <c r="P2266" s="269"/>
      <c r="Q2266" s="269"/>
      <c r="R2266" s="269"/>
      <c r="S2266" s="269"/>
      <c r="T2266" s="269"/>
      <c r="U2266" s="269"/>
    </row>
    <row r="2267" spans="5:21" s="288" customFormat="1" ht="12.75" hidden="1" x14ac:dyDescent="0.2">
      <c r="E2267" s="290"/>
      <c r="F2267" s="266"/>
      <c r="H2267" s="291"/>
      <c r="I2267" s="292"/>
      <c r="J2267" s="292"/>
      <c r="K2267" s="291"/>
      <c r="L2267" s="293"/>
      <c r="M2267" s="290"/>
      <c r="N2267" s="269"/>
      <c r="O2267" s="294"/>
      <c r="P2267" s="269"/>
      <c r="Q2267" s="269"/>
      <c r="R2267" s="269"/>
      <c r="S2267" s="269"/>
      <c r="T2267" s="269"/>
      <c r="U2267" s="269"/>
    </row>
    <row r="2268" spans="5:21" s="288" customFormat="1" ht="12.75" hidden="1" x14ac:dyDescent="0.2">
      <c r="E2268" s="290"/>
      <c r="F2268" s="266"/>
      <c r="H2268" s="291"/>
      <c r="I2268" s="292"/>
      <c r="J2268" s="292"/>
      <c r="K2268" s="291"/>
      <c r="L2268" s="293"/>
      <c r="M2268" s="290"/>
      <c r="N2268" s="269"/>
      <c r="O2268" s="294"/>
      <c r="P2268" s="269"/>
      <c r="Q2268" s="269"/>
      <c r="R2268" s="269"/>
      <c r="S2268" s="269"/>
      <c r="T2268" s="269"/>
      <c r="U2268" s="269"/>
    </row>
    <row r="2269" spans="5:21" s="288" customFormat="1" ht="12.75" hidden="1" x14ac:dyDescent="0.2">
      <c r="E2269" s="290"/>
      <c r="F2269" s="266"/>
      <c r="H2269" s="291"/>
      <c r="I2269" s="292"/>
      <c r="J2269" s="292"/>
      <c r="K2269" s="291"/>
      <c r="L2269" s="293"/>
      <c r="M2269" s="290"/>
      <c r="N2269" s="269"/>
      <c r="O2269" s="294"/>
      <c r="P2269" s="269"/>
      <c r="Q2269" s="269"/>
      <c r="R2269" s="269"/>
      <c r="S2269" s="269"/>
      <c r="T2269" s="269"/>
      <c r="U2269" s="269"/>
    </row>
    <row r="2270" spans="5:21" s="288" customFormat="1" ht="12.75" hidden="1" x14ac:dyDescent="0.2">
      <c r="E2270" s="290"/>
      <c r="F2270" s="266"/>
      <c r="H2270" s="291"/>
      <c r="I2270" s="292"/>
      <c r="J2270" s="292"/>
      <c r="K2270" s="291"/>
      <c r="L2270" s="293"/>
      <c r="M2270" s="290"/>
      <c r="N2270" s="269"/>
      <c r="O2270" s="294"/>
      <c r="P2270" s="269"/>
      <c r="Q2270" s="269"/>
      <c r="R2270" s="269"/>
      <c r="S2270" s="269"/>
      <c r="T2270" s="269"/>
      <c r="U2270" s="269"/>
    </row>
    <row r="2271" spans="5:21" s="288" customFormat="1" ht="12.75" hidden="1" x14ac:dyDescent="0.2">
      <c r="E2271" s="290"/>
      <c r="F2271" s="266"/>
      <c r="H2271" s="291"/>
      <c r="I2271" s="292"/>
      <c r="J2271" s="292"/>
      <c r="K2271" s="291"/>
      <c r="L2271" s="293"/>
      <c r="M2271" s="290"/>
      <c r="N2271" s="269"/>
      <c r="O2271" s="294"/>
      <c r="P2271" s="269"/>
      <c r="Q2271" s="269"/>
      <c r="R2271" s="269"/>
      <c r="S2271" s="269"/>
      <c r="T2271" s="269"/>
      <c r="U2271" s="269"/>
    </row>
    <row r="2272" spans="5:21" s="288" customFormat="1" ht="12.75" hidden="1" x14ac:dyDescent="0.2">
      <c r="E2272" s="290"/>
      <c r="F2272" s="266"/>
      <c r="H2272" s="291"/>
      <c r="I2272" s="292"/>
      <c r="J2272" s="292"/>
      <c r="K2272" s="291"/>
      <c r="L2272" s="293"/>
      <c r="M2272" s="290"/>
      <c r="N2272" s="269"/>
      <c r="O2272" s="294"/>
      <c r="P2272" s="269"/>
      <c r="Q2272" s="269"/>
      <c r="R2272" s="269"/>
      <c r="S2272" s="269"/>
      <c r="T2272" s="269"/>
      <c r="U2272" s="269"/>
    </row>
    <row r="2273" spans="5:21" s="288" customFormat="1" ht="12.75" hidden="1" x14ac:dyDescent="0.2">
      <c r="E2273" s="290"/>
      <c r="F2273" s="266"/>
      <c r="H2273" s="291"/>
      <c r="I2273" s="292"/>
      <c r="J2273" s="292"/>
      <c r="K2273" s="291"/>
      <c r="L2273" s="293"/>
      <c r="M2273" s="290"/>
      <c r="N2273" s="269"/>
      <c r="O2273" s="294"/>
      <c r="P2273" s="269"/>
      <c r="Q2273" s="269"/>
      <c r="R2273" s="269"/>
      <c r="S2273" s="269"/>
      <c r="T2273" s="269"/>
      <c r="U2273" s="269"/>
    </row>
    <row r="2274" spans="5:21" s="288" customFormat="1" ht="12.75" hidden="1" x14ac:dyDescent="0.2">
      <c r="E2274" s="290"/>
      <c r="F2274" s="266"/>
      <c r="H2274" s="291"/>
      <c r="I2274" s="292"/>
      <c r="J2274" s="292"/>
      <c r="K2274" s="291"/>
      <c r="L2274" s="293"/>
      <c r="M2274" s="290"/>
      <c r="N2274" s="269"/>
      <c r="O2274" s="294"/>
      <c r="P2274" s="269"/>
      <c r="Q2274" s="269"/>
      <c r="R2274" s="269"/>
      <c r="S2274" s="269"/>
      <c r="T2274" s="269"/>
      <c r="U2274" s="269"/>
    </row>
    <row r="2275" spans="5:21" s="288" customFormat="1" ht="12.75" hidden="1" x14ac:dyDescent="0.2">
      <c r="E2275" s="290"/>
      <c r="F2275" s="266"/>
      <c r="H2275" s="291"/>
      <c r="I2275" s="292"/>
      <c r="J2275" s="292"/>
      <c r="K2275" s="291"/>
      <c r="L2275" s="293"/>
      <c r="M2275" s="290"/>
      <c r="N2275" s="269"/>
      <c r="O2275" s="294"/>
      <c r="P2275" s="269"/>
      <c r="Q2275" s="269"/>
      <c r="R2275" s="269"/>
      <c r="S2275" s="269"/>
      <c r="T2275" s="269"/>
      <c r="U2275" s="269"/>
    </row>
    <row r="2276" spans="5:21" s="288" customFormat="1" ht="12.75" hidden="1" x14ac:dyDescent="0.2">
      <c r="E2276" s="290"/>
      <c r="F2276" s="266"/>
      <c r="H2276" s="291"/>
      <c r="I2276" s="292"/>
      <c r="J2276" s="292"/>
      <c r="K2276" s="291"/>
      <c r="L2276" s="293"/>
      <c r="M2276" s="290"/>
      <c r="N2276" s="269"/>
      <c r="O2276" s="294"/>
      <c r="P2276" s="269"/>
      <c r="Q2276" s="269"/>
      <c r="R2276" s="269"/>
      <c r="S2276" s="269"/>
      <c r="T2276" s="269"/>
      <c r="U2276" s="269"/>
    </row>
    <row r="2277" spans="5:21" s="288" customFormat="1" ht="12.75" hidden="1" x14ac:dyDescent="0.2">
      <c r="E2277" s="290"/>
      <c r="F2277" s="266"/>
      <c r="H2277" s="291"/>
      <c r="I2277" s="292"/>
      <c r="J2277" s="292"/>
      <c r="K2277" s="291"/>
      <c r="L2277" s="293"/>
      <c r="M2277" s="290"/>
      <c r="N2277" s="269"/>
      <c r="O2277" s="294"/>
      <c r="P2277" s="269"/>
      <c r="Q2277" s="269"/>
      <c r="R2277" s="269"/>
      <c r="S2277" s="269"/>
      <c r="T2277" s="269"/>
      <c r="U2277" s="269"/>
    </row>
    <row r="2278" spans="5:21" s="288" customFormat="1" ht="12.75" hidden="1" x14ac:dyDescent="0.2">
      <c r="E2278" s="290"/>
      <c r="F2278" s="266"/>
      <c r="H2278" s="291"/>
      <c r="I2278" s="292"/>
      <c r="J2278" s="292"/>
      <c r="K2278" s="291"/>
      <c r="L2278" s="293"/>
      <c r="M2278" s="290"/>
      <c r="N2278" s="269"/>
      <c r="O2278" s="294"/>
      <c r="P2278" s="269"/>
      <c r="Q2278" s="269"/>
      <c r="R2278" s="269"/>
      <c r="S2278" s="269"/>
      <c r="T2278" s="269"/>
      <c r="U2278" s="269"/>
    </row>
    <row r="2279" spans="5:21" s="288" customFormat="1" ht="12.75" hidden="1" x14ac:dyDescent="0.2">
      <c r="E2279" s="290"/>
      <c r="F2279" s="266"/>
      <c r="H2279" s="291"/>
      <c r="I2279" s="292"/>
      <c r="J2279" s="292"/>
      <c r="K2279" s="291"/>
      <c r="L2279" s="293"/>
      <c r="M2279" s="290"/>
      <c r="N2279" s="269"/>
      <c r="O2279" s="294"/>
      <c r="P2279" s="269"/>
      <c r="Q2279" s="269"/>
      <c r="R2279" s="269"/>
      <c r="S2279" s="269"/>
      <c r="T2279" s="269"/>
      <c r="U2279" s="269"/>
    </row>
    <row r="2280" spans="5:21" s="288" customFormat="1" ht="12.75" hidden="1" x14ac:dyDescent="0.2">
      <c r="E2280" s="290"/>
      <c r="F2280" s="266"/>
      <c r="H2280" s="291"/>
      <c r="I2280" s="292"/>
      <c r="J2280" s="292"/>
      <c r="K2280" s="291"/>
      <c r="L2280" s="293"/>
      <c r="M2280" s="290"/>
      <c r="N2280" s="269"/>
      <c r="O2280" s="294"/>
      <c r="P2280" s="269"/>
      <c r="Q2280" s="269"/>
      <c r="R2280" s="269"/>
      <c r="S2280" s="269"/>
      <c r="T2280" s="269"/>
      <c r="U2280" s="269"/>
    </row>
    <row r="2281" spans="5:21" s="288" customFormat="1" ht="12.75" hidden="1" x14ac:dyDescent="0.2">
      <c r="E2281" s="290"/>
      <c r="F2281" s="266"/>
      <c r="H2281" s="291"/>
      <c r="I2281" s="292"/>
      <c r="J2281" s="292"/>
      <c r="K2281" s="291"/>
      <c r="L2281" s="293"/>
      <c r="M2281" s="290"/>
      <c r="N2281" s="269"/>
      <c r="O2281" s="294"/>
      <c r="P2281" s="269"/>
      <c r="Q2281" s="269"/>
      <c r="R2281" s="269"/>
      <c r="S2281" s="269"/>
      <c r="T2281" s="269"/>
      <c r="U2281" s="269"/>
    </row>
    <row r="2282" spans="5:21" s="288" customFormat="1" ht="12.75" hidden="1" x14ac:dyDescent="0.2">
      <c r="E2282" s="290"/>
      <c r="F2282" s="266"/>
      <c r="H2282" s="291"/>
      <c r="I2282" s="292"/>
      <c r="J2282" s="292"/>
      <c r="K2282" s="291"/>
      <c r="L2282" s="293"/>
      <c r="M2282" s="290"/>
      <c r="N2282" s="269"/>
      <c r="O2282" s="294"/>
      <c r="P2282" s="269"/>
      <c r="Q2282" s="269"/>
      <c r="R2282" s="269"/>
      <c r="S2282" s="269"/>
      <c r="T2282" s="269"/>
      <c r="U2282" s="269"/>
    </row>
    <row r="2283" spans="5:21" s="288" customFormat="1" ht="12.75" hidden="1" x14ac:dyDescent="0.2">
      <c r="E2283" s="290"/>
      <c r="F2283" s="266"/>
      <c r="H2283" s="291"/>
      <c r="I2283" s="292"/>
      <c r="J2283" s="292"/>
      <c r="K2283" s="291"/>
      <c r="L2283" s="293"/>
      <c r="M2283" s="290"/>
      <c r="N2283" s="269"/>
      <c r="O2283" s="294"/>
      <c r="P2283" s="269"/>
      <c r="Q2283" s="269"/>
      <c r="R2283" s="269"/>
      <c r="S2283" s="269"/>
      <c r="T2283" s="269"/>
      <c r="U2283" s="269"/>
    </row>
    <row r="2284" spans="5:21" s="288" customFormat="1" ht="12.75" hidden="1" x14ac:dyDescent="0.2">
      <c r="E2284" s="290"/>
      <c r="F2284" s="266"/>
      <c r="H2284" s="291"/>
      <c r="I2284" s="292"/>
      <c r="J2284" s="292"/>
      <c r="K2284" s="291"/>
      <c r="L2284" s="293"/>
      <c r="M2284" s="290"/>
      <c r="N2284" s="269"/>
      <c r="O2284" s="294"/>
      <c r="P2284" s="269"/>
      <c r="Q2284" s="269"/>
      <c r="R2284" s="269"/>
      <c r="S2284" s="269"/>
      <c r="T2284" s="269"/>
      <c r="U2284" s="269"/>
    </row>
    <row r="2285" spans="5:21" s="288" customFormat="1" ht="12.75" hidden="1" x14ac:dyDescent="0.2">
      <c r="E2285" s="290"/>
      <c r="F2285" s="266"/>
      <c r="H2285" s="291"/>
      <c r="I2285" s="292"/>
      <c r="J2285" s="292"/>
      <c r="K2285" s="291"/>
      <c r="L2285" s="293"/>
      <c r="M2285" s="290"/>
      <c r="N2285" s="269"/>
      <c r="O2285" s="294"/>
      <c r="P2285" s="269"/>
      <c r="Q2285" s="269"/>
      <c r="R2285" s="269"/>
      <c r="S2285" s="269"/>
      <c r="T2285" s="269"/>
      <c r="U2285" s="269"/>
    </row>
    <row r="2286" spans="5:21" s="288" customFormat="1" ht="12.75" hidden="1" x14ac:dyDescent="0.2">
      <c r="E2286" s="290"/>
      <c r="F2286" s="266"/>
      <c r="H2286" s="291"/>
      <c r="I2286" s="292"/>
      <c r="J2286" s="292"/>
      <c r="K2286" s="291"/>
      <c r="L2286" s="293"/>
      <c r="M2286" s="290"/>
      <c r="N2286" s="269"/>
      <c r="O2286" s="294"/>
      <c r="P2286" s="269"/>
      <c r="Q2286" s="269"/>
      <c r="R2286" s="269"/>
      <c r="S2286" s="269"/>
      <c r="T2286" s="269"/>
      <c r="U2286" s="269"/>
    </row>
    <row r="2287" spans="5:21" s="288" customFormat="1" ht="12.75" hidden="1" x14ac:dyDescent="0.2">
      <c r="E2287" s="290"/>
      <c r="F2287" s="266"/>
      <c r="H2287" s="291"/>
      <c r="I2287" s="292"/>
      <c r="J2287" s="292"/>
      <c r="K2287" s="291"/>
      <c r="L2287" s="293"/>
      <c r="M2287" s="290"/>
      <c r="N2287" s="269"/>
      <c r="O2287" s="294"/>
      <c r="P2287" s="269"/>
      <c r="Q2287" s="269"/>
      <c r="R2287" s="269"/>
      <c r="S2287" s="269"/>
      <c r="T2287" s="269"/>
      <c r="U2287" s="269"/>
    </row>
    <row r="2288" spans="5:21" s="288" customFormat="1" ht="12.75" hidden="1" x14ac:dyDescent="0.2">
      <c r="E2288" s="290"/>
      <c r="F2288" s="266"/>
      <c r="H2288" s="291"/>
      <c r="I2288" s="292"/>
      <c r="J2288" s="292"/>
      <c r="K2288" s="291"/>
      <c r="L2288" s="293"/>
      <c r="M2288" s="290"/>
      <c r="N2288" s="269"/>
      <c r="O2288" s="294"/>
      <c r="P2288" s="269"/>
      <c r="Q2288" s="269"/>
      <c r="R2288" s="269"/>
      <c r="S2288" s="269"/>
      <c r="T2288" s="269"/>
      <c r="U2288" s="269"/>
    </row>
    <row r="2289" spans="5:21" s="288" customFormat="1" ht="12.75" hidden="1" x14ac:dyDescent="0.2">
      <c r="E2289" s="290"/>
      <c r="F2289" s="266"/>
      <c r="H2289" s="291"/>
      <c r="I2289" s="292"/>
      <c r="J2289" s="292"/>
      <c r="K2289" s="291"/>
      <c r="L2289" s="293"/>
      <c r="M2289" s="290"/>
      <c r="N2289" s="269"/>
      <c r="O2289" s="294"/>
      <c r="P2289" s="269"/>
      <c r="Q2289" s="269"/>
      <c r="R2289" s="269"/>
      <c r="S2289" s="269"/>
      <c r="T2289" s="269"/>
      <c r="U2289" s="269"/>
    </row>
    <row r="2290" spans="5:21" s="288" customFormat="1" ht="12.75" hidden="1" x14ac:dyDescent="0.2">
      <c r="E2290" s="290"/>
      <c r="F2290" s="266"/>
      <c r="H2290" s="291"/>
      <c r="I2290" s="292"/>
      <c r="J2290" s="292"/>
      <c r="K2290" s="291"/>
      <c r="L2290" s="293"/>
      <c r="M2290" s="290"/>
      <c r="N2290" s="269"/>
      <c r="O2290" s="294"/>
      <c r="P2290" s="269"/>
      <c r="Q2290" s="269"/>
      <c r="R2290" s="269"/>
      <c r="S2290" s="269"/>
      <c r="T2290" s="269"/>
      <c r="U2290" s="269"/>
    </row>
    <row r="2291" spans="5:21" s="288" customFormat="1" ht="12.75" hidden="1" x14ac:dyDescent="0.2">
      <c r="E2291" s="290"/>
      <c r="F2291" s="266"/>
      <c r="H2291" s="291"/>
      <c r="I2291" s="292"/>
      <c r="J2291" s="292"/>
      <c r="K2291" s="291"/>
      <c r="L2291" s="293"/>
      <c r="M2291" s="290"/>
      <c r="N2291" s="269"/>
      <c r="O2291" s="294"/>
      <c r="P2291" s="269"/>
      <c r="Q2291" s="269"/>
      <c r="R2291" s="269"/>
      <c r="S2291" s="269"/>
      <c r="T2291" s="269"/>
      <c r="U2291" s="269"/>
    </row>
    <row r="2292" spans="5:21" s="288" customFormat="1" ht="12.75" hidden="1" x14ac:dyDescent="0.2">
      <c r="E2292" s="290"/>
      <c r="F2292" s="266"/>
      <c r="H2292" s="291"/>
      <c r="I2292" s="292"/>
      <c r="J2292" s="292"/>
      <c r="K2292" s="291"/>
      <c r="L2292" s="293"/>
      <c r="M2292" s="290"/>
      <c r="N2292" s="269"/>
      <c r="O2292" s="294"/>
      <c r="P2292" s="269"/>
      <c r="Q2292" s="269"/>
      <c r="R2292" s="269"/>
      <c r="S2292" s="269"/>
      <c r="T2292" s="269"/>
      <c r="U2292" s="269"/>
    </row>
    <row r="2293" spans="5:21" s="288" customFormat="1" ht="12.75" hidden="1" x14ac:dyDescent="0.2">
      <c r="E2293" s="290"/>
      <c r="F2293" s="266"/>
      <c r="H2293" s="291"/>
      <c r="I2293" s="292"/>
      <c r="J2293" s="292"/>
      <c r="K2293" s="291"/>
      <c r="L2293" s="293"/>
      <c r="M2293" s="290"/>
      <c r="N2293" s="269"/>
      <c r="O2293" s="294"/>
      <c r="P2293" s="269"/>
      <c r="Q2293" s="269"/>
      <c r="R2293" s="269"/>
      <c r="S2293" s="269"/>
      <c r="T2293" s="269"/>
      <c r="U2293" s="269"/>
    </row>
    <row r="2294" spans="5:21" s="288" customFormat="1" ht="12.75" hidden="1" x14ac:dyDescent="0.2">
      <c r="E2294" s="290"/>
      <c r="F2294" s="266"/>
      <c r="H2294" s="291"/>
      <c r="I2294" s="292"/>
      <c r="J2294" s="292"/>
      <c r="K2294" s="291"/>
      <c r="L2294" s="293"/>
      <c r="M2294" s="290"/>
      <c r="N2294" s="269"/>
      <c r="O2294" s="294"/>
      <c r="P2294" s="269"/>
      <c r="Q2294" s="269"/>
      <c r="R2294" s="269"/>
      <c r="S2294" s="269"/>
      <c r="T2294" s="269"/>
      <c r="U2294" s="269"/>
    </row>
    <row r="2295" spans="5:21" s="288" customFormat="1" ht="12.75" hidden="1" x14ac:dyDescent="0.2">
      <c r="E2295" s="290"/>
      <c r="F2295" s="266"/>
      <c r="H2295" s="291"/>
      <c r="I2295" s="292"/>
      <c r="J2295" s="292"/>
      <c r="K2295" s="291"/>
      <c r="L2295" s="293"/>
      <c r="M2295" s="290"/>
      <c r="N2295" s="269"/>
      <c r="O2295" s="294"/>
      <c r="P2295" s="269"/>
      <c r="Q2295" s="269"/>
      <c r="R2295" s="269"/>
      <c r="S2295" s="269"/>
      <c r="T2295" s="269"/>
      <c r="U2295" s="269"/>
    </row>
    <row r="2296" spans="5:21" s="288" customFormat="1" ht="12.75" hidden="1" x14ac:dyDescent="0.2">
      <c r="E2296" s="290"/>
      <c r="F2296" s="266"/>
      <c r="H2296" s="291"/>
      <c r="I2296" s="292"/>
      <c r="J2296" s="292"/>
      <c r="K2296" s="291"/>
      <c r="L2296" s="293"/>
      <c r="M2296" s="290"/>
      <c r="N2296" s="269"/>
      <c r="O2296" s="294"/>
      <c r="P2296" s="269"/>
      <c r="Q2296" s="269"/>
      <c r="R2296" s="269"/>
      <c r="S2296" s="269"/>
      <c r="T2296" s="269"/>
      <c r="U2296" s="269"/>
    </row>
    <row r="2297" spans="5:21" s="288" customFormat="1" ht="12.75" hidden="1" x14ac:dyDescent="0.2">
      <c r="E2297" s="290"/>
      <c r="F2297" s="266"/>
      <c r="H2297" s="291"/>
      <c r="I2297" s="292"/>
      <c r="J2297" s="292"/>
      <c r="K2297" s="291"/>
      <c r="L2297" s="293"/>
      <c r="M2297" s="290"/>
      <c r="N2297" s="269"/>
      <c r="O2297" s="294"/>
      <c r="P2297" s="269"/>
      <c r="Q2297" s="269"/>
      <c r="R2297" s="269"/>
      <c r="S2297" s="269"/>
      <c r="T2297" s="269"/>
      <c r="U2297" s="269"/>
    </row>
    <row r="2298" spans="5:21" s="288" customFormat="1" ht="12.75" hidden="1" x14ac:dyDescent="0.2">
      <c r="E2298" s="290"/>
      <c r="F2298" s="266"/>
      <c r="H2298" s="291"/>
      <c r="I2298" s="292"/>
      <c r="J2298" s="292"/>
      <c r="K2298" s="291"/>
      <c r="L2298" s="293"/>
      <c r="M2298" s="290"/>
      <c r="N2298" s="269"/>
      <c r="O2298" s="294"/>
      <c r="P2298" s="269"/>
      <c r="Q2298" s="269"/>
      <c r="R2298" s="269"/>
      <c r="S2298" s="269"/>
      <c r="T2298" s="269"/>
      <c r="U2298" s="269"/>
    </row>
    <row r="2299" spans="5:21" s="288" customFormat="1" ht="12.75" hidden="1" x14ac:dyDescent="0.2">
      <c r="E2299" s="290"/>
      <c r="F2299" s="266"/>
      <c r="H2299" s="291"/>
      <c r="I2299" s="292"/>
      <c r="J2299" s="292"/>
      <c r="K2299" s="291"/>
      <c r="L2299" s="293"/>
      <c r="M2299" s="290"/>
      <c r="N2299" s="269"/>
      <c r="O2299" s="294"/>
      <c r="P2299" s="269"/>
      <c r="Q2299" s="269"/>
      <c r="R2299" s="269"/>
      <c r="S2299" s="269"/>
      <c r="T2299" s="269"/>
      <c r="U2299" s="269"/>
    </row>
    <row r="2300" spans="5:21" s="288" customFormat="1" ht="12.75" hidden="1" x14ac:dyDescent="0.2">
      <c r="E2300" s="290"/>
      <c r="F2300" s="266"/>
      <c r="H2300" s="291"/>
      <c r="I2300" s="292"/>
      <c r="J2300" s="292"/>
      <c r="K2300" s="291"/>
      <c r="L2300" s="293"/>
      <c r="M2300" s="290"/>
      <c r="N2300" s="269"/>
      <c r="O2300" s="294"/>
      <c r="P2300" s="269"/>
      <c r="Q2300" s="269"/>
      <c r="R2300" s="269"/>
      <c r="S2300" s="269"/>
      <c r="T2300" s="269"/>
      <c r="U2300" s="269"/>
    </row>
    <row r="2301" spans="5:21" s="288" customFormat="1" ht="12.75" hidden="1" x14ac:dyDescent="0.2">
      <c r="E2301" s="290"/>
      <c r="F2301" s="266"/>
      <c r="H2301" s="291"/>
      <c r="I2301" s="292"/>
      <c r="J2301" s="292"/>
      <c r="K2301" s="291"/>
      <c r="L2301" s="293"/>
      <c r="M2301" s="290"/>
      <c r="N2301" s="269"/>
      <c r="O2301" s="294"/>
      <c r="P2301" s="269"/>
      <c r="Q2301" s="269"/>
      <c r="R2301" s="269"/>
      <c r="S2301" s="269"/>
      <c r="T2301" s="269"/>
      <c r="U2301" s="269"/>
    </row>
    <row r="2302" spans="5:21" s="288" customFormat="1" ht="12.75" hidden="1" x14ac:dyDescent="0.2">
      <c r="E2302" s="290"/>
      <c r="F2302" s="266"/>
      <c r="H2302" s="291"/>
      <c r="I2302" s="292"/>
      <c r="J2302" s="292"/>
      <c r="K2302" s="291"/>
      <c r="L2302" s="293"/>
      <c r="M2302" s="290"/>
      <c r="N2302" s="269"/>
      <c r="O2302" s="294"/>
      <c r="P2302" s="269"/>
      <c r="Q2302" s="269"/>
      <c r="R2302" s="269"/>
      <c r="S2302" s="269"/>
      <c r="T2302" s="269"/>
      <c r="U2302" s="269"/>
    </row>
    <row r="2303" spans="5:21" s="288" customFormat="1" ht="12.75" hidden="1" x14ac:dyDescent="0.2">
      <c r="E2303" s="290"/>
      <c r="F2303" s="266"/>
      <c r="H2303" s="291"/>
      <c r="I2303" s="292"/>
      <c r="J2303" s="292"/>
      <c r="K2303" s="291"/>
      <c r="L2303" s="293"/>
      <c r="M2303" s="290"/>
      <c r="N2303" s="269"/>
      <c r="O2303" s="294"/>
      <c r="P2303" s="269"/>
      <c r="Q2303" s="269"/>
      <c r="R2303" s="269"/>
      <c r="S2303" s="269"/>
      <c r="T2303" s="269"/>
      <c r="U2303" s="269"/>
    </row>
    <row r="2304" spans="5:21" s="288" customFormat="1" ht="12.75" hidden="1" x14ac:dyDescent="0.2">
      <c r="E2304" s="290"/>
      <c r="F2304" s="266"/>
      <c r="H2304" s="291"/>
      <c r="I2304" s="292"/>
      <c r="J2304" s="292"/>
      <c r="K2304" s="291"/>
      <c r="L2304" s="293"/>
      <c r="M2304" s="290"/>
      <c r="N2304" s="269"/>
      <c r="O2304" s="294"/>
      <c r="P2304" s="269"/>
      <c r="Q2304" s="269"/>
      <c r="R2304" s="269"/>
      <c r="S2304" s="269"/>
      <c r="T2304" s="269"/>
      <c r="U2304" s="269"/>
    </row>
    <row r="2305" spans="5:21" s="288" customFormat="1" ht="12.75" hidden="1" x14ac:dyDescent="0.2">
      <c r="E2305" s="290"/>
      <c r="F2305" s="266"/>
      <c r="H2305" s="291"/>
      <c r="I2305" s="292"/>
      <c r="J2305" s="292"/>
      <c r="K2305" s="291"/>
      <c r="L2305" s="293"/>
      <c r="M2305" s="290"/>
      <c r="N2305" s="269"/>
      <c r="O2305" s="294"/>
      <c r="P2305" s="269"/>
      <c r="Q2305" s="269"/>
      <c r="R2305" s="269"/>
      <c r="S2305" s="269"/>
      <c r="T2305" s="269"/>
      <c r="U2305" s="269"/>
    </row>
    <row r="2306" spans="5:21" s="288" customFormat="1" ht="12.75" hidden="1" x14ac:dyDescent="0.2">
      <c r="E2306" s="290"/>
      <c r="F2306" s="266"/>
      <c r="H2306" s="291"/>
      <c r="I2306" s="292"/>
      <c r="J2306" s="292"/>
      <c r="K2306" s="291"/>
      <c r="L2306" s="293"/>
      <c r="M2306" s="290"/>
      <c r="N2306" s="269"/>
      <c r="O2306" s="294"/>
      <c r="P2306" s="269"/>
      <c r="Q2306" s="269"/>
      <c r="R2306" s="269"/>
      <c r="S2306" s="269"/>
      <c r="T2306" s="269"/>
      <c r="U2306" s="269"/>
    </row>
    <row r="2307" spans="5:21" s="288" customFormat="1" ht="12.75" hidden="1" x14ac:dyDescent="0.2">
      <c r="E2307" s="290"/>
      <c r="F2307" s="266"/>
      <c r="H2307" s="291"/>
      <c r="I2307" s="292"/>
      <c r="J2307" s="292"/>
      <c r="K2307" s="291"/>
      <c r="L2307" s="293"/>
      <c r="M2307" s="290"/>
      <c r="N2307" s="269"/>
      <c r="O2307" s="294"/>
      <c r="P2307" s="269"/>
      <c r="Q2307" s="269"/>
      <c r="R2307" s="269"/>
      <c r="S2307" s="269"/>
      <c r="T2307" s="269"/>
      <c r="U2307" s="269"/>
    </row>
    <row r="2308" spans="5:21" s="288" customFormat="1" ht="12.75" hidden="1" x14ac:dyDescent="0.2">
      <c r="E2308" s="290"/>
      <c r="F2308" s="266"/>
      <c r="H2308" s="291"/>
      <c r="I2308" s="292"/>
      <c r="J2308" s="292"/>
      <c r="K2308" s="291"/>
      <c r="L2308" s="293"/>
      <c r="M2308" s="290"/>
      <c r="N2308" s="269"/>
      <c r="O2308" s="294"/>
      <c r="P2308" s="269"/>
      <c r="Q2308" s="269"/>
      <c r="R2308" s="269"/>
      <c r="S2308" s="269"/>
      <c r="T2308" s="269"/>
      <c r="U2308" s="269"/>
    </row>
    <row r="2309" spans="5:21" s="288" customFormat="1" ht="12.75" hidden="1" x14ac:dyDescent="0.2">
      <c r="E2309" s="290"/>
      <c r="F2309" s="266"/>
      <c r="H2309" s="291"/>
      <c r="I2309" s="292"/>
      <c r="J2309" s="292"/>
      <c r="K2309" s="291"/>
      <c r="L2309" s="293"/>
      <c r="M2309" s="290"/>
      <c r="N2309" s="269"/>
      <c r="O2309" s="294"/>
      <c r="P2309" s="269"/>
      <c r="Q2309" s="269"/>
      <c r="R2309" s="269"/>
      <c r="S2309" s="269"/>
      <c r="T2309" s="269"/>
      <c r="U2309" s="269"/>
    </row>
    <row r="2310" spans="5:21" s="288" customFormat="1" ht="12.75" hidden="1" x14ac:dyDescent="0.2">
      <c r="E2310" s="290"/>
      <c r="F2310" s="266"/>
      <c r="H2310" s="291"/>
      <c r="I2310" s="292"/>
      <c r="J2310" s="292"/>
      <c r="K2310" s="291"/>
      <c r="L2310" s="293"/>
      <c r="M2310" s="290"/>
      <c r="N2310" s="269"/>
      <c r="O2310" s="294"/>
      <c r="P2310" s="269"/>
      <c r="Q2310" s="269"/>
      <c r="R2310" s="269"/>
      <c r="S2310" s="269"/>
      <c r="T2310" s="269"/>
      <c r="U2310" s="269"/>
    </row>
    <row r="2311" spans="5:21" s="288" customFormat="1" ht="12.75" hidden="1" x14ac:dyDescent="0.2">
      <c r="E2311" s="290"/>
      <c r="F2311" s="266"/>
      <c r="H2311" s="291"/>
      <c r="I2311" s="292"/>
      <c r="J2311" s="292"/>
      <c r="K2311" s="291"/>
      <c r="L2311" s="293"/>
      <c r="M2311" s="290"/>
      <c r="N2311" s="269"/>
      <c r="O2311" s="294"/>
      <c r="P2311" s="269"/>
      <c r="Q2311" s="269"/>
      <c r="R2311" s="269"/>
      <c r="S2311" s="269"/>
      <c r="T2311" s="269"/>
      <c r="U2311" s="269"/>
    </row>
    <row r="2312" spans="5:21" s="288" customFormat="1" ht="12.75" hidden="1" x14ac:dyDescent="0.2">
      <c r="E2312" s="290"/>
      <c r="F2312" s="266"/>
      <c r="H2312" s="291"/>
      <c r="I2312" s="292"/>
      <c r="J2312" s="292"/>
      <c r="K2312" s="291"/>
      <c r="L2312" s="293"/>
      <c r="M2312" s="290"/>
      <c r="N2312" s="269"/>
      <c r="O2312" s="294"/>
      <c r="P2312" s="269"/>
      <c r="Q2312" s="269"/>
      <c r="R2312" s="269"/>
      <c r="S2312" s="269"/>
      <c r="T2312" s="269"/>
      <c r="U2312" s="269"/>
    </row>
    <row r="2313" spans="5:21" s="288" customFormat="1" ht="12.75" hidden="1" x14ac:dyDescent="0.2">
      <c r="E2313" s="290"/>
      <c r="F2313" s="266"/>
      <c r="H2313" s="291"/>
      <c r="I2313" s="292"/>
      <c r="J2313" s="292"/>
      <c r="K2313" s="291"/>
      <c r="L2313" s="293"/>
      <c r="M2313" s="290"/>
      <c r="N2313" s="269"/>
      <c r="O2313" s="294"/>
      <c r="P2313" s="269"/>
      <c r="Q2313" s="269"/>
      <c r="R2313" s="269"/>
      <c r="S2313" s="269"/>
      <c r="T2313" s="269"/>
      <c r="U2313" s="269"/>
    </row>
    <row r="2314" spans="5:21" s="288" customFormat="1" ht="12.75" hidden="1" x14ac:dyDescent="0.2">
      <c r="E2314" s="290"/>
      <c r="F2314" s="266"/>
      <c r="H2314" s="291"/>
      <c r="I2314" s="292"/>
      <c r="J2314" s="292"/>
      <c r="K2314" s="291"/>
      <c r="L2314" s="293"/>
      <c r="M2314" s="290"/>
      <c r="N2314" s="269"/>
      <c r="O2314" s="294"/>
      <c r="P2314" s="269"/>
      <c r="Q2314" s="269"/>
      <c r="R2314" s="269"/>
      <c r="S2314" s="269"/>
      <c r="T2314" s="269"/>
      <c r="U2314" s="269"/>
    </row>
    <row r="2315" spans="5:21" s="288" customFormat="1" ht="12.75" hidden="1" x14ac:dyDescent="0.2">
      <c r="E2315" s="290"/>
      <c r="F2315" s="266"/>
      <c r="H2315" s="291"/>
      <c r="I2315" s="292"/>
      <c r="J2315" s="292"/>
      <c r="K2315" s="291"/>
      <c r="L2315" s="293"/>
      <c r="M2315" s="290"/>
      <c r="N2315" s="269"/>
      <c r="O2315" s="294"/>
      <c r="P2315" s="269"/>
      <c r="Q2315" s="269"/>
      <c r="R2315" s="269"/>
      <c r="S2315" s="269"/>
      <c r="T2315" s="269"/>
      <c r="U2315" s="269"/>
    </row>
    <row r="2316" spans="5:21" s="288" customFormat="1" ht="12.75" hidden="1" x14ac:dyDescent="0.2">
      <c r="E2316" s="290"/>
      <c r="F2316" s="266"/>
      <c r="H2316" s="291"/>
      <c r="I2316" s="292"/>
      <c r="J2316" s="292"/>
      <c r="K2316" s="291"/>
      <c r="L2316" s="293"/>
      <c r="M2316" s="290"/>
      <c r="N2316" s="269"/>
      <c r="O2316" s="294"/>
      <c r="P2316" s="269"/>
      <c r="Q2316" s="269"/>
      <c r="R2316" s="269"/>
      <c r="S2316" s="269"/>
      <c r="T2316" s="269"/>
      <c r="U2316" s="269"/>
    </row>
    <row r="2317" spans="5:21" s="288" customFormat="1" ht="12.75" hidden="1" x14ac:dyDescent="0.2">
      <c r="E2317" s="290"/>
      <c r="F2317" s="266"/>
      <c r="H2317" s="291"/>
      <c r="I2317" s="292"/>
      <c r="J2317" s="292"/>
      <c r="K2317" s="291"/>
      <c r="L2317" s="293"/>
      <c r="M2317" s="290"/>
      <c r="N2317" s="269"/>
      <c r="O2317" s="294"/>
      <c r="P2317" s="269"/>
      <c r="Q2317" s="269"/>
      <c r="R2317" s="269"/>
      <c r="S2317" s="269"/>
      <c r="T2317" s="269"/>
      <c r="U2317" s="269"/>
    </row>
    <row r="2318" spans="5:21" s="288" customFormat="1" ht="12.75" hidden="1" x14ac:dyDescent="0.2">
      <c r="E2318" s="290"/>
      <c r="F2318" s="266"/>
      <c r="H2318" s="291"/>
      <c r="I2318" s="292"/>
      <c r="J2318" s="292"/>
      <c r="K2318" s="291"/>
      <c r="L2318" s="293"/>
      <c r="M2318" s="290"/>
      <c r="N2318" s="269"/>
      <c r="O2318" s="294"/>
      <c r="P2318" s="269"/>
      <c r="Q2318" s="269"/>
      <c r="R2318" s="269"/>
      <c r="S2318" s="269"/>
      <c r="T2318" s="269"/>
      <c r="U2318" s="269"/>
    </row>
    <row r="2319" spans="5:21" s="288" customFormat="1" ht="12.75" hidden="1" x14ac:dyDescent="0.2">
      <c r="E2319" s="290"/>
      <c r="F2319" s="266"/>
      <c r="H2319" s="291"/>
      <c r="I2319" s="292"/>
      <c r="J2319" s="292"/>
      <c r="K2319" s="291"/>
      <c r="L2319" s="293"/>
      <c r="M2319" s="290"/>
      <c r="N2319" s="269"/>
      <c r="O2319" s="294"/>
      <c r="P2319" s="269"/>
      <c r="Q2319" s="269"/>
      <c r="R2319" s="269"/>
      <c r="S2319" s="269"/>
      <c r="T2319" s="269"/>
      <c r="U2319" s="269"/>
    </row>
    <row r="2320" spans="5:21" s="288" customFormat="1" ht="12.75" hidden="1" x14ac:dyDescent="0.2">
      <c r="E2320" s="290"/>
      <c r="F2320" s="266"/>
      <c r="H2320" s="291"/>
      <c r="I2320" s="292"/>
      <c r="J2320" s="292"/>
      <c r="K2320" s="291"/>
      <c r="L2320" s="293"/>
      <c r="M2320" s="290"/>
      <c r="N2320" s="269"/>
      <c r="O2320" s="294"/>
      <c r="P2320" s="269"/>
      <c r="Q2320" s="269"/>
      <c r="R2320" s="269"/>
      <c r="S2320" s="269"/>
      <c r="T2320" s="269"/>
      <c r="U2320" s="269"/>
    </row>
    <row r="2321" spans="5:21" s="288" customFormat="1" ht="12.75" hidden="1" x14ac:dyDescent="0.2">
      <c r="E2321" s="290"/>
      <c r="F2321" s="266"/>
      <c r="H2321" s="291"/>
      <c r="I2321" s="292"/>
      <c r="J2321" s="292"/>
      <c r="K2321" s="291"/>
      <c r="L2321" s="293"/>
      <c r="M2321" s="290"/>
      <c r="N2321" s="269"/>
      <c r="O2321" s="294"/>
      <c r="P2321" s="269"/>
      <c r="Q2321" s="269"/>
      <c r="R2321" s="269"/>
      <c r="S2321" s="269"/>
      <c r="T2321" s="269"/>
      <c r="U2321" s="269"/>
    </row>
    <row r="2322" spans="5:21" s="288" customFormat="1" ht="12.75" hidden="1" x14ac:dyDescent="0.2">
      <c r="E2322" s="290"/>
      <c r="F2322" s="266"/>
      <c r="H2322" s="291"/>
      <c r="I2322" s="292"/>
      <c r="J2322" s="292"/>
      <c r="K2322" s="291"/>
      <c r="L2322" s="293"/>
      <c r="M2322" s="290"/>
      <c r="N2322" s="269"/>
      <c r="O2322" s="294"/>
      <c r="P2322" s="269"/>
      <c r="Q2322" s="269"/>
      <c r="R2322" s="269"/>
      <c r="S2322" s="269"/>
      <c r="T2322" s="269"/>
      <c r="U2322" s="269"/>
    </row>
    <row r="2323" spans="5:21" s="288" customFormat="1" ht="12.75" hidden="1" x14ac:dyDescent="0.2">
      <c r="E2323" s="290"/>
      <c r="F2323" s="266"/>
      <c r="H2323" s="291"/>
      <c r="I2323" s="292"/>
      <c r="J2323" s="292"/>
      <c r="K2323" s="291"/>
      <c r="L2323" s="293"/>
      <c r="M2323" s="290"/>
      <c r="N2323" s="269"/>
      <c r="O2323" s="294"/>
      <c r="P2323" s="269"/>
      <c r="Q2323" s="269"/>
      <c r="R2323" s="269"/>
      <c r="S2323" s="269"/>
      <c r="T2323" s="269"/>
      <c r="U2323" s="269"/>
    </row>
    <row r="2324" spans="5:21" s="288" customFormat="1" ht="12.75" hidden="1" x14ac:dyDescent="0.2">
      <c r="E2324" s="290"/>
      <c r="F2324" s="266"/>
      <c r="H2324" s="291"/>
      <c r="I2324" s="292"/>
      <c r="J2324" s="292"/>
      <c r="K2324" s="291"/>
      <c r="L2324" s="293"/>
      <c r="M2324" s="290"/>
      <c r="N2324" s="269"/>
      <c r="O2324" s="294"/>
      <c r="P2324" s="269"/>
      <c r="Q2324" s="269"/>
      <c r="R2324" s="269"/>
      <c r="S2324" s="269"/>
      <c r="T2324" s="269"/>
      <c r="U2324" s="269"/>
    </row>
    <row r="2325" spans="5:21" s="288" customFormat="1" ht="12.75" hidden="1" x14ac:dyDescent="0.2">
      <c r="E2325" s="290"/>
      <c r="F2325" s="266"/>
      <c r="H2325" s="291"/>
      <c r="I2325" s="292"/>
      <c r="J2325" s="292"/>
      <c r="K2325" s="291"/>
      <c r="L2325" s="293"/>
      <c r="M2325" s="290"/>
      <c r="N2325" s="269"/>
      <c r="O2325" s="294"/>
      <c r="P2325" s="269"/>
      <c r="Q2325" s="269"/>
      <c r="R2325" s="269"/>
      <c r="S2325" s="269"/>
      <c r="T2325" s="269"/>
      <c r="U2325" s="269"/>
    </row>
    <row r="2326" spans="5:21" s="288" customFormat="1" ht="12.75" hidden="1" x14ac:dyDescent="0.2">
      <c r="E2326" s="290"/>
      <c r="F2326" s="266"/>
      <c r="H2326" s="291"/>
      <c r="I2326" s="292"/>
      <c r="J2326" s="292"/>
      <c r="K2326" s="291"/>
      <c r="L2326" s="293"/>
      <c r="M2326" s="290"/>
      <c r="N2326" s="269"/>
      <c r="O2326" s="294"/>
      <c r="P2326" s="269"/>
      <c r="Q2326" s="269"/>
      <c r="R2326" s="269"/>
      <c r="S2326" s="269"/>
      <c r="T2326" s="269"/>
      <c r="U2326" s="269"/>
    </row>
    <row r="2327" spans="5:21" s="288" customFormat="1" ht="12.75" hidden="1" x14ac:dyDescent="0.2">
      <c r="E2327" s="290"/>
      <c r="F2327" s="266"/>
      <c r="H2327" s="291"/>
      <c r="I2327" s="292"/>
      <c r="J2327" s="292"/>
      <c r="K2327" s="291"/>
      <c r="L2327" s="293"/>
      <c r="M2327" s="290"/>
      <c r="N2327" s="269"/>
      <c r="O2327" s="294"/>
      <c r="P2327" s="269"/>
      <c r="Q2327" s="269"/>
      <c r="R2327" s="269"/>
      <c r="S2327" s="269"/>
      <c r="T2327" s="269"/>
      <c r="U2327" s="269"/>
    </row>
    <row r="2328" spans="5:21" s="288" customFormat="1" ht="12.75" hidden="1" x14ac:dyDescent="0.2">
      <c r="E2328" s="290"/>
      <c r="F2328" s="266"/>
      <c r="H2328" s="291"/>
      <c r="I2328" s="292"/>
      <c r="J2328" s="292"/>
      <c r="K2328" s="291"/>
      <c r="L2328" s="293"/>
      <c r="M2328" s="290"/>
      <c r="N2328" s="269"/>
      <c r="O2328" s="294"/>
      <c r="P2328" s="269"/>
      <c r="Q2328" s="269"/>
      <c r="R2328" s="269"/>
      <c r="S2328" s="269"/>
      <c r="T2328" s="269"/>
      <c r="U2328" s="269"/>
    </row>
    <row r="2329" spans="5:21" s="288" customFormat="1" ht="12.75" hidden="1" x14ac:dyDescent="0.2">
      <c r="E2329" s="290"/>
      <c r="F2329" s="266"/>
      <c r="H2329" s="291"/>
      <c r="I2329" s="292"/>
      <c r="J2329" s="292"/>
      <c r="K2329" s="291"/>
      <c r="L2329" s="293"/>
      <c r="M2329" s="290"/>
      <c r="N2329" s="269"/>
      <c r="O2329" s="294"/>
      <c r="P2329" s="269"/>
      <c r="Q2329" s="269"/>
      <c r="R2329" s="269"/>
      <c r="S2329" s="269"/>
      <c r="T2329" s="269"/>
      <c r="U2329" s="269"/>
    </row>
    <row r="2330" spans="5:21" s="288" customFormat="1" ht="12.75" hidden="1" x14ac:dyDescent="0.2">
      <c r="E2330" s="290"/>
      <c r="F2330" s="266"/>
      <c r="H2330" s="291"/>
      <c r="I2330" s="292"/>
      <c r="J2330" s="292"/>
      <c r="K2330" s="291"/>
      <c r="L2330" s="293"/>
      <c r="M2330" s="290"/>
      <c r="N2330" s="269"/>
      <c r="O2330" s="294"/>
      <c r="P2330" s="269"/>
      <c r="Q2330" s="269"/>
      <c r="R2330" s="269"/>
      <c r="S2330" s="269"/>
      <c r="T2330" s="269"/>
      <c r="U2330" s="269"/>
    </row>
    <row r="2331" spans="5:21" s="288" customFormat="1" ht="12.75" hidden="1" x14ac:dyDescent="0.2">
      <c r="E2331" s="290"/>
      <c r="F2331" s="266"/>
      <c r="H2331" s="291"/>
      <c r="I2331" s="292"/>
      <c r="J2331" s="292"/>
      <c r="K2331" s="291"/>
      <c r="L2331" s="293"/>
      <c r="M2331" s="290"/>
      <c r="N2331" s="269"/>
      <c r="O2331" s="294"/>
      <c r="P2331" s="269"/>
      <c r="Q2331" s="269"/>
      <c r="R2331" s="269"/>
      <c r="S2331" s="269"/>
      <c r="T2331" s="269"/>
      <c r="U2331" s="269"/>
    </row>
    <row r="2332" spans="5:21" s="288" customFormat="1" ht="12.75" hidden="1" x14ac:dyDescent="0.2">
      <c r="E2332" s="290"/>
      <c r="F2332" s="266"/>
      <c r="H2332" s="291"/>
      <c r="I2332" s="292"/>
      <c r="J2332" s="292"/>
      <c r="K2332" s="291"/>
      <c r="L2332" s="293"/>
      <c r="M2332" s="290"/>
      <c r="N2332" s="269"/>
      <c r="O2332" s="294"/>
      <c r="P2332" s="269"/>
      <c r="Q2332" s="269"/>
      <c r="R2332" s="269"/>
      <c r="S2332" s="269"/>
      <c r="T2332" s="269"/>
      <c r="U2332" s="269"/>
    </row>
    <row r="2333" spans="5:21" s="288" customFormat="1" ht="12.75" hidden="1" x14ac:dyDescent="0.2">
      <c r="E2333" s="290"/>
      <c r="F2333" s="266"/>
      <c r="H2333" s="291"/>
      <c r="I2333" s="292"/>
      <c r="J2333" s="292"/>
      <c r="K2333" s="291"/>
      <c r="L2333" s="293"/>
      <c r="M2333" s="290"/>
      <c r="N2333" s="269"/>
      <c r="O2333" s="294"/>
      <c r="P2333" s="269"/>
      <c r="Q2333" s="269"/>
      <c r="R2333" s="269"/>
      <c r="S2333" s="269"/>
      <c r="T2333" s="269"/>
      <c r="U2333" s="269"/>
    </row>
    <row r="2334" spans="5:21" s="288" customFormat="1" ht="12.75" hidden="1" x14ac:dyDescent="0.2">
      <c r="E2334" s="290"/>
      <c r="F2334" s="266"/>
      <c r="H2334" s="291"/>
      <c r="I2334" s="292"/>
      <c r="J2334" s="292"/>
      <c r="K2334" s="291"/>
      <c r="L2334" s="293"/>
      <c r="M2334" s="290"/>
      <c r="N2334" s="269"/>
      <c r="O2334" s="294"/>
      <c r="P2334" s="269"/>
      <c r="Q2334" s="269"/>
      <c r="R2334" s="269"/>
      <c r="S2334" s="269"/>
      <c r="T2334" s="269"/>
      <c r="U2334" s="269"/>
    </row>
    <row r="2335" spans="5:21" s="288" customFormat="1" ht="12.75" hidden="1" x14ac:dyDescent="0.2">
      <c r="E2335" s="290"/>
      <c r="F2335" s="266"/>
      <c r="H2335" s="291"/>
      <c r="I2335" s="292"/>
      <c r="J2335" s="292"/>
      <c r="K2335" s="291"/>
      <c r="L2335" s="293"/>
      <c r="M2335" s="290"/>
      <c r="N2335" s="269"/>
      <c r="O2335" s="294"/>
      <c r="P2335" s="269"/>
      <c r="Q2335" s="269"/>
      <c r="R2335" s="269"/>
      <c r="S2335" s="269"/>
      <c r="T2335" s="269"/>
      <c r="U2335" s="269"/>
    </row>
    <row r="2336" spans="5:21" s="288" customFormat="1" ht="12.75" hidden="1" x14ac:dyDescent="0.2">
      <c r="E2336" s="290"/>
      <c r="F2336" s="266"/>
      <c r="H2336" s="291"/>
      <c r="I2336" s="292"/>
      <c r="J2336" s="292"/>
      <c r="K2336" s="291"/>
      <c r="L2336" s="293"/>
      <c r="M2336" s="290"/>
      <c r="N2336" s="269"/>
      <c r="O2336" s="294"/>
      <c r="P2336" s="269"/>
      <c r="Q2336" s="269"/>
      <c r="R2336" s="269"/>
      <c r="S2336" s="269"/>
      <c r="T2336" s="269"/>
      <c r="U2336" s="269"/>
    </row>
    <row r="2337" spans="5:21" s="288" customFormat="1" ht="12.75" hidden="1" x14ac:dyDescent="0.2">
      <c r="E2337" s="290"/>
      <c r="F2337" s="266"/>
      <c r="H2337" s="291"/>
      <c r="I2337" s="292"/>
      <c r="J2337" s="292"/>
      <c r="K2337" s="291"/>
      <c r="L2337" s="293"/>
      <c r="M2337" s="290"/>
      <c r="N2337" s="269"/>
      <c r="O2337" s="294"/>
      <c r="P2337" s="269"/>
      <c r="Q2337" s="269"/>
      <c r="R2337" s="269"/>
      <c r="S2337" s="269"/>
      <c r="T2337" s="269"/>
      <c r="U2337" s="269"/>
    </row>
    <row r="2338" spans="5:21" s="288" customFormat="1" ht="12.75" hidden="1" x14ac:dyDescent="0.2">
      <c r="E2338" s="290"/>
      <c r="F2338" s="266"/>
      <c r="H2338" s="291"/>
      <c r="I2338" s="292"/>
      <c r="J2338" s="292"/>
      <c r="K2338" s="291"/>
      <c r="L2338" s="293"/>
      <c r="M2338" s="290"/>
      <c r="N2338" s="269"/>
      <c r="O2338" s="294"/>
      <c r="P2338" s="269"/>
      <c r="Q2338" s="269"/>
      <c r="R2338" s="269"/>
      <c r="S2338" s="269"/>
      <c r="T2338" s="269"/>
      <c r="U2338" s="269"/>
    </row>
    <row r="2339" spans="5:21" s="288" customFormat="1" ht="12.75" hidden="1" x14ac:dyDescent="0.2">
      <c r="E2339" s="290"/>
      <c r="F2339" s="266"/>
      <c r="H2339" s="291"/>
      <c r="I2339" s="292"/>
      <c r="J2339" s="292"/>
      <c r="K2339" s="291"/>
      <c r="L2339" s="293"/>
      <c r="M2339" s="290"/>
      <c r="N2339" s="269"/>
      <c r="O2339" s="294"/>
      <c r="P2339" s="269"/>
      <c r="Q2339" s="269"/>
      <c r="R2339" s="269"/>
      <c r="S2339" s="269"/>
      <c r="T2339" s="269"/>
      <c r="U2339" s="269"/>
    </row>
    <row r="2340" spans="5:21" s="288" customFormat="1" ht="12.75" hidden="1" x14ac:dyDescent="0.2">
      <c r="E2340" s="290"/>
      <c r="F2340" s="266"/>
      <c r="H2340" s="291"/>
      <c r="I2340" s="292"/>
      <c r="J2340" s="292"/>
      <c r="K2340" s="291"/>
      <c r="L2340" s="293"/>
      <c r="M2340" s="290"/>
      <c r="N2340" s="269"/>
      <c r="O2340" s="294"/>
      <c r="P2340" s="269"/>
      <c r="Q2340" s="269"/>
      <c r="R2340" s="269"/>
      <c r="S2340" s="269"/>
      <c r="T2340" s="269"/>
      <c r="U2340" s="269"/>
    </row>
    <row r="2341" spans="5:21" s="288" customFormat="1" ht="12.75" hidden="1" x14ac:dyDescent="0.2">
      <c r="E2341" s="290"/>
      <c r="F2341" s="266"/>
      <c r="H2341" s="291"/>
      <c r="I2341" s="292"/>
      <c r="J2341" s="292"/>
      <c r="K2341" s="291"/>
      <c r="L2341" s="293"/>
      <c r="M2341" s="290"/>
      <c r="N2341" s="269"/>
      <c r="O2341" s="294"/>
      <c r="P2341" s="269"/>
      <c r="Q2341" s="269"/>
      <c r="R2341" s="269"/>
      <c r="S2341" s="269"/>
      <c r="T2341" s="269"/>
      <c r="U2341" s="269"/>
    </row>
    <row r="2342" spans="5:21" s="288" customFormat="1" ht="12.75" hidden="1" x14ac:dyDescent="0.2">
      <c r="E2342" s="290"/>
      <c r="F2342" s="266"/>
      <c r="H2342" s="291"/>
      <c r="I2342" s="292"/>
      <c r="J2342" s="292"/>
      <c r="K2342" s="291"/>
      <c r="L2342" s="293"/>
      <c r="M2342" s="290"/>
      <c r="N2342" s="269"/>
      <c r="O2342" s="294"/>
      <c r="P2342" s="269"/>
      <c r="Q2342" s="269"/>
      <c r="R2342" s="269"/>
      <c r="S2342" s="269"/>
      <c r="T2342" s="269"/>
      <c r="U2342" s="269"/>
    </row>
    <row r="2343" spans="5:21" s="288" customFormat="1" ht="12.75" hidden="1" x14ac:dyDescent="0.2">
      <c r="E2343" s="290"/>
      <c r="F2343" s="266"/>
      <c r="H2343" s="291"/>
      <c r="I2343" s="292"/>
      <c r="J2343" s="292"/>
      <c r="K2343" s="291"/>
      <c r="L2343" s="293"/>
      <c r="M2343" s="290"/>
      <c r="N2343" s="269"/>
      <c r="O2343" s="294"/>
      <c r="P2343" s="269"/>
      <c r="Q2343" s="269"/>
      <c r="R2343" s="269"/>
      <c r="S2343" s="269"/>
      <c r="T2343" s="269"/>
      <c r="U2343" s="269"/>
    </row>
    <row r="2344" spans="5:21" s="288" customFormat="1" ht="12.75" hidden="1" x14ac:dyDescent="0.2">
      <c r="E2344" s="290"/>
      <c r="F2344" s="266"/>
      <c r="H2344" s="291"/>
      <c r="I2344" s="292"/>
      <c r="J2344" s="292"/>
      <c r="K2344" s="291"/>
      <c r="L2344" s="293"/>
      <c r="M2344" s="290"/>
      <c r="N2344" s="269"/>
      <c r="O2344" s="294"/>
      <c r="P2344" s="269"/>
      <c r="Q2344" s="269"/>
      <c r="R2344" s="269"/>
      <c r="S2344" s="269"/>
      <c r="T2344" s="269"/>
      <c r="U2344" s="269"/>
    </row>
    <row r="2345" spans="5:21" s="288" customFormat="1" ht="12.75" hidden="1" x14ac:dyDescent="0.2">
      <c r="E2345" s="290"/>
      <c r="F2345" s="266"/>
      <c r="H2345" s="291"/>
      <c r="I2345" s="292"/>
      <c r="J2345" s="292"/>
      <c r="K2345" s="291"/>
      <c r="L2345" s="293"/>
      <c r="M2345" s="290"/>
      <c r="N2345" s="269"/>
      <c r="O2345" s="294"/>
      <c r="P2345" s="269"/>
      <c r="Q2345" s="269"/>
      <c r="R2345" s="269"/>
      <c r="S2345" s="269"/>
      <c r="T2345" s="269"/>
      <c r="U2345" s="269"/>
    </row>
    <row r="2346" spans="5:21" s="288" customFormat="1" ht="12.75" hidden="1" x14ac:dyDescent="0.2">
      <c r="E2346" s="290"/>
      <c r="F2346" s="266"/>
      <c r="H2346" s="291"/>
      <c r="I2346" s="292"/>
      <c r="J2346" s="292"/>
      <c r="K2346" s="291"/>
      <c r="L2346" s="293"/>
      <c r="M2346" s="290"/>
      <c r="N2346" s="269"/>
      <c r="O2346" s="294"/>
      <c r="P2346" s="269"/>
      <c r="Q2346" s="269"/>
      <c r="R2346" s="269"/>
      <c r="S2346" s="269"/>
      <c r="T2346" s="269"/>
      <c r="U2346" s="269"/>
    </row>
    <row r="2347" spans="5:21" s="288" customFormat="1" ht="12.75" hidden="1" x14ac:dyDescent="0.2">
      <c r="E2347" s="290"/>
      <c r="F2347" s="266"/>
      <c r="H2347" s="291"/>
      <c r="I2347" s="292"/>
      <c r="J2347" s="292"/>
      <c r="K2347" s="291"/>
      <c r="L2347" s="293"/>
      <c r="M2347" s="290"/>
      <c r="N2347" s="269"/>
      <c r="O2347" s="294"/>
      <c r="P2347" s="269"/>
      <c r="Q2347" s="269"/>
      <c r="R2347" s="269"/>
      <c r="S2347" s="269"/>
      <c r="T2347" s="269"/>
      <c r="U2347" s="269"/>
    </row>
    <row r="2348" spans="5:21" s="288" customFormat="1" ht="12.75" hidden="1" x14ac:dyDescent="0.2">
      <c r="E2348" s="290"/>
      <c r="F2348" s="266"/>
      <c r="H2348" s="291"/>
      <c r="I2348" s="292"/>
      <c r="J2348" s="292"/>
      <c r="K2348" s="291"/>
      <c r="L2348" s="293"/>
      <c r="M2348" s="290"/>
      <c r="N2348" s="269"/>
      <c r="O2348" s="294"/>
      <c r="P2348" s="269"/>
      <c r="Q2348" s="269"/>
      <c r="R2348" s="269"/>
      <c r="S2348" s="269"/>
      <c r="T2348" s="269"/>
      <c r="U2348" s="269"/>
    </row>
    <row r="2349" spans="5:21" s="288" customFormat="1" ht="12.75" hidden="1" x14ac:dyDescent="0.2">
      <c r="E2349" s="290"/>
      <c r="F2349" s="266"/>
      <c r="H2349" s="291"/>
      <c r="I2349" s="292"/>
      <c r="J2349" s="292"/>
      <c r="K2349" s="291"/>
      <c r="L2349" s="293"/>
      <c r="M2349" s="290"/>
      <c r="N2349" s="269"/>
      <c r="O2349" s="294"/>
      <c r="P2349" s="269"/>
      <c r="Q2349" s="269"/>
      <c r="R2349" s="269"/>
      <c r="S2349" s="269"/>
      <c r="T2349" s="269"/>
      <c r="U2349" s="269"/>
    </row>
    <row r="2350" spans="5:21" s="288" customFormat="1" ht="12.75" hidden="1" x14ac:dyDescent="0.2">
      <c r="E2350" s="290"/>
      <c r="F2350" s="266"/>
      <c r="H2350" s="291"/>
      <c r="I2350" s="292"/>
      <c r="J2350" s="292"/>
      <c r="K2350" s="291"/>
      <c r="L2350" s="293"/>
      <c r="M2350" s="290"/>
      <c r="N2350" s="269"/>
      <c r="O2350" s="294"/>
      <c r="P2350" s="269"/>
      <c r="Q2350" s="269"/>
      <c r="R2350" s="269"/>
      <c r="S2350" s="269"/>
      <c r="T2350" s="269"/>
      <c r="U2350" s="269"/>
    </row>
    <row r="2351" spans="5:21" s="288" customFormat="1" ht="12.75" hidden="1" x14ac:dyDescent="0.2">
      <c r="E2351" s="290"/>
      <c r="F2351" s="266"/>
      <c r="H2351" s="291"/>
      <c r="I2351" s="292"/>
      <c r="J2351" s="292"/>
      <c r="K2351" s="291"/>
      <c r="L2351" s="293"/>
      <c r="M2351" s="290"/>
      <c r="N2351" s="269"/>
      <c r="O2351" s="294"/>
      <c r="P2351" s="269"/>
      <c r="Q2351" s="269"/>
      <c r="R2351" s="269"/>
      <c r="S2351" s="269"/>
      <c r="T2351" s="269"/>
      <c r="U2351" s="269"/>
    </row>
    <row r="2352" spans="5:21" s="288" customFormat="1" ht="12.75" hidden="1" x14ac:dyDescent="0.2">
      <c r="E2352" s="290"/>
      <c r="F2352" s="266"/>
      <c r="H2352" s="291"/>
      <c r="I2352" s="292"/>
      <c r="J2352" s="292"/>
      <c r="K2352" s="291"/>
      <c r="L2352" s="293"/>
      <c r="M2352" s="290"/>
      <c r="N2352" s="269"/>
      <c r="O2352" s="294"/>
      <c r="P2352" s="269"/>
      <c r="Q2352" s="269"/>
      <c r="R2352" s="269"/>
      <c r="S2352" s="269"/>
      <c r="T2352" s="269"/>
      <c r="U2352" s="269"/>
    </row>
    <row r="2353" spans="5:21" s="288" customFormat="1" ht="12.75" hidden="1" x14ac:dyDescent="0.2">
      <c r="E2353" s="290"/>
      <c r="F2353" s="266"/>
      <c r="H2353" s="291"/>
      <c r="I2353" s="292"/>
      <c r="J2353" s="292"/>
      <c r="K2353" s="291"/>
      <c r="L2353" s="293"/>
      <c r="M2353" s="290"/>
      <c r="N2353" s="269"/>
      <c r="O2353" s="294"/>
      <c r="P2353" s="269"/>
      <c r="Q2353" s="269"/>
      <c r="R2353" s="269"/>
      <c r="S2353" s="269"/>
      <c r="T2353" s="269"/>
      <c r="U2353" s="269"/>
    </row>
    <row r="2354" spans="5:21" s="288" customFormat="1" ht="12.75" hidden="1" x14ac:dyDescent="0.2">
      <c r="E2354" s="290"/>
      <c r="F2354" s="266"/>
      <c r="H2354" s="291"/>
      <c r="I2354" s="292"/>
      <c r="J2354" s="292"/>
      <c r="K2354" s="291"/>
      <c r="L2354" s="293"/>
      <c r="M2354" s="290"/>
      <c r="N2354" s="269"/>
      <c r="O2354" s="294"/>
      <c r="P2354" s="269"/>
      <c r="Q2354" s="269"/>
      <c r="R2354" s="269"/>
      <c r="S2354" s="269"/>
      <c r="T2354" s="269"/>
      <c r="U2354" s="269"/>
    </row>
    <row r="2355" spans="5:21" s="288" customFormat="1" ht="12.75" hidden="1" x14ac:dyDescent="0.2">
      <c r="E2355" s="290"/>
      <c r="F2355" s="266"/>
      <c r="H2355" s="291"/>
      <c r="I2355" s="292"/>
      <c r="J2355" s="292"/>
      <c r="K2355" s="291"/>
      <c r="L2355" s="293"/>
      <c r="M2355" s="290"/>
      <c r="N2355" s="269"/>
      <c r="O2355" s="294"/>
      <c r="P2355" s="269"/>
      <c r="Q2355" s="269"/>
      <c r="R2355" s="269"/>
      <c r="S2355" s="269"/>
      <c r="T2355" s="269"/>
      <c r="U2355" s="269"/>
    </row>
    <row r="2356" spans="5:21" s="288" customFormat="1" ht="12.75" hidden="1" x14ac:dyDescent="0.2">
      <c r="E2356" s="290"/>
      <c r="F2356" s="266"/>
      <c r="H2356" s="291"/>
      <c r="I2356" s="292"/>
      <c r="J2356" s="292"/>
      <c r="K2356" s="291"/>
      <c r="L2356" s="293"/>
      <c r="M2356" s="290"/>
      <c r="N2356" s="269"/>
      <c r="O2356" s="294"/>
      <c r="P2356" s="269"/>
      <c r="Q2356" s="269"/>
      <c r="R2356" s="269"/>
      <c r="S2356" s="269"/>
      <c r="T2356" s="269"/>
      <c r="U2356" s="269"/>
    </row>
    <row r="2357" spans="5:21" s="288" customFormat="1" ht="12.75" hidden="1" x14ac:dyDescent="0.2">
      <c r="E2357" s="290"/>
      <c r="F2357" s="266"/>
      <c r="H2357" s="291"/>
      <c r="I2357" s="292"/>
      <c r="J2357" s="292"/>
      <c r="K2357" s="291"/>
      <c r="L2357" s="293"/>
      <c r="M2357" s="290"/>
      <c r="N2357" s="269"/>
      <c r="O2357" s="294"/>
      <c r="P2357" s="269"/>
      <c r="Q2357" s="269"/>
      <c r="R2357" s="269"/>
      <c r="S2357" s="269"/>
      <c r="T2357" s="269"/>
      <c r="U2357" s="269"/>
    </row>
    <row r="2358" spans="5:21" s="288" customFormat="1" ht="12.75" hidden="1" x14ac:dyDescent="0.2">
      <c r="E2358" s="290"/>
      <c r="F2358" s="266"/>
      <c r="H2358" s="291"/>
      <c r="I2358" s="292"/>
      <c r="J2358" s="292"/>
      <c r="K2358" s="291"/>
      <c r="L2358" s="293"/>
      <c r="M2358" s="290"/>
      <c r="N2358" s="269"/>
      <c r="O2358" s="294"/>
      <c r="P2358" s="269"/>
      <c r="Q2358" s="269"/>
      <c r="R2358" s="269"/>
      <c r="S2358" s="269"/>
      <c r="T2358" s="269"/>
      <c r="U2358" s="269"/>
    </row>
    <row r="2359" spans="5:21" s="288" customFormat="1" ht="12.75" hidden="1" x14ac:dyDescent="0.2">
      <c r="E2359" s="290"/>
      <c r="F2359" s="266"/>
      <c r="H2359" s="291"/>
      <c r="I2359" s="292"/>
      <c r="J2359" s="292"/>
      <c r="K2359" s="291"/>
      <c r="L2359" s="293"/>
      <c r="M2359" s="290"/>
      <c r="N2359" s="269"/>
      <c r="O2359" s="294"/>
      <c r="P2359" s="269"/>
      <c r="Q2359" s="269"/>
      <c r="R2359" s="269"/>
      <c r="S2359" s="269"/>
      <c r="T2359" s="269"/>
      <c r="U2359" s="269"/>
    </row>
    <row r="2360" spans="5:21" s="288" customFormat="1" ht="12.75" hidden="1" x14ac:dyDescent="0.2">
      <c r="E2360" s="290"/>
      <c r="F2360" s="266"/>
      <c r="H2360" s="291"/>
      <c r="I2360" s="292"/>
      <c r="J2360" s="292"/>
      <c r="K2360" s="291"/>
      <c r="L2360" s="293"/>
      <c r="M2360" s="290"/>
      <c r="N2360" s="269"/>
      <c r="O2360" s="294"/>
      <c r="P2360" s="269"/>
      <c r="Q2360" s="269"/>
      <c r="R2360" s="269"/>
      <c r="S2360" s="269"/>
      <c r="T2360" s="269"/>
      <c r="U2360" s="269"/>
    </row>
    <row r="2361" spans="5:21" s="288" customFormat="1" ht="12.75" hidden="1" x14ac:dyDescent="0.2">
      <c r="E2361" s="290"/>
      <c r="F2361" s="266"/>
      <c r="H2361" s="291"/>
      <c r="I2361" s="292"/>
      <c r="J2361" s="292"/>
      <c r="K2361" s="291"/>
      <c r="L2361" s="293"/>
      <c r="M2361" s="290"/>
      <c r="N2361" s="269"/>
      <c r="O2361" s="294"/>
      <c r="P2361" s="269"/>
      <c r="Q2361" s="269"/>
      <c r="R2361" s="269"/>
      <c r="S2361" s="269"/>
      <c r="T2361" s="269"/>
      <c r="U2361" s="269"/>
    </row>
    <row r="2362" spans="5:21" s="288" customFormat="1" ht="12.75" hidden="1" x14ac:dyDescent="0.2">
      <c r="E2362" s="290"/>
      <c r="F2362" s="266"/>
      <c r="H2362" s="291"/>
      <c r="I2362" s="292"/>
      <c r="J2362" s="292"/>
      <c r="K2362" s="291"/>
      <c r="L2362" s="293"/>
      <c r="M2362" s="290"/>
      <c r="N2362" s="269"/>
      <c r="O2362" s="294"/>
      <c r="P2362" s="269"/>
      <c r="Q2362" s="269"/>
      <c r="R2362" s="269"/>
      <c r="S2362" s="269"/>
      <c r="T2362" s="269"/>
      <c r="U2362" s="269"/>
    </row>
    <row r="2363" spans="5:21" s="288" customFormat="1" ht="12.75" hidden="1" x14ac:dyDescent="0.2">
      <c r="E2363" s="290"/>
      <c r="F2363" s="266"/>
      <c r="H2363" s="291"/>
      <c r="I2363" s="292"/>
      <c r="J2363" s="292"/>
      <c r="K2363" s="291"/>
      <c r="L2363" s="293"/>
      <c r="M2363" s="290"/>
      <c r="N2363" s="269"/>
      <c r="O2363" s="294"/>
      <c r="P2363" s="269"/>
      <c r="Q2363" s="269"/>
      <c r="R2363" s="269"/>
      <c r="S2363" s="269"/>
      <c r="T2363" s="269"/>
      <c r="U2363" s="269"/>
    </row>
    <row r="2364" spans="5:21" s="288" customFormat="1" ht="12.75" hidden="1" x14ac:dyDescent="0.2">
      <c r="E2364" s="290"/>
      <c r="F2364" s="266"/>
      <c r="H2364" s="291"/>
      <c r="I2364" s="292"/>
      <c r="J2364" s="292"/>
      <c r="K2364" s="291"/>
      <c r="L2364" s="293"/>
      <c r="M2364" s="290"/>
      <c r="N2364" s="269"/>
      <c r="O2364" s="294"/>
      <c r="P2364" s="269"/>
      <c r="Q2364" s="269"/>
      <c r="R2364" s="269"/>
      <c r="S2364" s="269"/>
      <c r="T2364" s="269"/>
      <c r="U2364" s="269"/>
    </row>
    <row r="2365" spans="5:21" s="288" customFormat="1" ht="12.75" hidden="1" x14ac:dyDescent="0.2">
      <c r="E2365" s="290"/>
      <c r="F2365" s="266"/>
      <c r="H2365" s="291"/>
      <c r="I2365" s="292"/>
      <c r="J2365" s="292"/>
      <c r="K2365" s="291"/>
      <c r="L2365" s="293"/>
      <c r="M2365" s="290"/>
      <c r="N2365" s="269"/>
      <c r="O2365" s="294"/>
      <c r="P2365" s="269"/>
      <c r="Q2365" s="269"/>
      <c r="R2365" s="269"/>
      <c r="S2365" s="269"/>
      <c r="T2365" s="269"/>
      <c r="U2365" s="269"/>
    </row>
    <row r="2366" spans="5:21" s="288" customFormat="1" ht="12.75" hidden="1" x14ac:dyDescent="0.2">
      <c r="E2366" s="290"/>
      <c r="F2366" s="266"/>
      <c r="H2366" s="291"/>
      <c r="I2366" s="292"/>
      <c r="J2366" s="292"/>
      <c r="K2366" s="291"/>
      <c r="L2366" s="293"/>
      <c r="M2366" s="290"/>
      <c r="N2366" s="269"/>
      <c r="O2366" s="294"/>
      <c r="P2366" s="269"/>
      <c r="Q2366" s="269"/>
      <c r="R2366" s="269"/>
      <c r="S2366" s="269"/>
      <c r="T2366" s="269"/>
      <c r="U2366" s="269"/>
    </row>
    <row r="2367" spans="5:21" s="288" customFormat="1" ht="12.75" hidden="1" x14ac:dyDescent="0.2">
      <c r="E2367" s="290"/>
      <c r="F2367" s="266"/>
      <c r="H2367" s="291"/>
      <c r="I2367" s="292"/>
      <c r="J2367" s="292"/>
      <c r="K2367" s="291"/>
      <c r="L2367" s="293"/>
      <c r="M2367" s="290"/>
      <c r="N2367" s="269"/>
      <c r="O2367" s="294"/>
      <c r="P2367" s="269"/>
      <c r="Q2367" s="269"/>
      <c r="R2367" s="269"/>
      <c r="S2367" s="269"/>
      <c r="T2367" s="269"/>
      <c r="U2367" s="269"/>
    </row>
    <row r="2368" spans="5:21" s="288" customFormat="1" ht="12.75" hidden="1" x14ac:dyDescent="0.2">
      <c r="E2368" s="290"/>
      <c r="F2368" s="266"/>
      <c r="H2368" s="291"/>
      <c r="I2368" s="292"/>
      <c r="J2368" s="292"/>
      <c r="K2368" s="291"/>
      <c r="L2368" s="293"/>
      <c r="M2368" s="290"/>
      <c r="N2368" s="269"/>
      <c r="O2368" s="294"/>
      <c r="P2368" s="269"/>
      <c r="Q2368" s="269"/>
      <c r="R2368" s="269"/>
      <c r="S2368" s="269"/>
      <c r="T2368" s="269"/>
      <c r="U2368" s="269"/>
    </row>
    <row r="2369" spans="5:21" s="288" customFormat="1" ht="12.75" hidden="1" x14ac:dyDescent="0.2">
      <c r="E2369" s="290"/>
      <c r="F2369" s="266"/>
      <c r="H2369" s="291"/>
      <c r="I2369" s="292"/>
      <c r="J2369" s="292"/>
      <c r="K2369" s="291"/>
      <c r="L2369" s="293"/>
      <c r="M2369" s="290"/>
      <c r="N2369" s="269"/>
      <c r="O2369" s="294"/>
      <c r="P2369" s="269"/>
      <c r="Q2369" s="269"/>
      <c r="R2369" s="269"/>
      <c r="S2369" s="269"/>
      <c r="T2369" s="269"/>
      <c r="U2369" s="269"/>
    </row>
    <row r="2370" spans="5:21" s="288" customFormat="1" ht="12.75" hidden="1" x14ac:dyDescent="0.2">
      <c r="E2370" s="290"/>
      <c r="F2370" s="266"/>
      <c r="H2370" s="291"/>
      <c r="I2370" s="292"/>
      <c r="J2370" s="292"/>
      <c r="K2370" s="291"/>
      <c r="L2370" s="293"/>
      <c r="M2370" s="290"/>
      <c r="N2370" s="269"/>
      <c r="O2370" s="294"/>
      <c r="P2370" s="269"/>
      <c r="Q2370" s="269"/>
      <c r="R2370" s="269"/>
      <c r="S2370" s="269"/>
      <c r="T2370" s="269"/>
      <c r="U2370" s="269"/>
    </row>
    <row r="2371" spans="5:21" s="288" customFormat="1" ht="12.75" hidden="1" x14ac:dyDescent="0.2">
      <c r="E2371" s="290"/>
      <c r="F2371" s="266"/>
      <c r="H2371" s="291"/>
      <c r="I2371" s="292"/>
      <c r="J2371" s="292"/>
      <c r="K2371" s="291"/>
      <c r="L2371" s="293"/>
      <c r="M2371" s="290"/>
      <c r="N2371" s="269"/>
      <c r="O2371" s="294"/>
      <c r="P2371" s="269"/>
      <c r="Q2371" s="269"/>
      <c r="R2371" s="269"/>
      <c r="S2371" s="269"/>
      <c r="T2371" s="269"/>
      <c r="U2371" s="269"/>
    </row>
    <row r="2372" spans="5:21" s="288" customFormat="1" ht="12.75" hidden="1" x14ac:dyDescent="0.2">
      <c r="E2372" s="290"/>
      <c r="F2372" s="266"/>
      <c r="H2372" s="291"/>
      <c r="I2372" s="292"/>
      <c r="J2372" s="292"/>
      <c r="K2372" s="291"/>
      <c r="L2372" s="293"/>
      <c r="M2372" s="290"/>
      <c r="N2372" s="269"/>
      <c r="O2372" s="294"/>
      <c r="P2372" s="269"/>
      <c r="Q2372" s="269"/>
      <c r="R2372" s="269"/>
      <c r="S2372" s="269"/>
      <c r="T2372" s="269"/>
      <c r="U2372" s="269"/>
    </row>
    <row r="2373" spans="5:21" s="288" customFormat="1" ht="12.75" hidden="1" x14ac:dyDescent="0.2">
      <c r="E2373" s="290"/>
      <c r="F2373" s="266"/>
      <c r="H2373" s="291"/>
      <c r="I2373" s="292"/>
      <c r="J2373" s="292"/>
      <c r="K2373" s="291"/>
      <c r="L2373" s="293"/>
      <c r="M2373" s="290"/>
      <c r="N2373" s="269"/>
      <c r="O2373" s="294"/>
      <c r="P2373" s="269"/>
      <c r="Q2373" s="269"/>
      <c r="R2373" s="269"/>
      <c r="S2373" s="269"/>
      <c r="T2373" s="269"/>
      <c r="U2373" s="269"/>
    </row>
    <row r="2374" spans="5:21" s="288" customFormat="1" ht="12.75" hidden="1" x14ac:dyDescent="0.2">
      <c r="E2374" s="290"/>
      <c r="F2374" s="266"/>
      <c r="H2374" s="291"/>
      <c r="I2374" s="292"/>
      <c r="J2374" s="292"/>
      <c r="K2374" s="291"/>
      <c r="L2374" s="293"/>
      <c r="M2374" s="290"/>
      <c r="N2374" s="269"/>
      <c r="O2374" s="294"/>
      <c r="P2374" s="269"/>
      <c r="Q2374" s="269"/>
      <c r="R2374" s="269"/>
      <c r="S2374" s="269"/>
      <c r="T2374" s="269"/>
      <c r="U2374" s="269"/>
    </row>
    <row r="2375" spans="5:21" s="288" customFormat="1" ht="12.75" hidden="1" x14ac:dyDescent="0.2">
      <c r="E2375" s="290"/>
      <c r="F2375" s="266"/>
      <c r="H2375" s="291"/>
      <c r="I2375" s="292"/>
      <c r="J2375" s="292"/>
      <c r="K2375" s="291"/>
      <c r="L2375" s="293"/>
      <c r="M2375" s="290"/>
      <c r="N2375" s="269"/>
      <c r="O2375" s="294"/>
      <c r="P2375" s="269"/>
      <c r="Q2375" s="269"/>
      <c r="R2375" s="269"/>
      <c r="S2375" s="269"/>
      <c r="T2375" s="269"/>
      <c r="U2375" s="269"/>
    </row>
    <row r="2376" spans="5:21" s="288" customFormat="1" ht="12.75" hidden="1" x14ac:dyDescent="0.2">
      <c r="E2376" s="290"/>
      <c r="F2376" s="266"/>
      <c r="H2376" s="291"/>
      <c r="I2376" s="292"/>
      <c r="J2376" s="292"/>
      <c r="K2376" s="291"/>
      <c r="L2376" s="293"/>
      <c r="M2376" s="290"/>
      <c r="N2376" s="269"/>
      <c r="O2376" s="294"/>
      <c r="P2376" s="269"/>
      <c r="Q2376" s="269"/>
      <c r="R2376" s="269"/>
      <c r="S2376" s="269"/>
      <c r="T2376" s="269"/>
      <c r="U2376" s="269"/>
    </row>
    <row r="2377" spans="5:21" s="288" customFormat="1" ht="12.75" hidden="1" x14ac:dyDescent="0.2">
      <c r="E2377" s="290"/>
      <c r="F2377" s="266"/>
      <c r="H2377" s="291"/>
      <c r="I2377" s="292"/>
      <c r="J2377" s="292"/>
      <c r="K2377" s="291"/>
      <c r="L2377" s="293"/>
      <c r="M2377" s="290"/>
      <c r="N2377" s="269"/>
      <c r="O2377" s="294"/>
      <c r="P2377" s="269"/>
      <c r="Q2377" s="269"/>
      <c r="R2377" s="269"/>
      <c r="S2377" s="269"/>
      <c r="T2377" s="269"/>
      <c r="U2377" s="269"/>
    </row>
    <row r="2378" spans="5:21" s="288" customFormat="1" ht="12.75" hidden="1" x14ac:dyDescent="0.2">
      <c r="E2378" s="290"/>
      <c r="F2378" s="266"/>
      <c r="H2378" s="291"/>
      <c r="I2378" s="292"/>
      <c r="J2378" s="292"/>
      <c r="K2378" s="291"/>
      <c r="L2378" s="293"/>
      <c r="M2378" s="290"/>
      <c r="N2378" s="269"/>
      <c r="O2378" s="294"/>
      <c r="P2378" s="269"/>
      <c r="Q2378" s="269"/>
      <c r="R2378" s="269"/>
      <c r="S2378" s="269"/>
      <c r="T2378" s="269"/>
      <c r="U2378" s="269"/>
    </row>
    <row r="2379" spans="5:21" s="288" customFormat="1" ht="12.75" hidden="1" x14ac:dyDescent="0.2">
      <c r="E2379" s="290"/>
      <c r="F2379" s="266"/>
      <c r="H2379" s="291"/>
      <c r="I2379" s="292"/>
      <c r="J2379" s="292"/>
      <c r="K2379" s="291"/>
      <c r="L2379" s="293"/>
      <c r="M2379" s="290"/>
      <c r="N2379" s="269"/>
      <c r="O2379" s="294"/>
      <c r="P2379" s="269"/>
      <c r="Q2379" s="269"/>
      <c r="R2379" s="269"/>
      <c r="S2379" s="269"/>
      <c r="T2379" s="269"/>
      <c r="U2379" s="269"/>
    </row>
    <row r="2380" spans="5:21" s="288" customFormat="1" ht="12.75" hidden="1" x14ac:dyDescent="0.2">
      <c r="E2380" s="290"/>
      <c r="F2380" s="266"/>
      <c r="H2380" s="291"/>
      <c r="I2380" s="292"/>
      <c r="J2380" s="292"/>
      <c r="K2380" s="291"/>
      <c r="L2380" s="293"/>
      <c r="M2380" s="290"/>
      <c r="N2380" s="269"/>
      <c r="O2380" s="294"/>
      <c r="P2380" s="269"/>
      <c r="Q2380" s="269"/>
      <c r="R2380" s="269"/>
      <c r="S2380" s="269"/>
      <c r="T2380" s="269"/>
      <c r="U2380" s="269"/>
    </row>
    <row r="2381" spans="5:21" s="288" customFormat="1" ht="12.75" hidden="1" x14ac:dyDescent="0.2">
      <c r="E2381" s="290"/>
      <c r="F2381" s="266"/>
      <c r="H2381" s="291"/>
      <c r="I2381" s="292"/>
      <c r="J2381" s="292"/>
      <c r="K2381" s="291"/>
      <c r="L2381" s="293"/>
      <c r="M2381" s="290"/>
      <c r="N2381" s="269"/>
      <c r="O2381" s="294"/>
      <c r="P2381" s="269"/>
      <c r="Q2381" s="269"/>
      <c r="R2381" s="269"/>
      <c r="S2381" s="269"/>
      <c r="T2381" s="269"/>
      <c r="U2381" s="269"/>
    </row>
    <row r="2382" spans="5:21" s="288" customFormat="1" ht="12.75" hidden="1" x14ac:dyDescent="0.2">
      <c r="E2382" s="290"/>
      <c r="F2382" s="266"/>
      <c r="H2382" s="291"/>
      <c r="I2382" s="292"/>
      <c r="J2382" s="292"/>
      <c r="K2382" s="291"/>
      <c r="L2382" s="293"/>
      <c r="M2382" s="290"/>
      <c r="N2382" s="269"/>
      <c r="O2382" s="294"/>
      <c r="P2382" s="269"/>
      <c r="Q2382" s="269"/>
      <c r="R2382" s="269"/>
      <c r="S2382" s="269"/>
      <c r="T2382" s="269"/>
      <c r="U2382" s="269"/>
    </row>
    <row r="2383" spans="5:21" s="288" customFormat="1" ht="12.75" hidden="1" x14ac:dyDescent="0.2">
      <c r="E2383" s="290"/>
      <c r="F2383" s="266"/>
      <c r="H2383" s="291"/>
      <c r="I2383" s="292"/>
      <c r="J2383" s="292"/>
      <c r="K2383" s="291"/>
      <c r="L2383" s="293"/>
      <c r="M2383" s="290"/>
      <c r="N2383" s="269"/>
      <c r="O2383" s="294"/>
      <c r="P2383" s="269"/>
      <c r="Q2383" s="269"/>
      <c r="R2383" s="269"/>
      <c r="S2383" s="269"/>
      <c r="T2383" s="269"/>
      <c r="U2383" s="269"/>
    </row>
    <row r="2384" spans="5:21" s="288" customFormat="1" ht="12.75" hidden="1" x14ac:dyDescent="0.2">
      <c r="E2384" s="290"/>
      <c r="F2384" s="266"/>
      <c r="H2384" s="291"/>
      <c r="I2384" s="292"/>
      <c r="J2384" s="292"/>
      <c r="K2384" s="291"/>
      <c r="L2384" s="293"/>
      <c r="M2384" s="290"/>
      <c r="N2384" s="269"/>
      <c r="O2384" s="294"/>
      <c r="P2384" s="269"/>
      <c r="Q2384" s="269"/>
      <c r="R2384" s="269"/>
      <c r="S2384" s="269"/>
      <c r="T2384" s="269"/>
      <c r="U2384" s="269"/>
    </row>
    <row r="2385" spans="5:21" s="288" customFormat="1" ht="12.75" hidden="1" x14ac:dyDescent="0.2">
      <c r="E2385" s="290"/>
      <c r="F2385" s="266"/>
      <c r="H2385" s="291"/>
      <c r="I2385" s="292"/>
      <c r="J2385" s="292"/>
      <c r="K2385" s="291"/>
      <c r="L2385" s="293"/>
      <c r="M2385" s="290"/>
      <c r="N2385" s="269"/>
      <c r="O2385" s="294"/>
      <c r="P2385" s="269"/>
      <c r="Q2385" s="269"/>
      <c r="R2385" s="269"/>
      <c r="S2385" s="269"/>
      <c r="T2385" s="269"/>
      <c r="U2385" s="269"/>
    </row>
    <row r="2386" spans="5:21" s="288" customFormat="1" ht="12.75" hidden="1" x14ac:dyDescent="0.2">
      <c r="E2386" s="290"/>
      <c r="F2386" s="266"/>
      <c r="H2386" s="291"/>
      <c r="I2386" s="292"/>
      <c r="J2386" s="292"/>
      <c r="K2386" s="291"/>
      <c r="L2386" s="293"/>
      <c r="M2386" s="290"/>
      <c r="N2386" s="269"/>
      <c r="O2386" s="294"/>
      <c r="P2386" s="269"/>
      <c r="Q2386" s="269"/>
      <c r="R2386" s="269"/>
      <c r="S2386" s="269"/>
      <c r="T2386" s="269"/>
      <c r="U2386" s="269"/>
    </row>
    <row r="2387" spans="5:21" s="288" customFormat="1" ht="12.75" hidden="1" x14ac:dyDescent="0.2">
      <c r="E2387" s="290"/>
      <c r="F2387" s="266"/>
      <c r="H2387" s="291"/>
      <c r="I2387" s="292"/>
      <c r="J2387" s="292"/>
      <c r="K2387" s="291"/>
      <c r="L2387" s="293"/>
      <c r="M2387" s="290"/>
      <c r="N2387" s="269"/>
      <c r="O2387" s="294"/>
      <c r="P2387" s="269"/>
      <c r="Q2387" s="269"/>
      <c r="R2387" s="269"/>
      <c r="S2387" s="269"/>
      <c r="T2387" s="269"/>
      <c r="U2387" s="269"/>
    </row>
    <row r="2388" spans="5:21" s="288" customFormat="1" ht="12.75" hidden="1" x14ac:dyDescent="0.2">
      <c r="E2388" s="290"/>
      <c r="F2388" s="266"/>
      <c r="H2388" s="291"/>
      <c r="I2388" s="292"/>
      <c r="J2388" s="292"/>
      <c r="K2388" s="291"/>
      <c r="L2388" s="293"/>
      <c r="M2388" s="290"/>
      <c r="N2388" s="269"/>
      <c r="O2388" s="294"/>
      <c r="P2388" s="269"/>
      <c r="Q2388" s="269"/>
      <c r="R2388" s="269"/>
      <c r="S2388" s="269"/>
      <c r="T2388" s="269"/>
      <c r="U2388" s="269"/>
    </row>
    <row r="2389" spans="5:21" s="288" customFormat="1" ht="12.75" hidden="1" x14ac:dyDescent="0.2">
      <c r="E2389" s="290"/>
      <c r="F2389" s="266"/>
      <c r="H2389" s="291"/>
      <c r="I2389" s="292"/>
      <c r="J2389" s="292"/>
      <c r="K2389" s="291"/>
      <c r="L2389" s="293"/>
      <c r="M2389" s="290"/>
      <c r="N2389" s="269"/>
      <c r="O2389" s="294"/>
      <c r="P2389" s="269"/>
      <c r="Q2389" s="269"/>
      <c r="R2389" s="269"/>
      <c r="S2389" s="269"/>
      <c r="T2389" s="269"/>
      <c r="U2389" s="269"/>
    </row>
    <row r="2390" spans="5:21" s="288" customFormat="1" ht="12.75" hidden="1" x14ac:dyDescent="0.2">
      <c r="E2390" s="290"/>
      <c r="F2390" s="266"/>
      <c r="H2390" s="291"/>
      <c r="I2390" s="292"/>
      <c r="J2390" s="292"/>
      <c r="K2390" s="291"/>
      <c r="L2390" s="293"/>
      <c r="M2390" s="290"/>
      <c r="N2390" s="269"/>
      <c r="O2390" s="294"/>
      <c r="P2390" s="269"/>
      <c r="Q2390" s="269"/>
      <c r="R2390" s="269"/>
      <c r="S2390" s="269"/>
      <c r="T2390" s="269"/>
      <c r="U2390" s="269"/>
    </row>
    <row r="2391" spans="5:21" s="288" customFormat="1" ht="12.75" hidden="1" x14ac:dyDescent="0.2">
      <c r="E2391" s="290"/>
      <c r="F2391" s="266"/>
      <c r="H2391" s="291"/>
      <c r="I2391" s="292"/>
      <c r="J2391" s="292"/>
      <c r="K2391" s="291"/>
      <c r="L2391" s="293"/>
      <c r="M2391" s="290"/>
      <c r="N2391" s="269"/>
      <c r="O2391" s="294"/>
      <c r="P2391" s="269"/>
      <c r="Q2391" s="269"/>
      <c r="R2391" s="269"/>
      <c r="S2391" s="269"/>
      <c r="T2391" s="269"/>
      <c r="U2391" s="269"/>
    </row>
    <row r="2392" spans="5:21" s="288" customFormat="1" ht="12.75" hidden="1" x14ac:dyDescent="0.2">
      <c r="E2392" s="290"/>
      <c r="F2392" s="266"/>
      <c r="H2392" s="291"/>
      <c r="I2392" s="292"/>
      <c r="J2392" s="292"/>
      <c r="K2392" s="291"/>
      <c r="L2392" s="293"/>
      <c r="M2392" s="290"/>
      <c r="N2392" s="269"/>
      <c r="O2392" s="294"/>
      <c r="P2392" s="269"/>
      <c r="Q2392" s="269"/>
      <c r="R2392" s="269"/>
      <c r="S2392" s="269"/>
      <c r="T2392" s="269"/>
      <c r="U2392" s="269"/>
    </row>
    <row r="2393" spans="5:21" s="288" customFormat="1" ht="12.75" hidden="1" x14ac:dyDescent="0.2">
      <c r="E2393" s="290"/>
      <c r="F2393" s="266"/>
      <c r="H2393" s="291"/>
      <c r="I2393" s="292"/>
      <c r="J2393" s="292"/>
      <c r="K2393" s="291"/>
      <c r="L2393" s="293"/>
      <c r="M2393" s="290"/>
      <c r="N2393" s="269"/>
      <c r="O2393" s="294"/>
      <c r="P2393" s="269"/>
      <c r="Q2393" s="269"/>
      <c r="R2393" s="269"/>
      <c r="S2393" s="269"/>
      <c r="T2393" s="269"/>
      <c r="U2393" s="269"/>
    </row>
    <row r="2394" spans="5:21" s="288" customFormat="1" ht="12.75" hidden="1" x14ac:dyDescent="0.2">
      <c r="E2394" s="290"/>
      <c r="F2394" s="266"/>
      <c r="H2394" s="291"/>
      <c r="I2394" s="292"/>
      <c r="J2394" s="292"/>
      <c r="K2394" s="291"/>
      <c r="L2394" s="293"/>
      <c r="M2394" s="290"/>
      <c r="N2394" s="269"/>
      <c r="O2394" s="294"/>
      <c r="P2394" s="269"/>
      <c r="Q2394" s="269"/>
      <c r="R2394" s="269"/>
      <c r="S2394" s="269"/>
      <c r="T2394" s="269"/>
      <c r="U2394" s="269"/>
    </row>
    <row r="2395" spans="5:21" s="288" customFormat="1" ht="12.75" hidden="1" x14ac:dyDescent="0.2">
      <c r="E2395" s="290"/>
      <c r="F2395" s="266"/>
      <c r="H2395" s="291"/>
      <c r="I2395" s="292"/>
      <c r="J2395" s="292"/>
      <c r="K2395" s="291"/>
      <c r="L2395" s="293"/>
      <c r="M2395" s="290"/>
      <c r="N2395" s="269"/>
      <c r="O2395" s="294"/>
      <c r="P2395" s="269"/>
      <c r="Q2395" s="269"/>
      <c r="R2395" s="269"/>
      <c r="S2395" s="269"/>
      <c r="T2395" s="269"/>
      <c r="U2395" s="269"/>
    </row>
    <row r="2396" spans="5:21" s="288" customFormat="1" ht="12.75" hidden="1" x14ac:dyDescent="0.2">
      <c r="E2396" s="290"/>
      <c r="F2396" s="266"/>
      <c r="H2396" s="291"/>
      <c r="I2396" s="292"/>
      <c r="J2396" s="292"/>
      <c r="K2396" s="291"/>
      <c r="L2396" s="293"/>
      <c r="M2396" s="290"/>
      <c r="N2396" s="269"/>
      <c r="O2396" s="294"/>
      <c r="P2396" s="269"/>
      <c r="Q2396" s="269"/>
      <c r="R2396" s="269"/>
      <c r="S2396" s="269"/>
      <c r="T2396" s="269"/>
      <c r="U2396" s="269"/>
    </row>
    <row r="2397" spans="5:21" s="288" customFormat="1" ht="12.75" hidden="1" x14ac:dyDescent="0.2">
      <c r="E2397" s="290"/>
      <c r="F2397" s="266"/>
      <c r="H2397" s="291"/>
      <c r="I2397" s="292"/>
      <c r="J2397" s="292"/>
      <c r="K2397" s="291"/>
      <c r="L2397" s="293"/>
      <c r="M2397" s="290"/>
      <c r="N2397" s="269"/>
      <c r="O2397" s="294"/>
      <c r="P2397" s="269"/>
      <c r="Q2397" s="269"/>
      <c r="R2397" s="269"/>
      <c r="S2397" s="269"/>
      <c r="T2397" s="269"/>
      <c r="U2397" s="269"/>
    </row>
    <row r="2398" spans="5:21" s="288" customFormat="1" ht="12.75" hidden="1" x14ac:dyDescent="0.2">
      <c r="E2398" s="290"/>
      <c r="F2398" s="266"/>
      <c r="H2398" s="291"/>
      <c r="I2398" s="292"/>
      <c r="J2398" s="292"/>
      <c r="K2398" s="291"/>
      <c r="L2398" s="293"/>
      <c r="M2398" s="290"/>
      <c r="N2398" s="269"/>
      <c r="O2398" s="294"/>
      <c r="P2398" s="269"/>
      <c r="Q2398" s="269"/>
      <c r="R2398" s="269"/>
      <c r="S2398" s="269"/>
      <c r="T2398" s="269"/>
      <c r="U2398" s="269"/>
    </row>
    <row r="2399" spans="5:21" s="288" customFormat="1" ht="12.75" hidden="1" x14ac:dyDescent="0.2">
      <c r="E2399" s="290"/>
      <c r="F2399" s="266"/>
      <c r="H2399" s="291"/>
      <c r="I2399" s="292"/>
      <c r="J2399" s="292"/>
      <c r="K2399" s="291"/>
      <c r="L2399" s="293"/>
      <c r="M2399" s="290"/>
      <c r="N2399" s="269"/>
      <c r="O2399" s="294"/>
      <c r="P2399" s="269"/>
      <c r="Q2399" s="269"/>
      <c r="R2399" s="269"/>
      <c r="S2399" s="269"/>
      <c r="T2399" s="269"/>
      <c r="U2399" s="269"/>
    </row>
    <row r="2400" spans="5:21" s="288" customFormat="1" ht="12.75" hidden="1" x14ac:dyDescent="0.2">
      <c r="E2400" s="290"/>
      <c r="F2400" s="266"/>
      <c r="H2400" s="291"/>
      <c r="I2400" s="292"/>
      <c r="J2400" s="292"/>
      <c r="K2400" s="291"/>
      <c r="L2400" s="293"/>
      <c r="M2400" s="290"/>
      <c r="N2400" s="269"/>
      <c r="O2400" s="294"/>
      <c r="P2400" s="269"/>
      <c r="Q2400" s="269"/>
      <c r="R2400" s="269"/>
      <c r="S2400" s="269"/>
      <c r="T2400" s="269"/>
      <c r="U2400" s="269"/>
    </row>
    <row r="2401" spans="5:21" s="288" customFormat="1" ht="12.75" hidden="1" x14ac:dyDescent="0.2">
      <c r="E2401" s="290"/>
      <c r="F2401" s="266"/>
      <c r="H2401" s="291"/>
      <c r="I2401" s="292"/>
      <c r="J2401" s="292"/>
      <c r="K2401" s="291"/>
      <c r="L2401" s="293"/>
      <c r="M2401" s="290"/>
      <c r="N2401" s="269"/>
      <c r="O2401" s="294"/>
      <c r="P2401" s="269"/>
      <c r="Q2401" s="269"/>
      <c r="R2401" s="269"/>
      <c r="S2401" s="269"/>
      <c r="T2401" s="269"/>
      <c r="U2401" s="269"/>
    </row>
    <row r="2402" spans="5:21" s="288" customFormat="1" ht="12.75" hidden="1" x14ac:dyDescent="0.2">
      <c r="E2402" s="290"/>
      <c r="F2402" s="266"/>
      <c r="H2402" s="291"/>
      <c r="I2402" s="292"/>
      <c r="J2402" s="292"/>
      <c r="K2402" s="291"/>
      <c r="L2402" s="293"/>
      <c r="M2402" s="290"/>
      <c r="N2402" s="269"/>
      <c r="O2402" s="294"/>
      <c r="P2402" s="269"/>
      <c r="Q2402" s="269"/>
      <c r="R2402" s="269"/>
      <c r="S2402" s="269"/>
      <c r="T2402" s="269"/>
      <c r="U2402" s="269"/>
    </row>
    <row r="2403" spans="5:21" s="288" customFormat="1" ht="12.75" hidden="1" x14ac:dyDescent="0.2">
      <c r="E2403" s="290"/>
      <c r="F2403" s="266"/>
      <c r="H2403" s="291"/>
      <c r="I2403" s="292"/>
      <c r="J2403" s="292"/>
      <c r="K2403" s="291"/>
      <c r="L2403" s="293"/>
      <c r="M2403" s="290"/>
      <c r="N2403" s="269"/>
      <c r="O2403" s="294"/>
      <c r="P2403" s="269"/>
      <c r="Q2403" s="269"/>
      <c r="R2403" s="269"/>
      <c r="S2403" s="269"/>
      <c r="T2403" s="269"/>
      <c r="U2403" s="269"/>
    </row>
    <row r="2404" spans="5:21" s="288" customFormat="1" ht="12.75" hidden="1" x14ac:dyDescent="0.2">
      <c r="E2404" s="290"/>
      <c r="F2404" s="266"/>
      <c r="H2404" s="291"/>
      <c r="I2404" s="292"/>
      <c r="J2404" s="292"/>
      <c r="K2404" s="291"/>
      <c r="L2404" s="293"/>
      <c r="M2404" s="290"/>
      <c r="N2404" s="269"/>
      <c r="O2404" s="294"/>
      <c r="P2404" s="269"/>
      <c r="Q2404" s="269"/>
      <c r="R2404" s="269"/>
      <c r="S2404" s="269"/>
      <c r="T2404" s="269"/>
      <c r="U2404" s="269"/>
    </row>
    <row r="2405" spans="5:21" s="288" customFormat="1" ht="12.75" hidden="1" x14ac:dyDescent="0.2">
      <c r="E2405" s="290"/>
      <c r="F2405" s="266"/>
      <c r="H2405" s="291"/>
      <c r="I2405" s="292"/>
      <c r="J2405" s="292"/>
      <c r="K2405" s="291"/>
      <c r="L2405" s="293"/>
      <c r="M2405" s="290"/>
      <c r="N2405" s="269"/>
      <c r="O2405" s="294"/>
      <c r="P2405" s="269"/>
      <c r="Q2405" s="269"/>
      <c r="R2405" s="269"/>
      <c r="S2405" s="269"/>
      <c r="T2405" s="269"/>
      <c r="U2405" s="269"/>
    </row>
    <row r="2406" spans="5:21" s="288" customFormat="1" ht="12.75" hidden="1" x14ac:dyDescent="0.2">
      <c r="E2406" s="290"/>
      <c r="F2406" s="266"/>
      <c r="H2406" s="291"/>
      <c r="I2406" s="292"/>
      <c r="J2406" s="292"/>
      <c r="K2406" s="291"/>
      <c r="L2406" s="293"/>
      <c r="M2406" s="290"/>
      <c r="N2406" s="269"/>
      <c r="O2406" s="294"/>
      <c r="P2406" s="269"/>
      <c r="Q2406" s="269"/>
      <c r="R2406" s="269"/>
      <c r="S2406" s="269"/>
      <c r="T2406" s="269"/>
      <c r="U2406" s="269"/>
    </row>
    <row r="2407" spans="5:21" s="288" customFormat="1" ht="12.75" hidden="1" x14ac:dyDescent="0.2">
      <c r="E2407" s="290"/>
      <c r="F2407" s="266"/>
      <c r="H2407" s="291"/>
      <c r="I2407" s="292"/>
      <c r="J2407" s="292"/>
      <c r="K2407" s="291"/>
      <c r="L2407" s="293"/>
      <c r="M2407" s="290"/>
      <c r="N2407" s="269"/>
      <c r="O2407" s="294"/>
      <c r="P2407" s="269"/>
      <c r="Q2407" s="269"/>
      <c r="R2407" s="269"/>
      <c r="S2407" s="269"/>
      <c r="T2407" s="269"/>
      <c r="U2407" s="269"/>
    </row>
    <row r="2408" spans="5:21" s="288" customFormat="1" ht="12.75" hidden="1" x14ac:dyDescent="0.2">
      <c r="E2408" s="290"/>
      <c r="F2408" s="266"/>
      <c r="H2408" s="291"/>
      <c r="I2408" s="292"/>
      <c r="J2408" s="292"/>
      <c r="K2408" s="291"/>
      <c r="L2408" s="293"/>
      <c r="M2408" s="290"/>
      <c r="N2408" s="269"/>
      <c r="O2408" s="294"/>
      <c r="P2408" s="269"/>
      <c r="Q2408" s="269"/>
      <c r="R2408" s="269"/>
      <c r="S2408" s="269"/>
      <c r="T2408" s="269"/>
      <c r="U2408" s="269"/>
    </row>
    <row r="2409" spans="5:21" s="288" customFormat="1" ht="12.75" hidden="1" x14ac:dyDescent="0.2">
      <c r="E2409" s="290"/>
      <c r="F2409" s="266"/>
      <c r="H2409" s="291"/>
      <c r="I2409" s="292"/>
      <c r="J2409" s="292"/>
      <c r="K2409" s="291"/>
      <c r="L2409" s="293"/>
      <c r="M2409" s="290"/>
      <c r="N2409" s="269"/>
      <c r="O2409" s="294"/>
      <c r="P2409" s="269"/>
      <c r="Q2409" s="269"/>
      <c r="R2409" s="269"/>
      <c r="S2409" s="269"/>
      <c r="T2409" s="269"/>
      <c r="U2409" s="269"/>
    </row>
    <row r="2410" spans="5:21" s="288" customFormat="1" ht="12.75" hidden="1" x14ac:dyDescent="0.2">
      <c r="E2410" s="290"/>
      <c r="F2410" s="266"/>
      <c r="H2410" s="291"/>
      <c r="I2410" s="292"/>
      <c r="J2410" s="292"/>
      <c r="K2410" s="291"/>
      <c r="L2410" s="293"/>
      <c r="M2410" s="290"/>
      <c r="N2410" s="269"/>
      <c r="O2410" s="294"/>
      <c r="P2410" s="269"/>
      <c r="Q2410" s="269"/>
      <c r="R2410" s="269"/>
      <c r="S2410" s="269"/>
      <c r="T2410" s="269"/>
      <c r="U2410" s="269"/>
    </row>
    <row r="2411" spans="5:21" s="288" customFormat="1" ht="12.75" hidden="1" x14ac:dyDescent="0.2">
      <c r="E2411" s="290"/>
      <c r="F2411" s="266"/>
      <c r="H2411" s="291"/>
      <c r="I2411" s="292"/>
      <c r="J2411" s="292"/>
      <c r="K2411" s="291"/>
      <c r="L2411" s="293"/>
      <c r="M2411" s="290"/>
      <c r="N2411" s="269"/>
      <c r="O2411" s="294"/>
      <c r="P2411" s="269"/>
      <c r="Q2411" s="269"/>
      <c r="R2411" s="269"/>
      <c r="S2411" s="269"/>
      <c r="T2411" s="269"/>
      <c r="U2411" s="269"/>
    </row>
    <row r="2412" spans="5:21" s="288" customFormat="1" ht="12.75" hidden="1" x14ac:dyDescent="0.2">
      <c r="E2412" s="290"/>
      <c r="F2412" s="266"/>
      <c r="H2412" s="291"/>
      <c r="I2412" s="292"/>
      <c r="J2412" s="292"/>
      <c r="K2412" s="291"/>
      <c r="L2412" s="293"/>
      <c r="M2412" s="290"/>
      <c r="N2412" s="269"/>
      <c r="O2412" s="294"/>
      <c r="P2412" s="269"/>
      <c r="Q2412" s="269"/>
      <c r="R2412" s="269"/>
      <c r="S2412" s="269"/>
      <c r="T2412" s="269"/>
      <c r="U2412" s="269"/>
    </row>
    <row r="2413" spans="5:21" s="288" customFormat="1" ht="12.75" hidden="1" x14ac:dyDescent="0.2">
      <c r="E2413" s="290"/>
      <c r="F2413" s="266"/>
      <c r="H2413" s="291"/>
      <c r="I2413" s="292"/>
      <c r="J2413" s="292"/>
      <c r="K2413" s="291"/>
      <c r="L2413" s="293"/>
      <c r="M2413" s="290"/>
      <c r="N2413" s="269"/>
      <c r="O2413" s="294"/>
      <c r="P2413" s="269"/>
      <c r="Q2413" s="269"/>
      <c r="R2413" s="269"/>
      <c r="S2413" s="269"/>
      <c r="T2413" s="269"/>
      <c r="U2413" s="269"/>
    </row>
    <row r="2414" spans="5:21" s="288" customFormat="1" ht="12.75" hidden="1" x14ac:dyDescent="0.2">
      <c r="E2414" s="290"/>
      <c r="F2414" s="266"/>
      <c r="H2414" s="291"/>
      <c r="I2414" s="292"/>
      <c r="J2414" s="292"/>
      <c r="K2414" s="291"/>
      <c r="L2414" s="293"/>
      <c r="M2414" s="290"/>
      <c r="N2414" s="269"/>
      <c r="O2414" s="294"/>
      <c r="P2414" s="269"/>
      <c r="Q2414" s="269"/>
      <c r="R2414" s="269"/>
      <c r="S2414" s="269"/>
      <c r="T2414" s="269"/>
      <c r="U2414" s="269"/>
    </row>
    <row r="2415" spans="5:21" s="288" customFormat="1" ht="12.75" hidden="1" x14ac:dyDescent="0.2">
      <c r="E2415" s="290"/>
      <c r="F2415" s="266"/>
      <c r="H2415" s="291"/>
      <c r="I2415" s="292"/>
      <c r="J2415" s="292"/>
      <c r="K2415" s="291"/>
      <c r="L2415" s="293"/>
      <c r="M2415" s="290"/>
      <c r="N2415" s="269"/>
      <c r="O2415" s="294"/>
      <c r="P2415" s="269"/>
      <c r="Q2415" s="269"/>
      <c r="R2415" s="269"/>
      <c r="S2415" s="269"/>
      <c r="T2415" s="269"/>
      <c r="U2415" s="269"/>
    </row>
    <row r="2416" spans="5:21" s="288" customFormat="1" ht="12.75" hidden="1" x14ac:dyDescent="0.2">
      <c r="E2416" s="290"/>
      <c r="F2416" s="266"/>
      <c r="H2416" s="291"/>
      <c r="I2416" s="292"/>
      <c r="J2416" s="292"/>
      <c r="K2416" s="291"/>
      <c r="L2416" s="293"/>
      <c r="M2416" s="290"/>
      <c r="N2416" s="269"/>
      <c r="O2416" s="294"/>
      <c r="P2416" s="269"/>
      <c r="Q2416" s="269"/>
      <c r="R2416" s="269"/>
      <c r="S2416" s="269"/>
      <c r="T2416" s="269"/>
      <c r="U2416" s="269"/>
    </row>
    <row r="2417" spans="5:21" s="288" customFormat="1" ht="12.75" hidden="1" x14ac:dyDescent="0.2">
      <c r="E2417" s="290"/>
      <c r="F2417" s="266"/>
      <c r="H2417" s="291"/>
      <c r="I2417" s="292"/>
      <c r="J2417" s="292"/>
      <c r="K2417" s="291"/>
      <c r="L2417" s="293"/>
      <c r="M2417" s="290"/>
      <c r="N2417" s="269"/>
      <c r="O2417" s="294"/>
      <c r="P2417" s="269"/>
      <c r="Q2417" s="269"/>
      <c r="R2417" s="269"/>
      <c r="S2417" s="269"/>
      <c r="T2417" s="269"/>
      <c r="U2417" s="269"/>
    </row>
    <row r="2418" spans="5:21" s="288" customFormat="1" ht="12.75" hidden="1" x14ac:dyDescent="0.2">
      <c r="E2418" s="290"/>
      <c r="F2418" s="266"/>
      <c r="H2418" s="291"/>
      <c r="I2418" s="292"/>
      <c r="J2418" s="292"/>
      <c r="K2418" s="291"/>
      <c r="L2418" s="293"/>
      <c r="M2418" s="290"/>
      <c r="N2418" s="269"/>
      <c r="O2418" s="294"/>
      <c r="P2418" s="269"/>
      <c r="Q2418" s="269"/>
      <c r="R2418" s="269"/>
      <c r="S2418" s="269"/>
      <c r="T2418" s="269"/>
      <c r="U2418" s="269"/>
    </row>
    <row r="2419" spans="5:21" s="288" customFormat="1" ht="12.75" hidden="1" x14ac:dyDescent="0.2">
      <c r="E2419" s="290"/>
      <c r="F2419" s="266"/>
      <c r="H2419" s="291"/>
      <c r="I2419" s="292"/>
      <c r="J2419" s="292"/>
      <c r="K2419" s="291"/>
      <c r="L2419" s="293"/>
      <c r="M2419" s="290"/>
      <c r="N2419" s="269"/>
      <c r="O2419" s="294"/>
      <c r="P2419" s="269"/>
      <c r="Q2419" s="269"/>
      <c r="R2419" s="269"/>
      <c r="S2419" s="269"/>
      <c r="T2419" s="269"/>
      <c r="U2419" s="269"/>
    </row>
    <row r="2420" spans="5:21" s="288" customFormat="1" ht="12.75" hidden="1" x14ac:dyDescent="0.2">
      <c r="E2420" s="290"/>
      <c r="F2420" s="266"/>
      <c r="H2420" s="291"/>
      <c r="I2420" s="292"/>
      <c r="J2420" s="292"/>
      <c r="K2420" s="291"/>
      <c r="L2420" s="293"/>
      <c r="M2420" s="290"/>
      <c r="N2420" s="269"/>
      <c r="O2420" s="294"/>
      <c r="P2420" s="269"/>
      <c r="Q2420" s="269"/>
      <c r="R2420" s="269"/>
      <c r="S2420" s="269"/>
      <c r="T2420" s="269"/>
      <c r="U2420" s="269"/>
    </row>
    <row r="2421" spans="5:21" s="288" customFormat="1" ht="12.75" hidden="1" x14ac:dyDescent="0.2">
      <c r="E2421" s="290"/>
      <c r="F2421" s="266"/>
      <c r="H2421" s="291"/>
      <c r="I2421" s="292"/>
      <c r="J2421" s="292"/>
      <c r="K2421" s="291"/>
      <c r="L2421" s="293"/>
      <c r="M2421" s="290"/>
      <c r="N2421" s="269"/>
      <c r="O2421" s="294"/>
      <c r="P2421" s="269"/>
      <c r="Q2421" s="269"/>
      <c r="R2421" s="269"/>
      <c r="S2421" s="269"/>
      <c r="T2421" s="269"/>
      <c r="U2421" s="269"/>
    </row>
    <row r="2422" spans="5:21" s="288" customFormat="1" ht="12.75" hidden="1" x14ac:dyDescent="0.2">
      <c r="E2422" s="290"/>
      <c r="F2422" s="266"/>
      <c r="H2422" s="291"/>
      <c r="I2422" s="292"/>
      <c r="J2422" s="292"/>
      <c r="K2422" s="291"/>
      <c r="L2422" s="293"/>
      <c r="M2422" s="290"/>
      <c r="N2422" s="269"/>
      <c r="O2422" s="294"/>
      <c r="P2422" s="269"/>
      <c r="Q2422" s="269"/>
      <c r="R2422" s="269"/>
      <c r="S2422" s="269"/>
      <c r="T2422" s="269"/>
      <c r="U2422" s="269"/>
    </row>
    <row r="2423" spans="5:21" s="288" customFormat="1" ht="12.75" hidden="1" x14ac:dyDescent="0.2">
      <c r="E2423" s="290"/>
      <c r="F2423" s="266"/>
      <c r="H2423" s="291"/>
      <c r="I2423" s="292"/>
      <c r="J2423" s="292"/>
      <c r="K2423" s="291"/>
      <c r="L2423" s="293"/>
      <c r="M2423" s="290"/>
      <c r="N2423" s="269"/>
      <c r="O2423" s="294"/>
      <c r="P2423" s="269"/>
      <c r="Q2423" s="269"/>
      <c r="R2423" s="269"/>
      <c r="S2423" s="269"/>
      <c r="T2423" s="269"/>
      <c r="U2423" s="269"/>
    </row>
    <row r="2424" spans="5:21" s="288" customFormat="1" ht="12.75" hidden="1" x14ac:dyDescent="0.2">
      <c r="E2424" s="290"/>
      <c r="F2424" s="266"/>
      <c r="H2424" s="291"/>
      <c r="I2424" s="292"/>
      <c r="J2424" s="292"/>
      <c r="K2424" s="291"/>
      <c r="L2424" s="293"/>
      <c r="M2424" s="290"/>
      <c r="N2424" s="269"/>
      <c r="O2424" s="294"/>
      <c r="P2424" s="269"/>
      <c r="Q2424" s="269"/>
      <c r="R2424" s="269"/>
      <c r="S2424" s="269"/>
      <c r="T2424" s="269"/>
      <c r="U2424" s="269"/>
    </row>
    <row r="2425" spans="5:21" s="288" customFormat="1" ht="12.75" hidden="1" x14ac:dyDescent="0.2">
      <c r="E2425" s="290"/>
      <c r="F2425" s="266"/>
      <c r="H2425" s="291"/>
      <c r="I2425" s="292"/>
      <c r="J2425" s="292"/>
      <c r="K2425" s="291"/>
      <c r="L2425" s="293"/>
      <c r="M2425" s="290"/>
      <c r="N2425" s="269"/>
      <c r="O2425" s="294"/>
      <c r="P2425" s="269"/>
      <c r="Q2425" s="269"/>
      <c r="R2425" s="269"/>
      <c r="S2425" s="269"/>
      <c r="T2425" s="269"/>
      <c r="U2425" s="269"/>
    </row>
    <row r="2426" spans="5:21" s="288" customFormat="1" ht="12.75" hidden="1" x14ac:dyDescent="0.2">
      <c r="E2426" s="290"/>
      <c r="F2426" s="266"/>
      <c r="H2426" s="291"/>
      <c r="I2426" s="292"/>
      <c r="J2426" s="292"/>
      <c r="K2426" s="291"/>
      <c r="L2426" s="293"/>
      <c r="M2426" s="290"/>
      <c r="N2426" s="269"/>
      <c r="O2426" s="294"/>
      <c r="P2426" s="269"/>
      <c r="Q2426" s="269"/>
      <c r="R2426" s="269"/>
      <c r="S2426" s="269"/>
      <c r="T2426" s="269"/>
      <c r="U2426" s="269"/>
    </row>
    <row r="2427" spans="5:21" s="288" customFormat="1" ht="12.75" hidden="1" x14ac:dyDescent="0.2">
      <c r="E2427" s="290"/>
      <c r="F2427" s="266"/>
      <c r="H2427" s="291"/>
      <c r="I2427" s="292"/>
      <c r="J2427" s="292"/>
      <c r="K2427" s="291"/>
      <c r="L2427" s="293"/>
      <c r="M2427" s="290"/>
      <c r="N2427" s="269"/>
      <c r="O2427" s="294"/>
      <c r="P2427" s="269"/>
      <c r="Q2427" s="269"/>
      <c r="R2427" s="269"/>
      <c r="S2427" s="269"/>
      <c r="T2427" s="269"/>
      <c r="U2427" s="269"/>
    </row>
    <row r="2428" spans="5:21" s="288" customFormat="1" ht="12.75" hidden="1" x14ac:dyDescent="0.2">
      <c r="E2428" s="290"/>
      <c r="F2428" s="266"/>
      <c r="H2428" s="291"/>
      <c r="I2428" s="292"/>
      <c r="J2428" s="292"/>
      <c r="K2428" s="291"/>
      <c r="L2428" s="293"/>
      <c r="M2428" s="290"/>
      <c r="N2428" s="269"/>
      <c r="O2428" s="294"/>
      <c r="P2428" s="269"/>
      <c r="Q2428" s="269"/>
      <c r="R2428" s="269"/>
      <c r="S2428" s="269"/>
      <c r="T2428" s="269"/>
      <c r="U2428" s="269"/>
    </row>
    <row r="2429" spans="5:21" s="288" customFormat="1" ht="12.75" hidden="1" x14ac:dyDescent="0.2">
      <c r="E2429" s="290"/>
      <c r="F2429" s="266"/>
      <c r="H2429" s="291"/>
      <c r="I2429" s="292"/>
      <c r="J2429" s="292"/>
      <c r="K2429" s="291"/>
      <c r="L2429" s="293"/>
      <c r="M2429" s="290"/>
      <c r="N2429" s="269"/>
      <c r="O2429" s="294"/>
      <c r="P2429" s="269"/>
      <c r="Q2429" s="269"/>
      <c r="R2429" s="269"/>
      <c r="S2429" s="269"/>
      <c r="T2429" s="269"/>
      <c r="U2429" s="269"/>
    </row>
    <row r="2430" spans="5:21" s="288" customFormat="1" ht="12.75" hidden="1" x14ac:dyDescent="0.2">
      <c r="E2430" s="290"/>
      <c r="F2430" s="266"/>
      <c r="H2430" s="291"/>
      <c r="I2430" s="292"/>
      <c r="J2430" s="292"/>
      <c r="K2430" s="291"/>
      <c r="L2430" s="293"/>
      <c r="M2430" s="290"/>
      <c r="N2430" s="269"/>
      <c r="O2430" s="294"/>
      <c r="P2430" s="269"/>
      <c r="Q2430" s="269"/>
      <c r="R2430" s="269"/>
      <c r="S2430" s="269"/>
      <c r="T2430" s="269"/>
      <c r="U2430" s="269"/>
    </row>
    <row r="2431" spans="5:21" s="288" customFormat="1" ht="12.75" hidden="1" x14ac:dyDescent="0.2">
      <c r="E2431" s="290"/>
      <c r="F2431" s="266"/>
      <c r="H2431" s="291"/>
      <c r="I2431" s="292"/>
      <c r="J2431" s="292"/>
      <c r="K2431" s="291"/>
      <c r="L2431" s="293"/>
      <c r="M2431" s="290"/>
      <c r="N2431" s="269"/>
      <c r="O2431" s="294"/>
      <c r="P2431" s="269"/>
      <c r="Q2431" s="269"/>
      <c r="R2431" s="269"/>
      <c r="S2431" s="269"/>
      <c r="T2431" s="269"/>
      <c r="U2431" s="269"/>
    </row>
    <row r="2432" spans="5:21" s="288" customFormat="1" ht="12.75" hidden="1" x14ac:dyDescent="0.2">
      <c r="E2432" s="290"/>
      <c r="F2432" s="266"/>
      <c r="H2432" s="291"/>
      <c r="I2432" s="292"/>
      <c r="J2432" s="292"/>
      <c r="K2432" s="291"/>
      <c r="L2432" s="293"/>
      <c r="M2432" s="290"/>
      <c r="N2432" s="269"/>
      <c r="O2432" s="294"/>
      <c r="P2432" s="269"/>
      <c r="Q2432" s="269"/>
      <c r="R2432" s="269"/>
      <c r="S2432" s="269"/>
      <c r="T2432" s="269"/>
      <c r="U2432" s="269"/>
    </row>
    <row r="2433" spans="5:21" s="288" customFormat="1" ht="12.75" hidden="1" x14ac:dyDescent="0.2">
      <c r="E2433" s="290"/>
      <c r="F2433" s="266"/>
      <c r="H2433" s="291"/>
      <c r="I2433" s="292"/>
      <c r="J2433" s="292"/>
      <c r="K2433" s="291"/>
      <c r="L2433" s="293"/>
      <c r="M2433" s="290"/>
      <c r="N2433" s="269"/>
      <c r="O2433" s="294"/>
      <c r="P2433" s="269"/>
      <c r="Q2433" s="269"/>
      <c r="R2433" s="269"/>
      <c r="S2433" s="269"/>
      <c r="T2433" s="269"/>
      <c r="U2433" s="269"/>
    </row>
    <row r="2434" spans="5:21" s="288" customFormat="1" ht="12.75" hidden="1" x14ac:dyDescent="0.2">
      <c r="E2434" s="290"/>
      <c r="F2434" s="266"/>
      <c r="H2434" s="291"/>
      <c r="I2434" s="292"/>
      <c r="J2434" s="292"/>
      <c r="K2434" s="291"/>
      <c r="L2434" s="293"/>
      <c r="M2434" s="290"/>
      <c r="N2434" s="269"/>
      <c r="O2434" s="294"/>
      <c r="P2434" s="269"/>
      <c r="Q2434" s="269"/>
      <c r="R2434" s="269"/>
      <c r="S2434" s="269"/>
      <c r="T2434" s="269"/>
      <c r="U2434" s="269"/>
    </row>
    <row r="2435" spans="5:21" s="288" customFormat="1" ht="12.75" hidden="1" x14ac:dyDescent="0.2">
      <c r="E2435" s="290"/>
      <c r="F2435" s="266"/>
      <c r="H2435" s="291"/>
      <c r="I2435" s="292"/>
      <c r="J2435" s="292"/>
      <c r="K2435" s="291"/>
      <c r="L2435" s="293"/>
      <c r="M2435" s="290"/>
      <c r="N2435" s="269"/>
      <c r="O2435" s="294"/>
      <c r="P2435" s="269"/>
      <c r="Q2435" s="269"/>
      <c r="R2435" s="269"/>
      <c r="S2435" s="269"/>
      <c r="T2435" s="269"/>
      <c r="U2435" s="269"/>
    </row>
    <row r="2436" spans="5:21" s="288" customFormat="1" ht="12.75" hidden="1" x14ac:dyDescent="0.2">
      <c r="E2436" s="290"/>
      <c r="F2436" s="266"/>
      <c r="H2436" s="291"/>
      <c r="I2436" s="292"/>
      <c r="J2436" s="292"/>
      <c r="K2436" s="291"/>
      <c r="L2436" s="293"/>
      <c r="M2436" s="290"/>
      <c r="N2436" s="269"/>
      <c r="O2436" s="294"/>
      <c r="P2436" s="269"/>
      <c r="Q2436" s="269"/>
      <c r="R2436" s="269"/>
      <c r="S2436" s="269"/>
      <c r="T2436" s="269"/>
      <c r="U2436" s="269"/>
    </row>
    <row r="2437" spans="5:21" s="288" customFormat="1" ht="12.75" hidden="1" x14ac:dyDescent="0.2">
      <c r="E2437" s="290"/>
      <c r="F2437" s="266"/>
      <c r="H2437" s="291"/>
      <c r="I2437" s="292"/>
      <c r="J2437" s="292"/>
      <c r="K2437" s="291"/>
      <c r="L2437" s="293"/>
      <c r="M2437" s="290"/>
      <c r="N2437" s="269"/>
      <c r="O2437" s="294"/>
      <c r="P2437" s="269"/>
      <c r="Q2437" s="269"/>
      <c r="R2437" s="269"/>
      <c r="S2437" s="269"/>
      <c r="T2437" s="269"/>
      <c r="U2437" s="269"/>
    </row>
    <row r="2438" spans="5:21" s="288" customFormat="1" ht="12.75" hidden="1" x14ac:dyDescent="0.2">
      <c r="E2438" s="290"/>
      <c r="F2438" s="266"/>
      <c r="H2438" s="291"/>
      <c r="I2438" s="292"/>
      <c r="J2438" s="292"/>
      <c r="K2438" s="291"/>
      <c r="L2438" s="293"/>
      <c r="M2438" s="290"/>
      <c r="N2438" s="269"/>
      <c r="O2438" s="294"/>
      <c r="P2438" s="269"/>
      <c r="Q2438" s="269"/>
      <c r="R2438" s="269"/>
      <c r="S2438" s="269"/>
      <c r="T2438" s="269"/>
      <c r="U2438" s="269"/>
    </row>
    <row r="2439" spans="5:21" s="288" customFormat="1" ht="12.75" hidden="1" x14ac:dyDescent="0.2">
      <c r="E2439" s="290"/>
      <c r="F2439" s="266"/>
      <c r="H2439" s="291"/>
      <c r="I2439" s="292"/>
      <c r="J2439" s="292"/>
      <c r="K2439" s="291"/>
      <c r="L2439" s="293"/>
      <c r="M2439" s="290"/>
      <c r="N2439" s="269"/>
      <c r="O2439" s="294"/>
      <c r="P2439" s="269"/>
      <c r="Q2439" s="269"/>
      <c r="R2439" s="269"/>
      <c r="S2439" s="269"/>
      <c r="T2439" s="269"/>
      <c r="U2439" s="269"/>
    </row>
    <row r="2440" spans="5:21" s="288" customFormat="1" ht="12.75" hidden="1" x14ac:dyDescent="0.2">
      <c r="E2440" s="290"/>
      <c r="F2440" s="266"/>
      <c r="H2440" s="291"/>
      <c r="I2440" s="292"/>
      <c r="J2440" s="292"/>
      <c r="K2440" s="291"/>
      <c r="L2440" s="293"/>
      <c r="M2440" s="290"/>
      <c r="N2440" s="269"/>
      <c r="O2440" s="294"/>
      <c r="P2440" s="269"/>
      <c r="Q2440" s="269"/>
      <c r="R2440" s="269"/>
      <c r="S2440" s="269"/>
      <c r="T2440" s="269"/>
      <c r="U2440" s="269"/>
    </row>
    <row r="2441" spans="5:21" s="288" customFormat="1" ht="12.75" hidden="1" x14ac:dyDescent="0.2">
      <c r="E2441" s="290"/>
      <c r="F2441" s="266"/>
      <c r="H2441" s="291"/>
      <c r="I2441" s="292"/>
      <c r="J2441" s="292"/>
      <c r="K2441" s="291"/>
      <c r="L2441" s="293"/>
      <c r="M2441" s="290"/>
      <c r="N2441" s="269"/>
      <c r="O2441" s="294"/>
      <c r="P2441" s="269"/>
      <c r="Q2441" s="269"/>
      <c r="R2441" s="269"/>
      <c r="S2441" s="269"/>
      <c r="T2441" s="269"/>
      <c r="U2441" s="269"/>
    </row>
    <row r="2442" spans="5:21" s="288" customFormat="1" ht="12.75" hidden="1" x14ac:dyDescent="0.2">
      <c r="E2442" s="290"/>
      <c r="F2442" s="266"/>
      <c r="H2442" s="291"/>
      <c r="I2442" s="292"/>
      <c r="J2442" s="292"/>
      <c r="K2442" s="291"/>
      <c r="L2442" s="293"/>
      <c r="M2442" s="290"/>
      <c r="N2442" s="269"/>
      <c r="O2442" s="294"/>
      <c r="P2442" s="269"/>
      <c r="Q2442" s="269"/>
      <c r="R2442" s="269"/>
      <c r="S2442" s="269"/>
      <c r="T2442" s="269"/>
      <c r="U2442" s="269"/>
    </row>
    <row r="2443" spans="5:21" s="288" customFormat="1" ht="12.75" hidden="1" x14ac:dyDescent="0.2">
      <c r="E2443" s="290"/>
      <c r="F2443" s="266"/>
      <c r="H2443" s="291"/>
      <c r="I2443" s="292"/>
      <c r="J2443" s="292"/>
      <c r="K2443" s="291"/>
      <c r="L2443" s="293"/>
      <c r="M2443" s="290"/>
      <c r="N2443" s="269"/>
      <c r="O2443" s="294"/>
      <c r="P2443" s="269"/>
      <c r="Q2443" s="269"/>
      <c r="R2443" s="269"/>
      <c r="S2443" s="269"/>
      <c r="T2443" s="269"/>
      <c r="U2443" s="269"/>
    </row>
    <row r="2444" spans="5:21" s="288" customFormat="1" ht="12.75" hidden="1" x14ac:dyDescent="0.2">
      <c r="E2444" s="290"/>
      <c r="F2444" s="266"/>
      <c r="H2444" s="291"/>
      <c r="I2444" s="292"/>
      <c r="J2444" s="292"/>
      <c r="K2444" s="291"/>
      <c r="L2444" s="293"/>
      <c r="M2444" s="290"/>
      <c r="N2444" s="269"/>
      <c r="O2444" s="294"/>
      <c r="P2444" s="269"/>
      <c r="Q2444" s="269"/>
      <c r="R2444" s="269"/>
      <c r="S2444" s="269"/>
      <c r="T2444" s="269"/>
      <c r="U2444" s="269"/>
    </row>
    <row r="2445" spans="5:21" s="288" customFormat="1" ht="12.75" hidden="1" x14ac:dyDescent="0.2">
      <c r="E2445" s="290"/>
      <c r="F2445" s="266"/>
      <c r="H2445" s="291"/>
      <c r="I2445" s="292"/>
      <c r="J2445" s="292"/>
      <c r="K2445" s="291"/>
      <c r="L2445" s="293"/>
      <c r="M2445" s="290"/>
      <c r="N2445" s="269"/>
      <c r="O2445" s="294"/>
      <c r="P2445" s="269"/>
      <c r="Q2445" s="269"/>
      <c r="R2445" s="269"/>
      <c r="S2445" s="269"/>
      <c r="T2445" s="269"/>
      <c r="U2445" s="269"/>
    </row>
    <row r="2446" spans="5:21" s="288" customFormat="1" ht="12.75" hidden="1" x14ac:dyDescent="0.2">
      <c r="E2446" s="290"/>
      <c r="F2446" s="266"/>
      <c r="H2446" s="291"/>
      <c r="I2446" s="292"/>
      <c r="J2446" s="292"/>
      <c r="K2446" s="291"/>
      <c r="L2446" s="293"/>
      <c r="M2446" s="290"/>
      <c r="N2446" s="269"/>
      <c r="O2446" s="294"/>
      <c r="P2446" s="269"/>
      <c r="Q2446" s="269"/>
      <c r="R2446" s="269"/>
      <c r="S2446" s="269"/>
      <c r="T2446" s="269"/>
      <c r="U2446" s="269"/>
    </row>
    <row r="2447" spans="5:21" s="288" customFormat="1" ht="12.75" hidden="1" x14ac:dyDescent="0.2">
      <c r="E2447" s="290"/>
      <c r="F2447" s="266"/>
      <c r="H2447" s="291"/>
      <c r="I2447" s="292"/>
      <c r="J2447" s="292"/>
      <c r="K2447" s="291"/>
      <c r="L2447" s="293"/>
      <c r="M2447" s="290"/>
      <c r="N2447" s="269"/>
      <c r="O2447" s="294"/>
      <c r="P2447" s="269"/>
      <c r="Q2447" s="269"/>
      <c r="R2447" s="269"/>
      <c r="S2447" s="269"/>
      <c r="T2447" s="269"/>
      <c r="U2447" s="269"/>
    </row>
    <row r="2448" spans="5:21" s="288" customFormat="1" ht="12.75" hidden="1" x14ac:dyDescent="0.2">
      <c r="E2448" s="290"/>
      <c r="F2448" s="266"/>
      <c r="H2448" s="291"/>
      <c r="I2448" s="292"/>
      <c r="J2448" s="292"/>
      <c r="K2448" s="291"/>
      <c r="L2448" s="293"/>
      <c r="M2448" s="290"/>
      <c r="N2448" s="269"/>
      <c r="O2448" s="294"/>
      <c r="P2448" s="269"/>
      <c r="Q2448" s="269"/>
      <c r="R2448" s="269"/>
      <c r="S2448" s="269"/>
      <c r="T2448" s="269"/>
      <c r="U2448" s="269"/>
    </row>
    <row r="2449" spans="5:21" s="288" customFormat="1" ht="12.75" hidden="1" x14ac:dyDescent="0.2">
      <c r="E2449" s="290"/>
      <c r="F2449" s="266"/>
      <c r="H2449" s="291"/>
      <c r="I2449" s="292"/>
      <c r="J2449" s="292"/>
      <c r="K2449" s="291"/>
      <c r="L2449" s="293"/>
      <c r="M2449" s="290"/>
      <c r="N2449" s="269"/>
      <c r="O2449" s="294"/>
      <c r="P2449" s="269"/>
      <c r="Q2449" s="269"/>
      <c r="R2449" s="269"/>
      <c r="S2449" s="269"/>
      <c r="T2449" s="269"/>
      <c r="U2449" s="269"/>
    </row>
    <row r="2450" spans="5:21" s="288" customFormat="1" ht="12.75" hidden="1" x14ac:dyDescent="0.2">
      <c r="E2450" s="290"/>
      <c r="F2450" s="266"/>
      <c r="H2450" s="291"/>
      <c r="I2450" s="292"/>
      <c r="J2450" s="292"/>
      <c r="K2450" s="291"/>
      <c r="L2450" s="293"/>
      <c r="M2450" s="290"/>
      <c r="N2450" s="269"/>
      <c r="O2450" s="294"/>
      <c r="P2450" s="269"/>
      <c r="Q2450" s="269"/>
      <c r="R2450" s="269"/>
      <c r="S2450" s="269"/>
      <c r="T2450" s="269"/>
      <c r="U2450" s="269"/>
    </row>
    <row r="2451" spans="5:21" s="288" customFormat="1" ht="12.75" hidden="1" x14ac:dyDescent="0.2">
      <c r="E2451" s="290"/>
      <c r="F2451" s="266"/>
      <c r="H2451" s="291"/>
      <c r="I2451" s="292"/>
      <c r="J2451" s="292"/>
      <c r="K2451" s="291"/>
      <c r="L2451" s="293"/>
      <c r="M2451" s="290"/>
      <c r="N2451" s="269"/>
      <c r="O2451" s="294"/>
      <c r="P2451" s="269"/>
      <c r="Q2451" s="269"/>
      <c r="R2451" s="269"/>
      <c r="S2451" s="269"/>
      <c r="T2451" s="269"/>
      <c r="U2451" s="269"/>
    </row>
    <row r="2452" spans="5:21" s="288" customFormat="1" ht="12.75" hidden="1" x14ac:dyDescent="0.2">
      <c r="E2452" s="290"/>
      <c r="F2452" s="266"/>
      <c r="H2452" s="291"/>
      <c r="I2452" s="292"/>
      <c r="J2452" s="292"/>
      <c r="K2452" s="291"/>
      <c r="L2452" s="293"/>
      <c r="M2452" s="290"/>
      <c r="N2452" s="269"/>
      <c r="O2452" s="294"/>
      <c r="P2452" s="269"/>
      <c r="Q2452" s="269"/>
      <c r="R2452" s="269"/>
      <c r="S2452" s="269"/>
      <c r="T2452" s="269"/>
      <c r="U2452" s="269"/>
    </row>
    <row r="2453" spans="5:21" s="288" customFormat="1" ht="12.75" hidden="1" x14ac:dyDescent="0.2">
      <c r="E2453" s="290"/>
      <c r="F2453" s="266"/>
      <c r="H2453" s="291"/>
      <c r="I2453" s="292"/>
      <c r="J2453" s="292"/>
      <c r="K2453" s="291"/>
      <c r="L2453" s="293"/>
      <c r="M2453" s="290"/>
      <c r="N2453" s="269"/>
      <c r="O2453" s="294"/>
      <c r="P2453" s="269"/>
      <c r="Q2453" s="269"/>
      <c r="R2453" s="269"/>
      <c r="S2453" s="269"/>
      <c r="T2453" s="269"/>
      <c r="U2453" s="269"/>
    </row>
    <row r="2454" spans="5:21" s="288" customFormat="1" ht="12.75" hidden="1" x14ac:dyDescent="0.2">
      <c r="E2454" s="290"/>
      <c r="F2454" s="266"/>
      <c r="H2454" s="291"/>
      <c r="I2454" s="292"/>
      <c r="J2454" s="292"/>
      <c r="K2454" s="291"/>
      <c r="L2454" s="293"/>
      <c r="M2454" s="290"/>
      <c r="N2454" s="269"/>
      <c r="O2454" s="294"/>
      <c r="P2454" s="269"/>
      <c r="Q2454" s="269"/>
      <c r="R2454" s="269"/>
      <c r="S2454" s="269"/>
      <c r="T2454" s="269"/>
      <c r="U2454" s="269"/>
    </row>
    <row r="2455" spans="5:21" s="288" customFormat="1" ht="12.75" hidden="1" x14ac:dyDescent="0.2">
      <c r="E2455" s="290"/>
      <c r="F2455" s="266"/>
      <c r="H2455" s="291"/>
      <c r="I2455" s="292"/>
      <c r="J2455" s="292"/>
      <c r="K2455" s="291"/>
      <c r="L2455" s="293"/>
      <c r="M2455" s="290"/>
      <c r="N2455" s="269"/>
      <c r="O2455" s="294"/>
      <c r="P2455" s="269"/>
      <c r="Q2455" s="269"/>
      <c r="R2455" s="269"/>
      <c r="S2455" s="269"/>
      <c r="T2455" s="269"/>
      <c r="U2455" s="269"/>
    </row>
    <row r="2456" spans="5:21" s="288" customFormat="1" ht="12.75" hidden="1" x14ac:dyDescent="0.2">
      <c r="E2456" s="290"/>
      <c r="F2456" s="266"/>
      <c r="H2456" s="291"/>
      <c r="I2456" s="292"/>
      <c r="J2456" s="292"/>
      <c r="K2456" s="291"/>
      <c r="L2456" s="293"/>
      <c r="M2456" s="290"/>
      <c r="N2456" s="269"/>
      <c r="O2456" s="294"/>
      <c r="P2456" s="269"/>
      <c r="Q2456" s="269"/>
      <c r="R2456" s="269"/>
      <c r="S2456" s="269"/>
      <c r="T2456" s="269"/>
      <c r="U2456" s="269"/>
    </row>
    <row r="2457" spans="5:21" s="288" customFormat="1" ht="12.75" hidden="1" x14ac:dyDescent="0.2">
      <c r="E2457" s="290"/>
      <c r="F2457" s="266"/>
      <c r="H2457" s="291"/>
      <c r="I2457" s="292"/>
      <c r="J2457" s="292"/>
      <c r="K2457" s="291"/>
      <c r="L2457" s="293"/>
      <c r="M2457" s="290"/>
      <c r="N2457" s="269"/>
      <c r="O2457" s="294"/>
      <c r="P2457" s="269"/>
      <c r="Q2457" s="269"/>
      <c r="R2457" s="269"/>
      <c r="S2457" s="269"/>
      <c r="T2457" s="269"/>
      <c r="U2457" s="269"/>
    </row>
    <row r="2458" spans="5:21" s="288" customFormat="1" ht="12.75" hidden="1" x14ac:dyDescent="0.2">
      <c r="E2458" s="290"/>
      <c r="F2458" s="266"/>
      <c r="H2458" s="291"/>
      <c r="I2458" s="292"/>
      <c r="J2458" s="292"/>
      <c r="K2458" s="291"/>
      <c r="L2458" s="293"/>
      <c r="M2458" s="290"/>
      <c r="N2458" s="269"/>
      <c r="O2458" s="294"/>
      <c r="P2458" s="269"/>
      <c r="Q2458" s="269"/>
      <c r="R2458" s="269"/>
      <c r="S2458" s="269"/>
      <c r="T2458" s="269"/>
      <c r="U2458" s="269"/>
    </row>
    <row r="2459" spans="5:21" s="288" customFormat="1" ht="12.75" hidden="1" x14ac:dyDescent="0.2">
      <c r="E2459" s="290"/>
      <c r="F2459" s="266"/>
      <c r="H2459" s="291"/>
      <c r="I2459" s="292"/>
      <c r="J2459" s="292"/>
      <c r="K2459" s="291"/>
      <c r="L2459" s="293"/>
      <c r="M2459" s="290"/>
      <c r="N2459" s="269"/>
      <c r="O2459" s="294"/>
      <c r="P2459" s="269"/>
      <c r="Q2459" s="269"/>
      <c r="R2459" s="269"/>
      <c r="S2459" s="269"/>
      <c r="T2459" s="269"/>
      <c r="U2459" s="269"/>
    </row>
    <row r="2460" spans="5:21" s="288" customFormat="1" ht="12.75" hidden="1" x14ac:dyDescent="0.2">
      <c r="E2460" s="290"/>
      <c r="F2460" s="266"/>
      <c r="H2460" s="291"/>
      <c r="I2460" s="292"/>
      <c r="J2460" s="292"/>
      <c r="K2460" s="291"/>
      <c r="L2460" s="293"/>
      <c r="M2460" s="290"/>
      <c r="N2460" s="269"/>
      <c r="O2460" s="294"/>
      <c r="P2460" s="269"/>
      <c r="Q2460" s="269"/>
      <c r="R2460" s="269"/>
      <c r="S2460" s="269"/>
      <c r="T2460" s="269"/>
      <c r="U2460" s="269"/>
    </row>
    <row r="2461" spans="5:21" s="288" customFormat="1" ht="12.75" hidden="1" x14ac:dyDescent="0.2">
      <c r="E2461" s="290"/>
      <c r="F2461" s="266"/>
      <c r="H2461" s="291"/>
      <c r="I2461" s="292"/>
      <c r="J2461" s="292"/>
      <c r="K2461" s="291"/>
      <c r="L2461" s="293"/>
      <c r="M2461" s="290"/>
      <c r="N2461" s="269"/>
      <c r="O2461" s="294"/>
      <c r="P2461" s="269"/>
      <c r="Q2461" s="269"/>
      <c r="R2461" s="269"/>
      <c r="S2461" s="269"/>
      <c r="T2461" s="269"/>
      <c r="U2461" s="269"/>
    </row>
    <row r="2462" spans="5:21" s="288" customFormat="1" ht="12.75" hidden="1" x14ac:dyDescent="0.2">
      <c r="E2462" s="290"/>
      <c r="F2462" s="266"/>
      <c r="H2462" s="291"/>
      <c r="I2462" s="292"/>
      <c r="J2462" s="292"/>
      <c r="K2462" s="291"/>
      <c r="L2462" s="293"/>
      <c r="M2462" s="290"/>
      <c r="N2462" s="269"/>
      <c r="O2462" s="294"/>
      <c r="P2462" s="269"/>
      <c r="Q2462" s="269"/>
      <c r="R2462" s="269"/>
      <c r="S2462" s="269"/>
      <c r="T2462" s="269"/>
      <c r="U2462" s="269"/>
    </row>
    <row r="2463" spans="5:21" s="288" customFormat="1" ht="12.75" hidden="1" x14ac:dyDescent="0.2">
      <c r="E2463" s="290"/>
      <c r="F2463" s="266"/>
      <c r="H2463" s="291"/>
      <c r="I2463" s="292"/>
      <c r="J2463" s="292"/>
      <c r="K2463" s="291"/>
      <c r="L2463" s="293"/>
      <c r="M2463" s="290"/>
      <c r="N2463" s="269"/>
      <c r="O2463" s="294"/>
      <c r="P2463" s="269"/>
      <c r="Q2463" s="269"/>
      <c r="R2463" s="269"/>
      <c r="S2463" s="269"/>
      <c r="T2463" s="269"/>
      <c r="U2463" s="269"/>
    </row>
    <row r="2464" spans="5:21" s="288" customFormat="1" ht="12.75" hidden="1" x14ac:dyDescent="0.2">
      <c r="E2464" s="290"/>
      <c r="F2464" s="266"/>
      <c r="H2464" s="291"/>
      <c r="I2464" s="292"/>
      <c r="J2464" s="292"/>
      <c r="K2464" s="291"/>
      <c r="L2464" s="293"/>
      <c r="M2464" s="290"/>
      <c r="N2464" s="269"/>
      <c r="O2464" s="294"/>
      <c r="P2464" s="269"/>
      <c r="Q2464" s="269"/>
      <c r="R2464" s="269"/>
      <c r="S2464" s="269"/>
      <c r="T2464" s="269"/>
      <c r="U2464" s="269"/>
    </row>
    <row r="2465" spans="5:21" s="288" customFormat="1" ht="12.75" hidden="1" x14ac:dyDescent="0.2">
      <c r="E2465" s="290"/>
      <c r="F2465" s="266"/>
      <c r="H2465" s="291"/>
      <c r="I2465" s="292"/>
      <c r="J2465" s="292"/>
      <c r="K2465" s="291"/>
      <c r="L2465" s="293"/>
      <c r="M2465" s="290"/>
      <c r="N2465" s="269"/>
      <c r="O2465" s="294"/>
      <c r="P2465" s="269"/>
      <c r="Q2465" s="269"/>
      <c r="R2465" s="269"/>
      <c r="S2465" s="269"/>
      <c r="T2465" s="269"/>
      <c r="U2465" s="269"/>
    </row>
    <row r="2466" spans="5:21" s="288" customFormat="1" ht="12.75" hidden="1" x14ac:dyDescent="0.2">
      <c r="E2466" s="290"/>
      <c r="F2466" s="266"/>
      <c r="H2466" s="291"/>
      <c r="I2466" s="292"/>
      <c r="J2466" s="292"/>
      <c r="K2466" s="291"/>
      <c r="L2466" s="293"/>
      <c r="M2466" s="290"/>
      <c r="N2466" s="269"/>
      <c r="O2466" s="294"/>
      <c r="P2466" s="269"/>
      <c r="Q2466" s="269"/>
      <c r="R2466" s="269"/>
      <c r="S2466" s="269"/>
      <c r="T2466" s="269"/>
      <c r="U2466" s="269"/>
    </row>
    <row r="2467" spans="5:21" s="288" customFormat="1" ht="12.75" hidden="1" x14ac:dyDescent="0.2">
      <c r="E2467" s="290"/>
      <c r="F2467" s="266"/>
      <c r="H2467" s="291"/>
      <c r="I2467" s="292"/>
      <c r="J2467" s="292"/>
      <c r="K2467" s="291"/>
      <c r="L2467" s="293"/>
      <c r="M2467" s="290"/>
      <c r="N2467" s="269"/>
      <c r="O2467" s="294"/>
      <c r="P2467" s="269"/>
      <c r="Q2467" s="269"/>
      <c r="R2467" s="269"/>
      <c r="S2467" s="269"/>
      <c r="T2467" s="269"/>
      <c r="U2467" s="269"/>
    </row>
    <row r="2468" spans="5:21" s="288" customFormat="1" ht="12.75" hidden="1" x14ac:dyDescent="0.2">
      <c r="E2468" s="290"/>
      <c r="F2468" s="266"/>
      <c r="H2468" s="291"/>
      <c r="I2468" s="292"/>
      <c r="J2468" s="292"/>
      <c r="K2468" s="291"/>
      <c r="L2468" s="293"/>
      <c r="M2468" s="290"/>
      <c r="N2468" s="269"/>
      <c r="O2468" s="294"/>
      <c r="P2468" s="269"/>
      <c r="Q2468" s="269"/>
      <c r="R2468" s="269"/>
      <c r="S2468" s="269"/>
      <c r="T2468" s="269"/>
      <c r="U2468" s="269"/>
    </row>
    <row r="2469" spans="5:21" s="288" customFormat="1" ht="12.75" hidden="1" x14ac:dyDescent="0.2">
      <c r="E2469" s="290"/>
      <c r="F2469" s="266"/>
      <c r="H2469" s="291"/>
      <c r="I2469" s="292"/>
      <c r="J2469" s="292"/>
      <c r="K2469" s="291"/>
      <c r="L2469" s="293"/>
      <c r="M2469" s="290"/>
      <c r="N2469" s="269"/>
      <c r="O2469" s="294"/>
      <c r="P2469" s="269"/>
      <c r="Q2469" s="269"/>
      <c r="R2469" s="269"/>
      <c r="S2469" s="269"/>
      <c r="T2469" s="269"/>
      <c r="U2469" s="269"/>
    </row>
    <row r="2470" spans="5:21" s="288" customFormat="1" ht="12.75" hidden="1" x14ac:dyDescent="0.2">
      <c r="E2470" s="290"/>
      <c r="F2470" s="266"/>
      <c r="H2470" s="291"/>
      <c r="I2470" s="292"/>
      <c r="J2470" s="292"/>
      <c r="K2470" s="291"/>
      <c r="L2470" s="293"/>
      <c r="M2470" s="290"/>
      <c r="N2470" s="269"/>
      <c r="O2470" s="294"/>
      <c r="P2470" s="269"/>
      <c r="Q2470" s="269"/>
      <c r="R2470" s="269"/>
      <c r="S2470" s="269"/>
      <c r="T2470" s="269"/>
      <c r="U2470" s="269"/>
    </row>
    <row r="2471" spans="5:21" s="288" customFormat="1" ht="12.75" hidden="1" x14ac:dyDescent="0.2">
      <c r="E2471" s="290"/>
      <c r="F2471" s="266"/>
      <c r="H2471" s="291"/>
      <c r="I2471" s="292"/>
      <c r="J2471" s="292"/>
      <c r="K2471" s="291"/>
      <c r="L2471" s="293"/>
      <c r="M2471" s="290"/>
      <c r="N2471" s="269"/>
      <c r="O2471" s="294"/>
      <c r="P2471" s="269"/>
      <c r="Q2471" s="269"/>
      <c r="R2471" s="269"/>
      <c r="S2471" s="269"/>
      <c r="T2471" s="269"/>
      <c r="U2471" s="269"/>
    </row>
    <row r="2472" spans="5:21" s="288" customFormat="1" ht="12.75" hidden="1" x14ac:dyDescent="0.2">
      <c r="E2472" s="290"/>
      <c r="F2472" s="266"/>
      <c r="H2472" s="291"/>
      <c r="I2472" s="292"/>
      <c r="J2472" s="292"/>
      <c r="K2472" s="291"/>
      <c r="L2472" s="293"/>
      <c r="M2472" s="290"/>
      <c r="N2472" s="269"/>
      <c r="O2472" s="294"/>
      <c r="P2472" s="269"/>
      <c r="Q2472" s="269"/>
      <c r="R2472" s="269"/>
      <c r="S2472" s="269"/>
      <c r="T2472" s="269"/>
      <c r="U2472" s="269"/>
    </row>
    <row r="2473" spans="5:21" s="288" customFormat="1" ht="12.75" hidden="1" x14ac:dyDescent="0.2">
      <c r="E2473" s="290"/>
      <c r="F2473" s="266"/>
      <c r="H2473" s="291"/>
      <c r="I2473" s="292"/>
      <c r="J2473" s="292"/>
      <c r="K2473" s="291"/>
      <c r="L2473" s="293"/>
      <c r="M2473" s="290"/>
      <c r="N2473" s="269"/>
      <c r="O2473" s="294"/>
      <c r="P2473" s="269"/>
      <c r="Q2473" s="269"/>
      <c r="R2473" s="269"/>
      <c r="S2473" s="269"/>
      <c r="T2473" s="269"/>
      <c r="U2473" s="269"/>
    </row>
    <row r="2474" spans="5:21" s="288" customFormat="1" ht="12.75" hidden="1" x14ac:dyDescent="0.2">
      <c r="E2474" s="290"/>
      <c r="F2474" s="266"/>
      <c r="H2474" s="291"/>
      <c r="I2474" s="292"/>
      <c r="J2474" s="292"/>
      <c r="K2474" s="291"/>
      <c r="L2474" s="293"/>
      <c r="M2474" s="290"/>
      <c r="N2474" s="269"/>
      <c r="O2474" s="294"/>
      <c r="P2474" s="269"/>
      <c r="Q2474" s="269"/>
      <c r="R2474" s="269"/>
      <c r="S2474" s="269"/>
      <c r="T2474" s="269"/>
      <c r="U2474" s="269"/>
    </row>
    <row r="2475" spans="5:21" s="288" customFormat="1" ht="12.75" hidden="1" x14ac:dyDescent="0.2">
      <c r="E2475" s="290"/>
      <c r="F2475" s="266"/>
      <c r="H2475" s="291"/>
      <c r="I2475" s="292"/>
      <c r="J2475" s="292"/>
      <c r="K2475" s="291"/>
      <c r="L2475" s="293"/>
      <c r="M2475" s="290"/>
      <c r="N2475" s="269"/>
      <c r="O2475" s="294"/>
      <c r="P2475" s="269"/>
      <c r="Q2475" s="269"/>
      <c r="R2475" s="269"/>
      <c r="S2475" s="269"/>
      <c r="T2475" s="269"/>
      <c r="U2475" s="269"/>
    </row>
    <row r="2476" spans="5:21" s="288" customFormat="1" ht="12.75" hidden="1" x14ac:dyDescent="0.2">
      <c r="E2476" s="290"/>
      <c r="F2476" s="266"/>
      <c r="H2476" s="291"/>
      <c r="I2476" s="292"/>
      <c r="J2476" s="292"/>
      <c r="K2476" s="291"/>
      <c r="L2476" s="293"/>
      <c r="M2476" s="290"/>
      <c r="N2476" s="269"/>
      <c r="O2476" s="294"/>
      <c r="P2476" s="269"/>
      <c r="Q2476" s="269"/>
      <c r="R2476" s="269"/>
      <c r="S2476" s="269"/>
      <c r="T2476" s="269"/>
      <c r="U2476" s="269"/>
    </row>
    <row r="2477" spans="5:21" s="288" customFormat="1" ht="12.75" hidden="1" x14ac:dyDescent="0.2">
      <c r="E2477" s="290"/>
      <c r="F2477" s="266"/>
      <c r="H2477" s="291"/>
      <c r="I2477" s="292"/>
      <c r="J2477" s="292"/>
      <c r="K2477" s="291"/>
      <c r="L2477" s="293"/>
      <c r="M2477" s="290"/>
      <c r="N2477" s="269"/>
      <c r="O2477" s="294"/>
      <c r="P2477" s="269"/>
      <c r="Q2477" s="269"/>
      <c r="R2477" s="269"/>
      <c r="S2477" s="269"/>
      <c r="T2477" s="269"/>
      <c r="U2477" s="269"/>
    </row>
    <row r="2478" spans="5:21" s="288" customFormat="1" ht="12.75" hidden="1" x14ac:dyDescent="0.2">
      <c r="E2478" s="290"/>
      <c r="F2478" s="266"/>
      <c r="H2478" s="291"/>
      <c r="I2478" s="292"/>
      <c r="J2478" s="292"/>
      <c r="K2478" s="291"/>
      <c r="L2478" s="293"/>
      <c r="M2478" s="290"/>
      <c r="N2478" s="269"/>
      <c r="O2478" s="294"/>
      <c r="P2478" s="269"/>
      <c r="Q2478" s="269"/>
      <c r="R2478" s="269"/>
      <c r="S2478" s="269"/>
      <c r="T2478" s="269"/>
      <c r="U2478" s="269"/>
    </row>
    <row r="2479" spans="5:21" s="288" customFormat="1" ht="12.75" hidden="1" x14ac:dyDescent="0.2">
      <c r="E2479" s="290"/>
      <c r="F2479" s="266"/>
      <c r="H2479" s="291"/>
      <c r="I2479" s="292"/>
      <c r="J2479" s="292"/>
      <c r="K2479" s="291"/>
      <c r="L2479" s="293"/>
      <c r="M2479" s="290"/>
      <c r="N2479" s="269"/>
      <c r="O2479" s="294"/>
      <c r="P2479" s="269"/>
      <c r="Q2479" s="269"/>
      <c r="R2479" s="269"/>
      <c r="S2479" s="269"/>
      <c r="T2479" s="269"/>
      <c r="U2479" s="269"/>
    </row>
    <row r="2480" spans="5:21" s="288" customFormat="1" ht="12.75" hidden="1" x14ac:dyDescent="0.2">
      <c r="E2480" s="290"/>
      <c r="F2480" s="266"/>
      <c r="H2480" s="291"/>
      <c r="I2480" s="292"/>
      <c r="J2480" s="292"/>
      <c r="K2480" s="291"/>
      <c r="L2480" s="293"/>
      <c r="M2480" s="290"/>
      <c r="N2480" s="269"/>
      <c r="O2480" s="294"/>
      <c r="P2480" s="269"/>
      <c r="Q2480" s="269"/>
      <c r="R2480" s="269"/>
      <c r="S2480" s="269"/>
      <c r="T2480" s="269"/>
      <c r="U2480" s="269"/>
    </row>
    <row r="2481" spans="5:21" s="288" customFormat="1" ht="12.75" hidden="1" x14ac:dyDescent="0.2">
      <c r="E2481" s="290"/>
      <c r="F2481" s="266"/>
      <c r="H2481" s="291"/>
      <c r="I2481" s="292"/>
      <c r="J2481" s="292"/>
      <c r="K2481" s="291"/>
      <c r="L2481" s="293"/>
      <c r="M2481" s="290"/>
      <c r="N2481" s="269"/>
      <c r="O2481" s="294"/>
      <c r="P2481" s="269"/>
      <c r="Q2481" s="269"/>
      <c r="R2481" s="269"/>
      <c r="S2481" s="269"/>
      <c r="T2481" s="269"/>
      <c r="U2481" s="269"/>
    </row>
    <row r="2482" spans="5:21" s="288" customFormat="1" ht="12.75" hidden="1" x14ac:dyDescent="0.2">
      <c r="E2482" s="290"/>
      <c r="F2482" s="266"/>
      <c r="H2482" s="291"/>
      <c r="I2482" s="292"/>
      <c r="J2482" s="292"/>
      <c r="K2482" s="291"/>
      <c r="L2482" s="293"/>
      <c r="M2482" s="290"/>
      <c r="N2482" s="269"/>
      <c r="O2482" s="294"/>
      <c r="P2482" s="269"/>
      <c r="Q2482" s="269"/>
      <c r="R2482" s="269"/>
      <c r="S2482" s="269"/>
      <c r="T2482" s="269"/>
      <c r="U2482" s="269"/>
    </row>
    <row r="2483" spans="5:21" s="288" customFormat="1" ht="12.75" hidden="1" x14ac:dyDescent="0.2">
      <c r="E2483" s="290"/>
      <c r="F2483" s="266"/>
      <c r="H2483" s="291"/>
      <c r="I2483" s="292"/>
      <c r="J2483" s="292"/>
      <c r="K2483" s="291"/>
      <c r="L2483" s="293"/>
      <c r="M2483" s="290"/>
      <c r="N2483" s="269"/>
      <c r="O2483" s="294"/>
      <c r="P2483" s="269"/>
      <c r="Q2483" s="269"/>
      <c r="R2483" s="269"/>
      <c r="S2483" s="269"/>
      <c r="T2483" s="269"/>
      <c r="U2483" s="269"/>
    </row>
    <row r="2484" spans="5:21" s="288" customFormat="1" ht="12.75" hidden="1" x14ac:dyDescent="0.2">
      <c r="E2484" s="290"/>
      <c r="F2484" s="266"/>
      <c r="H2484" s="291"/>
      <c r="I2484" s="292"/>
      <c r="J2484" s="292"/>
      <c r="K2484" s="291"/>
      <c r="L2484" s="293"/>
      <c r="M2484" s="290"/>
      <c r="N2484" s="269"/>
      <c r="O2484" s="294"/>
      <c r="P2484" s="269"/>
      <c r="Q2484" s="269"/>
      <c r="R2484" s="269"/>
      <c r="S2484" s="269"/>
      <c r="T2484" s="269"/>
      <c r="U2484" s="269"/>
    </row>
    <row r="2485" spans="5:21" s="288" customFormat="1" ht="12.75" hidden="1" x14ac:dyDescent="0.2">
      <c r="E2485" s="290"/>
      <c r="F2485" s="266"/>
      <c r="H2485" s="291"/>
      <c r="I2485" s="292"/>
      <c r="J2485" s="292"/>
      <c r="K2485" s="291"/>
      <c r="L2485" s="293"/>
      <c r="M2485" s="290"/>
      <c r="N2485" s="269"/>
      <c r="O2485" s="294"/>
      <c r="P2485" s="269"/>
      <c r="Q2485" s="269"/>
      <c r="R2485" s="269"/>
      <c r="S2485" s="269"/>
      <c r="T2485" s="269"/>
      <c r="U2485" s="269"/>
    </row>
    <row r="2486" spans="5:21" s="288" customFormat="1" ht="12.75" hidden="1" x14ac:dyDescent="0.2">
      <c r="E2486" s="290"/>
      <c r="F2486" s="266"/>
      <c r="H2486" s="291"/>
      <c r="I2486" s="292"/>
      <c r="J2486" s="292"/>
      <c r="K2486" s="291"/>
      <c r="L2486" s="293"/>
      <c r="M2486" s="290"/>
      <c r="N2486" s="269"/>
      <c r="O2486" s="294"/>
      <c r="P2486" s="269"/>
      <c r="Q2486" s="269"/>
      <c r="R2486" s="269"/>
      <c r="S2486" s="269"/>
      <c r="T2486" s="269"/>
      <c r="U2486" s="269"/>
    </row>
    <row r="2487" spans="5:21" s="288" customFormat="1" ht="12.75" hidden="1" x14ac:dyDescent="0.2">
      <c r="E2487" s="290"/>
      <c r="F2487" s="266"/>
      <c r="H2487" s="291"/>
      <c r="I2487" s="292"/>
      <c r="J2487" s="292"/>
      <c r="K2487" s="291"/>
      <c r="L2487" s="293"/>
      <c r="M2487" s="290"/>
      <c r="N2487" s="269"/>
      <c r="O2487" s="294"/>
      <c r="P2487" s="269"/>
      <c r="Q2487" s="269"/>
      <c r="R2487" s="269"/>
      <c r="S2487" s="269"/>
      <c r="T2487" s="269"/>
      <c r="U2487" s="269"/>
    </row>
    <row r="2488" spans="5:21" s="288" customFormat="1" ht="12.75" hidden="1" x14ac:dyDescent="0.2">
      <c r="E2488" s="290"/>
      <c r="F2488" s="266"/>
      <c r="H2488" s="291"/>
      <c r="I2488" s="292"/>
      <c r="J2488" s="292"/>
      <c r="K2488" s="291"/>
      <c r="L2488" s="293"/>
      <c r="M2488" s="290"/>
      <c r="N2488" s="269"/>
      <c r="O2488" s="294"/>
      <c r="P2488" s="269"/>
      <c r="Q2488" s="269"/>
      <c r="R2488" s="269"/>
      <c r="S2488" s="269"/>
      <c r="T2488" s="269"/>
      <c r="U2488" s="269"/>
    </row>
    <row r="2489" spans="5:21" s="288" customFormat="1" ht="12.75" hidden="1" x14ac:dyDescent="0.2">
      <c r="E2489" s="290"/>
      <c r="F2489" s="266"/>
      <c r="H2489" s="291"/>
      <c r="I2489" s="292"/>
      <c r="J2489" s="292"/>
      <c r="K2489" s="291"/>
      <c r="L2489" s="293"/>
      <c r="M2489" s="290"/>
      <c r="N2489" s="269"/>
      <c r="O2489" s="294"/>
      <c r="P2489" s="269"/>
      <c r="Q2489" s="269"/>
      <c r="R2489" s="269"/>
      <c r="S2489" s="269"/>
      <c r="T2489" s="269"/>
      <c r="U2489" s="269"/>
    </row>
    <row r="2490" spans="5:21" s="288" customFormat="1" ht="12.75" hidden="1" x14ac:dyDescent="0.2">
      <c r="E2490" s="290"/>
      <c r="F2490" s="266"/>
      <c r="H2490" s="291"/>
      <c r="I2490" s="292"/>
      <c r="J2490" s="292"/>
      <c r="K2490" s="291"/>
      <c r="L2490" s="293"/>
      <c r="M2490" s="290"/>
      <c r="N2490" s="269"/>
      <c r="O2490" s="294"/>
      <c r="P2490" s="269"/>
      <c r="Q2490" s="269"/>
      <c r="R2490" s="269"/>
      <c r="S2490" s="269"/>
      <c r="T2490" s="269"/>
      <c r="U2490" s="269"/>
    </row>
    <row r="2491" spans="5:21" s="288" customFormat="1" ht="12.75" hidden="1" x14ac:dyDescent="0.2">
      <c r="E2491" s="290"/>
      <c r="F2491" s="266"/>
      <c r="H2491" s="291"/>
      <c r="I2491" s="292"/>
      <c r="J2491" s="292"/>
      <c r="K2491" s="291"/>
      <c r="L2491" s="293"/>
      <c r="M2491" s="290"/>
      <c r="N2491" s="269"/>
      <c r="O2491" s="294"/>
      <c r="P2491" s="269"/>
      <c r="Q2491" s="269"/>
      <c r="R2491" s="269"/>
      <c r="S2491" s="269"/>
      <c r="T2491" s="269"/>
      <c r="U2491" s="269"/>
    </row>
    <row r="2492" spans="5:21" s="288" customFormat="1" ht="12.75" hidden="1" x14ac:dyDescent="0.2">
      <c r="E2492" s="290"/>
      <c r="F2492" s="266"/>
      <c r="H2492" s="291"/>
      <c r="I2492" s="292"/>
      <c r="J2492" s="292"/>
      <c r="K2492" s="291"/>
      <c r="L2492" s="293"/>
      <c r="M2492" s="290"/>
      <c r="N2492" s="269"/>
      <c r="O2492" s="294"/>
      <c r="P2492" s="269"/>
      <c r="Q2492" s="269"/>
      <c r="R2492" s="269"/>
      <c r="S2492" s="269"/>
      <c r="T2492" s="269"/>
      <c r="U2492" s="269"/>
    </row>
    <row r="2493" spans="5:21" s="288" customFormat="1" ht="12.75" hidden="1" x14ac:dyDescent="0.2">
      <c r="E2493" s="290"/>
      <c r="F2493" s="266"/>
      <c r="H2493" s="291"/>
      <c r="I2493" s="292"/>
      <c r="J2493" s="292"/>
      <c r="K2493" s="291"/>
      <c r="L2493" s="293"/>
      <c r="M2493" s="290"/>
      <c r="N2493" s="269"/>
      <c r="O2493" s="294"/>
      <c r="P2493" s="269"/>
      <c r="Q2493" s="269"/>
      <c r="R2493" s="269"/>
      <c r="S2493" s="269"/>
      <c r="T2493" s="269"/>
      <c r="U2493" s="269"/>
    </row>
    <row r="2494" spans="5:21" s="288" customFormat="1" ht="12.75" hidden="1" x14ac:dyDescent="0.2">
      <c r="E2494" s="290"/>
      <c r="F2494" s="266"/>
      <c r="H2494" s="291"/>
      <c r="I2494" s="292"/>
      <c r="J2494" s="292"/>
      <c r="K2494" s="291"/>
      <c r="L2494" s="293"/>
      <c r="M2494" s="290"/>
      <c r="N2494" s="269"/>
      <c r="O2494" s="294"/>
      <c r="P2494" s="269"/>
      <c r="Q2494" s="269"/>
      <c r="R2494" s="269"/>
      <c r="S2494" s="269"/>
      <c r="T2494" s="269"/>
      <c r="U2494" s="269"/>
    </row>
    <row r="2495" spans="5:21" s="288" customFormat="1" ht="12.75" hidden="1" x14ac:dyDescent="0.2">
      <c r="E2495" s="290"/>
      <c r="F2495" s="266"/>
      <c r="H2495" s="291"/>
      <c r="I2495" s="292"/>
      <c r="J2495" s="292"/>
      <c r="K2495" s="291"/>
      <c r="L2495" s="293"/>
      <c r="M2495" s="290"/>
      <c r="N2495" s="269"/>
      <c r="O2495" s="294"/>
      <c r="P2495" s="269"/>
      <c r="Q2495" s="269"/>
      <c r="R2495" s="269"/>
      <c r="S2495" s="269"/>
      <c r="T2495" s="269"/>
      <c r="U2495" s="269"/>
    </row>
    <row r="2496" spans="5:21" s="288" customFormat="1" ht="12.75" hidden="1" x14ac:dyDescent="0.2">
      <c r="E2496" s="290"/>
      <c r="F2496" s="266"/>
      <c r="H2496" s="291"/>
      <c r="I2496" s="292"/>
      <c r="J2496" s="292"/>
      <c r="K2496" s="291"/>
      <c r="L2496" s="293"/>
      <c r="M2496" s="290"/>
      <c r="N2496" s="269"/>
      <c r="O2496" s="294"/>
      <c r="P2496" s="269"/>
      <c r="Q2496" s="269"/>
      <c r="R2496" s="269"/>
      <c r="S2496" s="269"/>
      <c r="T2496" s="269"/>
      <c r="U2496" s="269"/>
    </row>
    <row r="2497" spans="5:21" s="288" customFormat="1" ht="12.75" hidden="1" x14ac:dyDescent="0.2">
      <c r="E2497" s="290"/>
      <c r="F2497" s="266"/>
      <c r="H2497" s="291"/>
      <c r="I2497" s="292"/>
      <c r="J2497" s="292"/>
      <c r="K2497" s="291"/>
      <c r="L2497" s="293"/>
      <c r="M2497" s="290"/>
      <c r="N2497" s="269"/>
      <c r="O2497" s="294"/>
      <c r="P2497" s="269"/>
      <c r="Q2497" s="269"/>
      <c r="R2497" s="269"/>
      <c r="S2497" s="269"/>
      <c r="T2497" s="269"/>
      <c r="U2497" s="269"/>
    </row>
    <row r="2498" spans="5:21" s="288" customFormat="1" ht="12.75" hidden="1" x14ac:dyDescent="0.2">
      <c r="E2498" s="290"/>
      <c r="F2498" s="266"/>
      <c r="H2498" s="291"/>
      <c r="I2498" s="292"/>
      <c r="J2498" s="292"/>
      <c r="K2498" s="291"/>
      <c r="L2498" s="293"/>
      <c r="M2498" s="290"/>
      <c r="N2498" s="269"/>
      <c r="O2498" s="294"/>
      <c r="P2498" s="269"/>
      <c r="Q2498" s="269"/>
      <c r="R2498" s="269"/>
      <c r="S2498" s="269"/>
      <c r="T2498" s="269"/>
      <c r="U2498" s="269"/>
    </row>
    <row r="2499" spans="5:21" s="288" customFormat="1" ht="12.75" hidden="1" x14ac:dyDescent="0.2">
      <c r="E2499" s="290"/>
      <c r="F2499" s="266"/>
      <c r="H2499" s="291"/>
      <c r="I2499" s="292"/>
      <c r="J2499" s="292"/>
      <c r="K2499" s="291"/>
      <c r="L2499" s="293"/>
      <c r="M2499" s="290"/>
      <c r="N2499" s="269"/>
      <c r="O2499" s="294"/>
      <c r="P2499" s="269"/>
      <c r="Q2499" s="269"/>
      <c r="R2499" s="269"/>
      <c r="S2499" s="269"/>
      <c r="T2499" s="269"/>
      <c r="U2499" s="269"/>
    </row>
    <row r="2500" spans="5:21" s="288" customFormat="1" ht="12.75" hidden="1" x14ac:dyDescent="0.2">
      <c r="E2500" s="290"/>
      <c r="F2500" s="266"/>
      <c r="H2500" s="291"/>
      <c r="I2500" s="292"/>
      <c r="J2500" s="292"/>
      <c r="K2500" s="291"/>
      <c r="L2500" s="293"/>
      <c r="M2500" s="290"/>
      <c r="N2500" s="269"/>
      <c r="O2500" s="294"/>
      <c r="P2500" s="269"/>
      <c r="Q2500" s="269"/>
      <c r="R2500" s="269"/>
      <c r="S2500" s="269"/>
      <c r="T2500" s="269"/>
      <c r="U2500" s="269"/>
    </row>
    <row r="2501" spans="5:21" s="288" customFormat="1" ht="12.75" hidden="1" x14ac:dyDescent="0.2">
      <c r="E2501" s="290"/>
      <c r="F2501" s="266"/>
      <c r="H2501" s="291"/>
      <c r="I2501" s="292"/>
      <c r="J2501" s="292"/>
      <c r="K2501" s="291"/>
      <c r="L2501" s="293"/>
      <c r="M2501" s="290"/>
      <c r="N2501" s="269"/>
      <c r="O2501" s="294"/>
      <c r="P2501" s="269"/>
      <c r="Q2501" s="269"/>
      <c r="R2501" s="269"/>
      <c r="S2501" s="269"/>
      <c r="T2501" s="269"/>
      <c r="U2501" s="269"/>
    </row>
    <row r="2502" spans="5:21" s="288" customFormat="1" ht="12.75" hidden="1" x14ac:dyDescent="0.2">
      <c r="E2502" s="290"/>
      <c r="F2502" s="266"/>
      <c r="H2502" s="291"/>
      <c r="I2502" s="292"/>
      <c r="J2502" s="292"/>
      <c r="K2502" s="291"/>
      <c r="L2502" s="293"/>
      <c r="M2502" s="290"/>
      <c r="N2502" s="269"/>
      <c r="O2502" s="294"/>
      <c r="P2502" s="269"/>
      <c r="Q2502" s="269"/>
      <c r="R2502" s="269"/>
      <c r="S2502" s="269"/>
      <c r="T2502" s="269"/>
      <c r="U2502" s="269"/>
    </row>
    <row r="2503" spans="5:21" s="288" customFormat="1" ht="12.75" hidden="1" x14ac:dyDescent="0.2">
      <c r="E2503" s="290"/>
      <c r="F2503" s="266"/>
      <c r="H2503" s="291"/>
      <c r="I2503" s="292"/>
      <c r="J2503" s="292"/>
      <c r="K2503" s="291"/>
      <c r="L2503" s="293"/>
      <c r="M2503" s="290"/>
      <c r="N2503" s="269"/>
      <c r="O2503" s="294"/>
      <c r="P2503" s="269"/>
      <c r="Q2503" s="269"/>
      <c r="R2503" s="269"/>
      <c r="S2503" s="269"/>
      <c r="T2503" s="269"/>
      <c r="U2503" s="269"/>
    </row>
    <row r="2504" spans="5:21" s="288" customFormat="1" ht="12.75" hidden="1" x14ac:dyDescent="0.2">
      <c r="E2504" s="290"/>
      <c r="F2504" s="266"/>
      <c r="H2504" s="291"/>
      <c r="I2504" s="292"/>
      <c r="J2504" s="292"/>
      <c r="K2504" s="291"/>
      <c r="L2504" s="293"/>
      <c r="M2504" s="290"/>
      <c r="N2504" s="269"/>
      <c r="O2504" s="294"/>
      <c r="P2504" s="269"/>
      <c r="Q2504" s="269"/>
      <c r="R2504" s="269"/>
      <c r="S2504" s="269"/>
      <c r="T2504" s="269"/>
      <c r="U2504" s="269"/>
    </row>
    <row r="2505" spans="5:21" s="288" customFormat="1" ht="12.75" hidden="1" x14ac:dyDescent="0.2">
      <c r="E2505" s="290"/>
      <c r="F2505" s="266"/>
      <c r="H2505" s="291"/>
      <c r="I2505" s="292"/>
      <c r="J2505" s="292"/>
      <c r="K2505" s="291"/>
      <c r="L2505" s="293"/>
      <c r="M2505" s="290"/>
      <c r="N2505" s="269"/>
      <c r="O2505" s="294"/>
      <c r="P2505" s="269"/>
      <c r="Q2505" s="269"/>
      <c r="R2505" s="269"/>
      <c r="S2505" s="269"/>
      <c r="T2505" s="269"/>
      <c r="U2505" s="269"/>
    </row>
    <row r="2506" spans="5:21" s="288" customFormat="1" ht="12.75" hidden="1" x14ac:dyDescent="0.2">
      <c r="E2506" s="290"/>
      <c r="F2506" s="266"/>
      <c r="H2506" s="291"/>
      <c r="I2506" s="292"/>
      <c r="J2506" s="292"/>
      <c r="K2506" s="291"/>
      <c r="L2506" s="293"/>
      <c r="M2506" s="290"/>
      <c r="N2506" s="269"/>
      <c r="O2506" s="294"/>
      <c r="P2506" s="269"/>
      <c r="Q2506" s="269"/>
      <c r="R2506" s="269"/>
      <c r="S2506" s="269"/>
      <c r="T2506" s="269"/>
      <c r="U2506" s="269"/>
    </row>
    <row r="2507" spans="5:21" s="288" customFormat="1" ht="12.75" hidden="1" x14ac:dyDescent="0.2">
      <c r="E2507" s="290"/>
      <c r="F2507" s="266"/>
      <c r="H2507" s="291"/>
      <c r="I2507" s="292"/>
      <c r="J2507" s="292"/>
      <c r="K2507" s="291"/>
      <c r="L2507" s="293"/>
      <c r="M2507" s="290"/>
      <c r="N2507" s="269"/>
      <c r="O2507" s="294"/>
      <c r="P2507" s="269"/>
      <c r="Q2507" s="269"/>
      <c r="R2507" s="269"/>
      <c r="S2507" s="269"/>
      <c r="T2507" s="269"/>
      <c r="U2507" s="269"/>
    </row>
    <row r="2508" spans="5:21" s="288" customFormat="1" ht="12.75" hidden="1" x14ac:dyDescent="0.2">
      <c r="E2508" s="290"/>
      <c r="F2508" s="266"/>
      <c r="H2508" s="291"/>
      <c r="I2508" s="292"/>
      <c r="J2508" s="292"/>
      <c r="K2508" s="291"/>
      <c r="L2508" s="293"/>
      <c r="M2508" s="290"/>
      <c r="N2508" s="269"/>
      <c r="O2508" s="294"/>
      <c r="P2508" s="269"/>
      <c r="Q2508" s="269"/>
      <c r="R2508" s="269"/>
      <c r="S2508" s="269"/>
      <c r="T2508" s="269"/>
      <c r="U2508" s="269"/>
    </row>
    <row r="2509" spans="5:21" s="288" customFormat="1" ht="12.75" hidden="1" x14ac:dyDescent="0.2">
      <c r="E2509" s="290"/>
      <c r="F2509" s="266"/>
      <c r="H2509" s="291"/>
      <c r="I2509" s="292"/>
      <c r="J2509" s="292"/>
      <c r="K2509" s="291"/>
      <c r="L2509" s="293"/>
      <c r="M2509" s="290"/>
      <c r="N2509" s="269"/>
      <c r="O2509" s="294"/>
      <c r="P2509" s="269"/>
      <c r="Q2509" s="269"/>
      <c r="R2509" s="269"/>
      <c r="S2509" s="269"/>
      <c r="T2509" s="269"/>
      <c r="U2509" s="269"/>
    </row>
    <row r="2510" spans="5:21" s="288" customFormat="1" ht="12.75" hidden="1" x14ac:dyDescent="0.2">
      <c r="E2510" s="290"/>
      <c r="F2510" s="266"/>
      <c r="H2510" s="291"/>
      <c r="I2510" s="292"/>
      <c r="J2510" s="292"/>
      <c r="K2510" s="291"/>
      <c r="L2510" s="293"/>
      <c r="M2510" s="290"/>
      <c r="N2510" s="269"/>
      <c r="O2510" s="294"/>
      <c r="P2510" s="269"/>
      <c r="Q2510" s="269"/>
      <c r="R2510" s="269"/>
      <c r="S2510" s="269"/>
      <c r="T2510" s="269"/>
      <c r="U2510" s="269"/>
    </row>
    <row r="2511" spans="5:21" s="288" customFormat="1" ht="12.75" hidden="1" x14ac:dyDescent="0.2">
      <c r="E2511" s="290"/>
      <c r="F2511" s="266"/>
      <c r="H2511" s="291"/>
      <c r="I2511" s="292"/>
      <c r="J2511" s="292"/>
      <c r="K2511" s="291"/>
      <c r="L2511" s="293"/>
      <c r="M2511" s="290"/>
      <c r="N2511" s="269"/>
      <c r="O2511" s="294"/>
      <c r="P2511" s="269"/>
      <c r="Q2511" s="269"/>
      <c r="R2511" s="269"/>
      <c r="S2511" s="269"/>
      <c r="T2511" s="269"/>
      <c r="U2511" s="269"/>
    </row>
    <row r="2512" spans="5:21" s="288" customFormat="1" ht="12.75" hidden="1" x14ac:dyDescent="0.2">
      <c r="E2512" s="290"/>
      <c r="F2512" s="266"/>
      <c r="H2512" s="291"/>
      <c r="I2512" s="292"/>
      <c r="J2512" s="292"/>
      <c r="K2512" s="291"/>
      <c r="L2512" s="293"/>
      <c r="M2512" s="290"/>
      <c r="N2512" s="269"/>
      <c r="O2512" s="294"/>
      <c r="P2512" s="269"/>
      <c r="Q2512" s="269"/>
      <c r="R2512" s="269"/>
      <c r="S2512" s="269"/>
      <c r="T2512" s="269"/>
      <c r="U2512" s="269"/>
    </row>
    <row r="2513" spans="5:21" s="288" customFormat="1" ht="12.75" hidden="1" x14ac:dyDescent="0.2">
      <c r="E2513" s="290"/>
      <c r="F2513" s="266"/>
      <c r="H2513" s="291"/>
      <c r="I2513" s="292"/>
      <c r="J2513" s="292"/>
      <c r="K2513" s="291"/>
      <c r="L2513" s="293"/>
      <c r="M2513" s="290"/>
      <c r="N2513" s="269"/>
      <c r="O2513" s="294"/>
      <c r="P2513" s="269"/>
      <c r="Q2513" s="269"/>
      <c r="R2513" s="269"/>
      <c r="S2513" s="269"/>
      <c r="T2513" s="269"/>
      <c r="U2513" s="269"/>
    </row>
    <row r="2514" spans="5:21" s="288" customFormat="1" ht="12.75" hidden="1" x14ac:dyDescent="0.2">
      <c r="E2514" s="290"/>
      <c r="F2514" s="266"/>
      <c r="H2514" s="291"/>
      <c r="I2514" s="292"/>
      <c r="J2514" s="292"/>
      <c r="K2514" s="291"/>
      <c r="L2514" s="293"/>
      <c r="M2514" s="290"/>
      <c r="N2514" s="269"/>
      <c r="O2514" s="294"/>
      <c r="P2514" s="269"/>
      <c r="Q2514" s="269"/>
      <c r="R2514" s="269"/>
      <c r="S2514" s="269"/>
      <c r="T2514" s="269"/>
      <c r="U2514" s="269"/>
    </row>
    <row r="2515" spans="5:21" s="288" customFormat="1" ht="12.75" hidden="1" x14ac:dyDescent="0.2">
      <c r="E2515" s="290"/>
      <c r="F2515" s="266"/>
      <c r="H2515" s="291"/>
      <c r="I2515" s="292"/>
      <c r="J2515" s="292"/>
      <c r="K2515" s="291"/>
      <c r="L2515" s="293"/>
      <c r="M2515" s="290"/>
      <c r="N2515" s="269"/>
      <c r="O2515" s="294"/>
      <c r="P2515" s="269"/>
      <c r="Q2515" s="269"/>
      <c r="R2515" s="269"/>
      <c r="S2515" s="269"/>
      <c r="T2515" s="269"/>
      <c r="U2515" s="269"/>
    </row>
    <row r="2516" spans="5:21" s="288" customFormat="1" ht="12.75" hidden="1" x14ac:dyDescent="0.2">
      <c r="E2516" s="290"/>
      <c r="F2516" s="266"/>
      <c r="H2516" s="291"/>
      <c r="I2516" s="292"/>
      <c r="J2516" s="292"/>
      <c r="K2516" s="291"/>
      <c r="L2516" s="293"/>
      <c r="M2516" s="290"/>
      <c r="N2516" s="269"/>
      <c r="O2516" s="294"/>
      <c r="P2516" s="269"/>
      <c r="Q2516" s="269"/>
      <c r="R2516" s="269"/>
      <c r="S2516" s="269"/>
      <c r="T2516" s="269"/>
      <c r="U2516" s="269"/>
    </row>
    <row r="2517" spans="5:21" s="288" customFormat="1" ht="12.75" hidden="1" x14ac:dyDescent="0.2">
      <c r="E2517" s="290"/>
      <c r="F2517" s="266"/>
      <c r="H2517" s="291"/>
      <c r="I2517" s="292"/>
      <c r="J2517" s="292"/>
      <c r="K2517" s="291"/>
      <c r="L2517" s="293"/>
      <c r="M2517" s="290"/>
      <c r="N2517" s="269"/>
      <c r="O2517" s="294"/>
      <c r="P2517" s="269"/>
      <c r="Q2517" s="269"/>
      <c r="R2517" s="269"/>
      <c r="S2517" s="269"/>
      <c r="T2517" s="269"/>
      <c r="U2517" s="269"/>
    </row>
    <row r="2518" spans="5:21" s="288" customFormat="1" ht="12.75" hidden="1" x14ac:dyDescent="0.2">
      <c r="E2518" s="290"/>
      <c r="F2518" s="266"/>
      <c r="H2518" s="291"/>
      <c r="I2518" s="292"/>
      <c r="J2518" s="292"/>
      <c r="K2518" s="291"/>
      <c r="L2518" s="293"/>
      <c r="M2518" s="290"/>
      <c r="N2518" s="269"/>
      <c r="O2518" s="294"/>
      <c r="P2518" s="269"/>
      <c r="Q2518" s="269"/>
      <c r="R2518" s="269"/>
      <c r="S2518" s="269"/>
      <c r="T2518" s="269"/>
      <c r="U2518" s="269"/>
    </row>
    <row r="2519" spans="5:21" s="288" customFormat="1" ht="12.75" hidden="1" x14ac:dyDescent="0.2">
      <c r="E2519" s="290"/>
      <c r="F2519" s="266"/>
      <c r="H2519" s="291"/>
      <c r="I2519" s="292"/>
      <c r="J2519" s="292"/>
      <c r="K2519" s="291"/>
      <c r="L2519" s="293"/>
      <c r="M2519" s="290"/>
      <c r="N2519" s="269"/>
      <c r="O2519" s="294"/>
      <c r="P2519" s="269"/>
      <c r="Q2519" s="269"/>
      <c r="R2519" s="269"/>
      <c r="S2519" s="269"/>
      <c r="T2519" s="269"/>
      <c r="U2519" s="269"/>
    </row>
    <row r="2520" spans="5:21" s="288" customFormat="1" ht="12.75" hidden="1" x14ac:dyDescent="0.2">
      <c r="E2520" s="290"/>
      <c r="F2520" s="266"/>
      <c r="H2520" s="291"/>
      <c r="I2520" s="292"/>
      <c r="J2520" s="292"/>
      <c r="K2520" s="291"/>
      <c r="L2520" s="293"/>
      <c r="M2520" s="290"/>
      <c r="N2520" s="269"/>
      <c r="O2520" s="294"/>
      <c r="P2520" s="269"/>
      <c r="Q2520" s="269"/>
      <c r="R2520" s="269"/>
      <c r="S2520" s="269"/>
      <c r="T2520" s="269"/>
      <c r="U2520" s="269"/>
    </row>
    <row r="2521" spans="5:21" s="288" customFormat="1" ht="12.75" hidden="1" x14ac:dyDescent="0.2">
      <c r="E2521" s="290"/>
      <c r="F2521" s="266"/>
      <c r="H2521" s="291"/>
      <c r="I2521" s="292"/>
      <c r="J2521" s="292"/>
      <c r="K2521" s="291"/>
      <c r="L2521" s="293"/>
      <c r="M2521" s="290"/>
      <c r="N2521" s="269"/>
      <c r="O2521" s="294"/>
      <c r="P2521" s="269"/>
      <c r="Q2521" s="269"/>
      <c r="R2521" s="269"/>
      <c r="S2521" s="269"/>
      <c r="T2521" s="269"/>
      <c r="U2521" s="269"/>
    </row>
    <row r="2522" spans="5:21" s="288" customFormat="1" ht="12.75" hidden="1" x14ac:dyDescent="0.2">
      <c r="E2522" s="290"/>
      <c r="F2522" s="266"/>
      <c r="H2522" s="291"/>
      <c r="I2522" s="292"/>
      <c r="J2522" s="292"/>
      <c r="K2522" s="291"/>
      <c r="L2522" s="293"/>
      <c r="M2522" s="290"/>
      <c r="N2522" s="269"/>
      <c r="O2522" s="294"/>
      <c r="P2522" s="269"/>
      <c r="Q2522" s="269"/>
      <c r="R2522" s="269"/>
      <c r="S2522" s="269"/>
      <c r="T2522" s="269"/>
      <c r="U2522" s="269"/>
    </row>
    <row r="2523" spans="5:21" s="288" customFormat="1" ht="12.75" hidden="1" x14ac:dyDescent="0.2">
      <c r="E2523" s="290"/>
      <c r="F2523" s="266"/>
      <c r="H2523" s="291"/>
      <c r="I2523" s="292"/>
      <c r="J2523" s="292"/>
      <c r="K2523" s="291"/>
      <c r="L2523" s="293"/>
      <c r="M2523" s="290"/>
      <c r="N2523" s="269"/>
      <c r="O2523" s="294"/>
      <c r="P2523" s="269"/>
      <c r="Q2523" s="269"/>
      <c r="R2523" s="269"/>
      <c r="S2523" s="269"/>
      <c r="T2523" s="269"/>
      <c r="U2523" s="269"/>
    </row>
    <row r="2524" spans="5:21" s="288" customFormat="1" ht="12.75" hidden="1" x14ac:dyDescent="0.2">
      <c r="E2524" s="290"/>
      <c r="F2524" s="266"/>
      <c r="H2524" s="291"/>
      <c r="I2524" s="292"/>
      <c r="J2524" s="292"/>
      <c r="K2524" s="291"/>
      <c r="L2524" s="293"/>
      <c r="M2524" s="290"/>
      <c r="N2524" s="269"/>
      <c r="O2524" s="294"/>
      <c r="P2524" s="269"/>
      <c r="Q2524" s="269"/>
      <c r="R2524" s="269"/>
      <c r="S2524" s="269"/>
      <c r="T2524" s="269"/>
      <c r="U2524" s="269"/>
    </row>
    <row r="2525" spans="5:21" s="288" customFormat="1" ht="12.75" hidden="1" x14ac:dyDescent="0.2">
      <c r="E2525" s="290"/>
      <c r="F2525" s="266"/>
      <c r="H2525" s="291"/>
      <c r="I2525" s="292"/>
      <c r="J2525" s="292"/>
      <c r="K2525" s="291"/>
      <c r="L2525" s="293"/>
      <c r="M2525" s="290"/>
      <c r="N2525" s="269"/>
      <c r="O2525" s="294"/>
      <c r="P2525" s="269"/>
      <c r="Q2525" s="269"/>
      <c r="R2525" s="269"/>
      <c r="S2525" s="269"/>
      <c r="T2525" s="269"/>
      <c r="U2525" s="269"/>
    </row>
    <row r="2526" spans="5:21" s="288" customFormat="1" ht="12.75" hidden="1" x14ac:dyDescent="0.2">
      <c r="E2526" s="290"/>
      <c r="F2526" s="266"/>
      <c r="H2526" s="291"/>
      <c r="I2526" s="292"/>
      <c r="J2526" s="292"/>
      <c r="K2526" s="291"/>
      <c r="L2526" s="293"/>
      <c r="M2526" s="290"/>
      <c r="N2526" s="269"/>
      <c r="O2526" s="294"/>
      <c r="P2526" s="269"/>
      <c r="Q2526" s="269"/>
      <c r="R2526" s="269"/>
      <c r="S2526" s="269"/>
      <c r="T2526" s="269"/>
      <c r="U2526" s="269"/>
    </row>
    <row r="2527" spans="5:21" s="288" customFormat="1" ht="12.75" hidden="1" x14ac:dyDescent="0.2">
      <c r="E2527" s="290"/>
      <c r="F2527" s="266"/>
      <c r="H2527" s="291"/>
      <c r="I2527" s="292"/>
      <c r="J2527" s="292"/>
      <c r="K2527" s="291"/>
      <c r="L2527" s="293"/>
      <c r="M2527" s="290"/>
      <c r="N2527" s="269"/>
      <c r="O2527" s="294"/>
      <c r="P2527" s="269"/>
      <c r="Q2527" s="269"/>
      <c r="R2527" s="269"/>
      <c r="S2527" s="269"/>
      <c r="T2527" s="269"/>
      <c r="U2527" s="269"/>
    </row>
    <row r="2528" spans="5:21" s="288" customFormat="1" ht="12.75" hidden="1" x14ac:dyDescent="0.2">
      <c r="E2528" s="290"/>
      <c r="F2528" s="266"/>
      <c r="H2528" s="291"/>
      <c r="I2528" s="292"/>
      <c r="J2528" s="292"/>
      <c r="K2528" s="291"/>
      <c r="L2528" s="293"/>
      <c r="M2528" s="290"/>
      <c r="N2528" s="269"/>
      <c r="O2528" s="294"/>
      <c r="P2528" s="269"/>
      <c r="Q2528" s="269"/>
      <c r="R2528" s="269"/>
      <c r="S2528" s="269"/>
      <c r="T2528" s="269"/>
      <c r="U2528" s="269"/>
    </row>
  </sheetData>
  <sheetProtection algorithmName="SHA-512" hashValue="aKrPbCL1k8oHDhcPaMVvK3moVfH7BYkyRPQ9Zrm/j/NvgSzAPYYPgHTGFRkXPqYwIHyegMKpefZPn2qpE4cFrg==" saltValue="S7csjRQRQZ6W9eJ9T+QRVg==" spinCount="100000" sheet="1" objects="1" scenarios="1"/>
  <mergeCells count="26">
    <mergeCell ref="D2:L2"/>
    <mergeCell ref="D3:L3"/>
    <mergeCell ref="D6:E6"/>
    <mergeCell ref="F6:H6"/>
    <mergeCell ref="D8:E8"/>
    <mergeCell ref="H8:L8"/>
    <mergeCell ref="I9:I11"/>
    <mergeCell ref="J9:L11"/>
    <mergeCell ref="H11:H13"/>
    <mergeCell ref="I12:I14"/>
    <mergeCell ref="J12:L14"/>
    <mergeCell ref="H14:H16"/>
    <mergeCell ref="I15:I17"/>
    <mergeCell ref="J15:M17"/>
    <mergeCell ref="H24:L24"/>
    <mergeCell ref="F26:G26"/>
    <mergeCell ref="D17:D18"/>
    <mergeCell ref="E17:E18"/>
    <mergeCell ref="H17:H19"/>
    <mergeCell ref="I18:I20"/>
    <mergeCell ref="J18:L20"/>
    <mergeCell ref="H20:H22"/>
    <mergeCell ref="D21:D22"/>
    <mergeCell ref="E21:E22"/>
    <mergeCell ref="I21:I23"/>
    <mergeCell ref="J21:L23"/>
  </mergeCells>
  <conditionalFormatting sqref="D27:L1026">
    <cfRule type="expression" dxfId="35" priority="1">
      <formula>$A27=""</formula>
    </cfRule>
  </conditionalFormatting>
  <pageMargins left="0.7" right="0.7" top="0.75" bottom="0.75" header="0.3" footer="0.3"/>
  <pageSetup scale="61" fitToHeight="0" orientation="portrait" r:id="rId1"/>
  <headerFooter>
    <oddFooter>&amp;L&amp;10
PPL Direct Discount Assessment Report&amp;R&amp;10&amp;D &amp;T</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1489"/>
  </sheetPr>
  <dimension ref="A1:J107"/>
  <sheetViews>
    <sheetView showGridLines="0" zoomScaleNormal="100" workbookViewId="0">
      <selection activeCell="F72" sqref="F72"/>
    </sheetView>
  </sheetViews>
  <sheetFormatPr defaultColWidth="8.625" defaultRowHeight="14.25" x14ac:dyDescent="0.2"/>
  <cols>
    <col min="1" max="1" width="3.125" style="1" customWidth="1"/>
    <col min="2" max="2" width="35.125" style="1" customWidth="1"/>
    <col min="3" max="3" width="35.625" style="1" customWidth="1"/>
    <col min="4" max="4" width="47.625" style="1" customWidth="1"/>
    <col min="5" max="5" width="8.625" style="1"/>
    <col min="6" max="6" width="8.625" style="1" customWidth="1"/>
    <col min="7" max="10" width="8.625" style="1"/>
    <col min="11" max="11" width="17.125" style="1" customWidth="1"/>
    <col min="12" max="16384" width="8.625" style="1"/>
  </cols>
  <sheetData>
    <row r="1" spans="1:10" customFormat="1" ht="62.25" customHeight="1" x14ac:dyDescent="0.2">
      <c r="A1" s="842"/>
      <c r="B1" s="842"/>
      <c r="C1" s="842"/>
      <c r="D1" s="842"/>
      <c r="E1" s="842"/>
      <c r="F1" s="842"/>
      <c r="G1" s="842"/>
      <c r="H1" s="842"/>
      <c r="I1" s="842"/>
      <c r="J1" s="842"/>
    </row>
    <row r="2" spans="1:10" ht="34.5" x14ac:dyDescent="0.5">
      <c r="B2" s="85" t="str">
        <f>CR_Utility_Alt &amp; " Estimator for Commercial Refrigeration Measures"</f>
        <v>PPL Electric Estimator for Commercial Refrigeration Measures</v>
      </c>
      <c r="C2" s="2"/>
      <c r="D2" s="2"/>
    </row>
    <row r="3" spans="1:10" ht="6" customHeight="1" x14ac:dyDescent="0.2"/>
    <row r="4" spans="1:10" ht="81.75" customHeight="1" x14ac:dyDescent="0.2">
      <c r="B4" s="832" t="s">
        <v>891</v>
      </c>
      <c r="C4" s="833"/>
      <c r="D4" s="833"/>
      <c r="E4" s="833"/>
      <c r="F4" s="833"/>
      <c r="G4" s="833"/>
      <c r="H4" s="833"/>
    </row>
    <row r="5" spans="1:10" x14ac:dyDescent="0.2">
      <c r="B5" s="23"/>
      <c r="C5" s="23"/>
      <c r="D5" s="23"/>
    </row>
    <row r="6" spans="1:10" ht="24.75" customHeight="1" x14ac:dyDescent="0.2">
      <c r="B6" s="826" t="s">
        <v>85</v>
      </c>
      <c r="C6" s="827"/>
      <c r="D6" s="5"/>
    </row>
    <row r="7" spans="1:10" ht="22.35" customHeight="1" x14ac:dyDescent="0.2">
      <c r="B7" s="828" t="s">
        <v>86</v>
      </c>
      <c r="C7" s="828"/>
      <c r="D7" s="6"/>
    </row>
    <row r="8" spans="1:10" ht="22.35" customHeight="1" x14ac:dyDescent="0.2">
      <c r="B8" s="829" t="s">
        <v>87</v>
      </c>
      <c r="C8" s="829"/>
      <c r="D8" s="6"/>
    </row>
    <row r="9" spans="1:10" ht="15" x14ac:dyDescent="0.25">
      <c r="B9" s="4"/>
      <c r="C9" s="4"/>
      <c r="D9" s="4"/>
    </row>
    <row r="10" spans="1:10" ht="26.85" customHeight="1" x14ac:dyDescent="0.25">
      <c r="B10" s="830" t="s">
        <v>88</v>
      </c>
      <c r="C10" s="831"/>
      <c r="D10" s="4"/>
    </row>
    <row r="11" spans="1:10" ht="22.35" hidden="1" customHeight="1" x14ac:dyDescent="0.2">
      <c r="B11" s="80" t="s">
        <v>89</v>
      </c>
      <c r="C11" s="3"/>
      <c r="D11" s="24"/>
    </row>
    <row r="12" spans="1:10" ht="22.35" hidden="1" customHeight="1" x14ac:dyDescent="0.2">
      <c r="B12" s="835" t="s">
        <v>90</v>
      </c>
      <c r="C12" s="835"/>
      <c r="D12" s="835"/>
    </row>
    <row r="13" spans="1:10" ht="11.1" hidden="1" customHeight="1" x14ac:dyDescent="0.2"/>
    <row r="14" spans="1:10" ht="22.35" customHeight="1" x14ac:dyDescent="0.2">
      <c r="B14" s="80" t="s">
        <v>91</v>
      </c>
      <c r="C14" s="3"/>
      <c r="D14" s="24"/>
    </row>
    <row r="15" spans="1:10" ht="22.35" customHeight="1" x14ac:dyDescent="0.2">
      <c r="B15" s="835" t="s">
        <v>92</v>
      </c>
      <c r="C15" s="835"/>
      <c r="D15" s="835"/>
    </row>
    <row r="16" spans="1:10" ht="11.1" customHeight="1" x14ac:dyDescent="0.2"/>
    <row r="17" spans="2:4" ht="22.35" customHeight="1" x14ac:dyDescent="0.2">
      <c r="B17" s="80" t="s">
        <v>93</v>
      </c>
      <c r="C17" s="81"/>
      <c r="D17" s="79"/>
    </row>
    <row r="18" spans="2:4" ht="48" customHeight="1" x14ac:dyDescent="0.2">
      <c r="B18" s="839" t="s">
        <v>94</v>
      </c>
      <c r="C18" s="839"/>
      <c r="D18" s="839"/>
    </row>
    <row r="19" spans="2:4" ht="11.1" customHeight="1" x14ac:dyDescent="0.2">
      <c r="B19" s="79"/>
      <c r="C19" s="79"/>
      <c r="D19" s="79"/>
    </row>
    <row r="20" spans="2:4" ht="22.35" customHeight="1" x14ac:dyDescent="0.2">
      <c r="B20" s="80" t="s">
        <v>95</v>
      </c>
      <c r="C20" s="81"/>
      <c r="D20" s="79"/>
    </row>
    <row r="21" spans="2:4" ht="31.5" customHeight="1" x14ac:dyDescent="0.2">
      <c r="B21" s="839" t="s">
        <v>96</v>
      </c>
      <c r="C21" s="839"/>
      <c r="D21" s="839"/>
    </row>
    <row r="22" spans="2:4" ht="11.1" hidden="1" customHeight="1" x14ac:dyDescent="0.2">
      <c r="B22" s="79"/>
      <c r="C22" s="79"/>
      <c r="D22" s="79"/>
    </row>
    <row r="23" spans="2:4" ht="22.35" hidden="1" customHeight="1" x14ac:dyDescent="0.2">
      <c r="B23" s="80" t="s">
        <v>97</v>
      </c>
      <c r="C23" s="81"/>
      <c r="D23" s="79"/>
    </row>
    <row r="24" spans="2:4" ht="22.35" hidden="1" customHeight="1" x14ac:dyDescent="0.2">
      <c r="B24" s="839" t="s">
        <v>98</v>
      </c>
      <c r="C24" s="839"/>
      <c r="D24" s="839"/>
    </row>
    <row r="25" spans="2:4" ht="11.1" customHeight="1" x14ac:dyDescent="0.2">
      <c r="B25" s="79"/>
      <c r="C25" s="79"/>
      <c r="D25" s="79"/>
    </row>
    <row r="26" spans="2:4" ht="22.35" customHeight="1" x14ac:dyDescent="0.2">
      <c r="B26" s="80" t="s">
        <v>99</v>
      </c>
      <c r="C26" s="81"/>
      <c r="D26" s="79"/>
    </row>
    <row r="27" spans="2:4" ht="30" customHeight="1" x14ac:dyDescent="0.2">
      <c r="B27" s="839" t="s">
        <v>100</v>
      </c>
      <c r="C27" s="839"/>
      <c r="D27" s="839"/>
    </row>
    <row r="28" spans="2:4" ht="11.1" customHeight="1" x14ac:dyDescent="0.2">
      <c r="B28" s="79"/>
      <c r="C28" s="79"/>
      <c r="D28" s="79"/>
    </row>
    <row r="29" spans="2:4" ht="22.35" customHeight="1" x14ac:dyDescent="0.2">
      <c r="B29" s="80" t="s">
        <v>101</v>
      </c>
      <c r="C29" s="81"/>
      <c r="D29" s="79"/>
    </row>
    <row r="30" spans="2:4" ht="33.75" customHeight="1" x14ac:dyDescent="0.2">
      <c r="B30" s="839" t="s">
        <v>102</v>
      </c>
      <c r="C30" s="839"/>
      <c r="D30" s="839"/>
    </row>
    <row r="31" spans="2:4" ht="11.1" customHeight="1" x14ac:dyDescent="0.2">
      <c r="B31" s="79"/>
      <c r="C31" s="79"/>
      <c r="D31" s="79"/>
    </row>
    <row r="32" spans="2:4" ht="22.35" customHeight="1" x14ac:dyDescent="0.2">
      <c r="B32" s="80" t="s">
        <v>103</v>
      </c>
      <c r="C32" s="81"/>
      <c r="D32" s="79"/>
    </row>
    <row r="33" spans="2:4" ht="31.5" customHeight="1" x14ac:dyDescent="0.2">
      <c r="B33" s="839" t="s">
        <v>104</v>
      </c>
      <c r="C33" s="839"/>
      <c r="D33" s="839"/>
    </row>
    <row r="34" spans="2:4" ht="11.1" customHeight="1" x14ac:dyDescent="0.2">
      <c r="B34" s="79"/>
      <c r="C34" s="79"/>
      <c r="D34" s="79"/>
    </row>
    <row r="35" spans="2:4" ht="22.35" customHeight="1" x14ac:dyDescent="0.2">
      <c r="B35" s="80" t="s">
        <v>105</v>
      </c>
      <c r="C35" s="81"/>
      <c r="D35" s="79"/>
    </row>
    <row r="36" spans="2:4" ht="51.75" customHeight="1" x14ac:dyDescent="0.2">
      <c r="B36" s="839" t="s">
        <v>106</v>
      </c>
      <c r="C36" s="839"/>
      <c r="D36" s="839"/>
    </row>
    <row r="37" spans="2:4" ht="11.1" customHeight="1" x14ac:dyDescent="0.2">
      <c r="B37" s="79"/>
      <c r="C37" s="79"/>
      <c r="D37" s="79"/>
    </row>
    <row r="38" spans="2:4" ht="22.35" customHeight="1" x14ac:dyDescent="0.2">
      <c r="B38" s="80" t="s">
        <v>107</v>
      </c>
      <c r="C38" s="81"/>
      <c r="D38" s="79"/>
    </row>
    <row r="39" spans="2:4" ht="22.35" customHeight="1" x14ac:dyDescent="0.2">
      <c r="B39" s="839" t="s">
        <v>108</v>
      </c>
      <c r="C39" s="839"/>
      <c r="D39" s="839"/>
    </row>
    <row r="40" spans="2:4" ht="11.1" customHeight="1" x14ac:dyDescent="0.2">
      <c r="B40" s="79"/>
      <c r="C40" s="79"/>
      <c r="D40" s="79"/>
    </row>
    <row r="41" spans="2:4" ht="22.35" customHeight="1" x14ac:dyDescent="0.2">
      <c r="B41" s="80" t="s">
        <v>109</v>
      </c>
      <c r="C41" s="81"/>
      <c r="D41" s="79"/>
    </row>
    <row r="42" spans="2:4" ht="30.75" customHeight="1" x14ac:dyDescent="0.2">
      <c r="B42" s="839" t="s">
        <v>110</v>
      </c>
      <c r="C42" s="839"/>
      <c r="D42" s="839"/>
    </row>
    <row r="43" spans="2:4" ht="11.1" customHeight="1" x14ac:dyDescent="0.2">
      <c r="B43" s="79"/>
      <c r="C43" s="79"/>
      <c r="D43" s="79"/>
    </row>
    <row r="44" spans="2:4" ht="22.35" customHeight="1" x14ac:dyDescent="0.2">
      <c r="B44" s="80" t="s">
        <v>111</v>
      </c>
      <c r="C44" s="81"/>
      <c r="D44" s="79"/>
    </row>
    <row r="45" spans="2:4" ht="36" customHeight="1" x14ac:dyDescent="0.2">
      <c r="B45" s="839" t="s">
        <v>112</v>
      </c>
      <c r="C45" s="839"/>
      <c r="D45" s="839"/>
    </row>
    <row r="46" spans="2:4" ht="11.1" customHeight="1" x14ac:dyDescent="0.2">
      <c r="B46" s="79"/>
      <c r="C46" s="79"/>
      <c r="D46" s="79"/>
    </row>
    <row r="47" spans="2:4" ht="22.35" hidden="1" customHeight="1" x14ac:dyDescent="0.2">
      <c r="B47" s="80" t="s">
        <v>113</v>
      </c>
      <c r="C47" s="81"/>
      <c r="D47" s="79"/>
    </row>
    <row r="48" spans="2:4" ht="45.75" hidden="1" customHeight="1" x14ac:dyDescent="0.2">
      <c r="B48" s="839" t="s">
        <v>114</v>
      </c>
      <c r="C48" s="839"/>
      <c r="D48" s="839"/>
    </row>
    <row r="49" spans="2:4" ht="11.1" hidden="1" customHeight="1" x14ac:dyDescent="0.2">
      <c r="B49" s="79"/>
      <c r="C49" s="79"/>
      <c r="D49" s="79"/>
    </row>
    <row r="50" spans="2:4" ht="22.35" hidden="1" customHeight="1" x14ac:dyDescent="0.2">
      <c r="B50" s="80" t="s">
        <v>115</v>
      </c>
      <c r="C50" s="81"/>
      <c r="D50" s="79"/>
    </row>
    <row r="51" spans="2:4" ht="63.75" hidden="1" customHeight="1" x14ac:dyDescent="0.2">
      <c r="B51" s="839" t="s">
        <v>116</v>
      </c>
      <c r="C51" s="839"/>
      <c r="D51" s="839"/>
    </row>
    <row r="52" spans="2:4" ht="11.1" hidden="1" customHeight="1" x14ac:dyDescent="0.2">
      <c r="B52" s="79"/>
      <c r="C52" s="79"/>
      <c r="D52" s="79"/>
    </row>
    <row r="53" spans="2:4" ht="22.35" hidden="1" customHeight="1" x14ac:dyDescent="0.2">
      <c r="B53" s="80" t="s">
        <v>117</v>
      </c>
      <c r="C53" s="81"/>
      <c r="D53" s="79"/>
    </row>
    <row r="54" spans="2:4" ht="44.25" hidden="1" customHeight="1" x14ac:dyDescent="0.2">
      <c r="B54" s="839" t="s">
        <v>118</v>
      </c>
      <c r="C54" s="839"/>
      <c r="D54" s="839"/>
    </row>
    <row r="55" spans="2:4" ht="11.1" hidden="1" customHeight="1" x14ac:dyDescent="0.2">
      <c r="B55" s="79"/>
      <c r="C55" s="79"/>
      <c r="D55" s="79"/>
    </row>
    <row r="56" spans="2:4" ht="22.35" customHeight="1" x14ac:dyDescent="0.2">
      <c r="B56" s="80" t="s">
        <v>119</v>
      </c>
      <c r="C56" s="81"/>
      <c r="D56" s="79"/>
    </row>
    <row r="57" spans="2:4" ht="36" customHeight="1" x14ac:dyDescent="0.2">
      <c r="B57" s="839" t="s">
        <v>120</v>
      </c>
      <c r="C57" s="839"/>
      <c r="D57" s="839"/>
    </row>
    <row r="58" spans="2:4" ht="11.1" customHeight="1" x14ac:dyDescent="0.2">
      <c r="B58" s="79"/>
      <c r="C58" s="79"/>
      <c r="D58" s="79"/>
    </row>
    <row r="59" spans="2:4" ht="22.35" customHeight="1" x14ac:dyDescent="0.2">
      <c r="B59" s="80" t="s">
        <v>121</v>
      </c>
      <c r="C59" s="81"/>
      <c r="D59" s="79"/>
    </row>
    <row r="60" spans="2:4" ht="47.25" customHeight="1" x14ac:dyDescent="0.2">
      <c r="B60" s="839" t="s">
        <v>122</v>
      </c>
      <c r="C60" s="839"/>
      <c r="D60" s="839"/>
    </row>
    <row r="61" spans="2:4" ht="11.1" customHeight="1" x14ac:dyDescent="0.2">
      <c r="B61" s="79"/>
      <c r="C61" s="79"/>
      <c r="D61" s="79"/>
    </row>
    <row r="62" spans="2:4" ht="22.35" customHeight="1" x14ac:dyDescent="0.2">
      <c r="B62" s="80" t="s">
        <v>123</v>
      </c>
      <c r="C62" s="81"/>
      <c r="D62" s="79"/>
    </row>
    <row r="63" spans="2:4" ht="22.35" customHeight="1" x14ac:dyDescent="0.2">
      <c r="B63" s="839" t="s">
        <v>124</v>
      </c>
      <c r="C63" s="839"/>
      <c r="D63" s="839"/>
    </row>
    <row r="64" spans="2:4" ht="15" x14ac:dyDescent="0.25">
      <c r="B64" s="4"/>
      <c r="C64" s="4"/>
      <c r="D64" s="4"/>
    </row>
    <row r="65" spans="2:4" ht="27.6" customHeight="1" x14ac:dyDescent="0.25">
      <c r="B65" s="830" t="s">
        <v>125</v>
      </c>
      <c r="C65" s="831"/>
      <c r="D65" s="4"/>
    </row>
    <row r="66" spans="2:4" ht="22.35" customHeight="1" x14ac:dyDescent="0.2">
      <c r="B66" s="82" t="s">
        <v>126</v>
      </c>
      <c r="C66" s="838" t="s">
        <v>127</v>
      </c>
      <c r="D66" s="838"/>
    </row>
    <row r="67" spans="2:4" ht="22.35" customHeight="1" x14ac:dyDescent="0.2">
      <c r="B67" s="82" t="s">
        <v>128</v>
      </c>
      <c r="C67" s="836" t="s">
        <v>129</v>
      </c>
      <c r="D67" s="837"/>
    </row>
    <row r="68" spans="2:4" ht="22.35" customHeight="1" x14ac:dyDescent="0.2">
      <c r="B68" s="82" t="s">
        <v>130</v>
      </c>
      <c r="C68" s="840" t="s">
        <v>131</v>
      </c>
      <c r="D68" s="841"/>
    </row>
    <row r="69" spans="2:4" ht="22.35" customHeight="1" x14ac:dyDescent="0.2">
      <c r="B69" s="82" t="s">
        <v>132</v>
      </c>
      <c r="C69" s="840" t="s">
        <v>133</v>
      </c>
      <c r="D69" s="841"/>
    </row>
    <row r="70" spans="2:4" ht="22.35" customHeight="1" x14ac:dyDescent="0.2">
      <c r="B70" s="82" t="s">
        <v>134</v>
      </c>
      <c r="C70" s="840" t="s">
        <v>135</v>
      </c>
      <c r="D70" s="841"/>
    </row>
    <row r="71" spans="2:4" ht="22.35" customHeight="1" x14ac:dyDescent="0.2">
      <c r="B71" s="82" t="s">
        <v>136</v>
      </c>
      <c r="C71" s="840" t="s">
        <v>137</v>
      </c>
      <c r="D71" s="841"/>
    </row>
    <row r="72" spans="2:4" ht="27.75" customHeight="1" x14ac:dyDescent="0.2">
      <c r="B72" s="82" t="s">
        <v>138</v>
      </c>
      <c r="C72" s="840" t="s">
        <v>892</v>
      </c>
      <c r="D72" s="841"/>
    </row>
    <row r="73" spans="2:4" ht="22.35" customHeight="1" x14ac:dyDescent="0.2">
      <c r="B73" s="82" t="s">
        <v>139</v>
      </c>
      <c r="C73" s="840" t="s">
        <v>140</v>
      </c>
      <c r="D73" s="841"/>
    </row>
    <row r="74" spans="2:4" ht="22.35" customHeight="1" x14ac:dyDescent="0.2">
      <c r="B74" s="82" t="s">
        <v>141</v>
      </c>
      <c r="C74" s="840" t="s">
        <v>142</v>
      </c>
      <c r="D74" s="841"/>
    </row>
    <row r="75" spans="2:4" ht="22.35" customHeight="1" x14ac:dyDescent="0.2">
      <c r="B75" s="82" t="s">
        <v>143</v>
      </c>
      <c r="C75" s="840" t="s">
        <v>144</v>
      </c>
      <c r="D75" s="841"/>
    </row>
    <row r="76" spans="2:4" ht="22.35" customHeight="1" x14ac:dyDescent="0.2">
      <c r="B76" s="82" t="s">
        <v>145</v>
      </c>
      <c r="C76" s="840" t="s">
        <v>146</v>
      </c>
      <c r="D76" s="841"/>
    </row>
    <row r="77" spans="2:4" ht="22.35" customHeight="1" x14ac:dyDescent="0.2">
      <c r="B77" s="82" t="s">
        <v>147</v>
      </c>
      <c r="C77" s="840" t="s">
        <v>148</v>
      </c>
      <c r="D77" s="841"/>
    </row>
    <row r="78" spans="2:4" ht="22.35" customHeight="1" x14ac:dyDescent="0.2">
      <c r="B78" s="82" t="s">
        <v>149</v>
      </c>
      <c r="C78" s="840" t="s">
        <v>150</v>
      </c>
      <c r="D78" s="841"/>
    </row>
    <row r="79" spans="2:4" ht="22.35" customHeight="1" x14ac:dyDescent="0.2">
      <c r="B79" s="82" t="s">
        <v>151</v>
      </c>
      <c r="C79" s="840" t="s">
        <v>152</v>
      </c>
      <c r="D79" s="841"/>
    </row>
    <row r="80" spans="2:4" ht="22.35" customHeight="1" x14ac:dyDescent="0.2">
      <c r="B80" s="82" t="s">
        <v>153</v>
      </c>
      <c r="C80" s="840" t="s">
        <v>154</v>
      </c>
      <c r="D80" s="841"/>
    </row>
    <row r="81" spans="2:8" ht="22.35" customHeight="1" x14ac:dyDescent="0.2">
      <c r="B81" s="82" t="s">
        <v>155</v>
      </c>
      <c r="C81" s="840" t="s">
        <v>156</v>
      </c>
      <c r="D81" s="841"/>
    </row>
    <row r="82" spans="2:8" ht="22.35" customHeight="1" x14ac:dyDescent="0.2">
      <c r="B82" s="82" t="s">
        <v>157</v>
      </c>
      <c r="C82" s="840" t="s">
        <v>158</v>
      </c>
      <c r="D82" s="841"/>
    </row>
    <row r="83" spans="2:8" ht="22.35" customHeight="1" x14ac:dyDescent="0.2">
      <c r="B83" s="82" t="s">
        <v>159</v>
      </c>
      <c r="C83" s="840" t="s">
        <v>160</v>
      </c>
      <c r="D83" s="841"/>
    </row>
    <row r="84" spans="2:8" ht="22.35" customHeight="1" x14ac:dyDescent="0.2">
      <c r="B84" s="82" t="s">
        <v>161</v>
      </c>
      <c r="C84" s="840" t="s">
        <v>162</v>
      </c>
      <c r="D84" s="841"/>
    </row>
    <row r="85" spans="2:8" ht="22.35" customHeight="1" x14ac:dyDescent="0.2">
      <c r="B85" s="82" t="s">
        <v>163</v>
      </c>
      <c r="C85" s="840" t="s">
        <v>164</v>
      </c>
      <c r="D85" s="841"/>
    </row>
    <row r="86" spans="2:8" ht="22.35" customHeight="1" x14ac:dyDescent="0.2">
      <c r="B86" s="82" t="s">
        <v>165</v>
      </c>
      <c r="C86" s="840" t="s">
        <v>166</v>
      </c>
      <c r="D86" s="841"/>
    </row>
    <row r="87" spans="2:8" ht="22.35" customHeight="1" x14ac:dyDescent="0.2">
      <c r="B87" s="82" t="s">
        <v>167</v>
      </c>
      <c r="C87" s="840" t="s">
        <v>168</v>
      </c>
      <c r="D87" s="841"/>
    </row>
    <row r="88" spans="2:8" ht="22.35" customHeight="1" x14ac:dyDescent="0.2">
      <c r="B88" s="82" t="s">
        <v>169</v>
      </c>
      <c r="C88" s="840" t="s">
        <v>170</v>
      </c>
      <c r="D88" s="841"/>
    </row>
    <row r="89" spans="2:8" ht="22.35" customHeight="1" x14ac:dyDescent="0.2">
      <c r="B89" s="82" t="s">
        <v>171</v>
      </c>
      <c r="C89" s="840" t="s">
        <v>172</v>
      </c>
      <c r="D89" s="841"/>
      <c r="H89" s="84"/>
    </row>
    <row r="90" spans="2:8" ht="22.35" customHeight="1" x14ac:dyDescent="0.2">
      <c r="B90" s="82" t="s">
        <v>173</v>
      </c>
      <c r="C90" s="840" t="s">
        <v>174</v>
      </c>
      <c r="D90" s="841"/>
      <c r="H90" s="84"/>
    </row>
    <row r="91" spans="2:8" ht="22.35" customHeight="1" x14ac:dyDescent="0.2">
      <c r="B91" s="82" t="s">
        <v>175</v>
      </c>
      <c r="C91" s="840" t="s">
        <v>176</v>
      </c>
      <c r="D91" s="841"/>
      <c r="H91" s="84"/>
    </row>
    <row r="92" spans="2:8" ht="22.35" customHeight="1" x14ac:dyDescent="0.2">
      <c r="B92" s="82" t="s">
        <v>177</v>
      </c>
      <c r="C92" s="840" t="s">
        <v>178</v>
      </c>
      <c r="D92" s="841"/>
    </row>
    <row r="93" spans="2:8" ht="22.35" customHeight="1" x14ac:dyDescent="0.2">
      <c r="B93" s="82" t="s">
        <v>179</v>
      </c>
      <c r="C93" s="840" t="s">
        <v>180</v>
      </c>
      <c r="D93" s="841"/>
    </row>
    <row r="94" spans="2:8" ht="22.35" customHeight="1" x14ac:dyDescent="0.2">
      <c r="B94" s="82" t="s">
        <v>181</v>
      </c>
      <c r="C94" s="840" t="s">
        <v>182</v>
      </c>
      <c r="D94" s="841"/>
    </row>
    <row r="95" spans="2:8" ht="22.35" customHeight="1" x14ac:dyDescent="0.2">
      <c r="B95" s="82" t="s">
        <v>183</v>
      </c>
      <c r="C95" s="840" t="s">
        <v>184</v>
      </c>
      <c r="D95" s="841"/>
    </row>
    <row r="96" spans="2:8" ht="22.35" customHeight="1" x14ac:dyDescent="0.2">
      <c r="B96" s="82" t="s">
        <v>185</v>
      </c>
      <c r="C96" s="840" t="s">
        <v>186</v>
      </c>
      <c r="D96" s="841"/>
    </row>
    <row r="97" spans="2:4" ht="22.35" customHeight="1" x14ac:dyDescent="0.2">
      <c r="B97" s="82" t="s">
        <v>187</v>
      </c>
      <c r="C97" s="840" t="s">
        <v>188</v>
      </c>
      <c r="D97" s="841"/>
    </row>
    <row r="98" spans="2:4" ht="22.35" customHeight="1" x14ac:dyDescent="0.2">
      <c r="B98" s="82" t="s">
        <v>189</v>
      </c>
      <c r="C98" s="838" t="s">
        <v>190</v>
      </c>
      <c r="D98" s="838"/>
    </row>
    <row r="99" spans="2:4" ht="15" x14ac:dyDescent="0.25">
      <c r="B99" s="4"/>
      <c r="C99" s="4"/>
      <c r="D99" s="4"/>
    </row>
    <row r="100" spans="2:4" ht="26.85" customHeight="1" x14ac:dyDescent="0.25">
      <c r="B100" s="830" t="s">
        <v>191</v>
      </c>
      <c r="C100" s="831"/>
      <c r="D100" s="4"/>
    </row>
    <row r="101" spans="2:4" ht="22.35" customHeight="1" x14ac:dyDescent="0.2">
      <c r="B101" s="83" t="s">
        <v>192</v>
      </c>
      <c r="C101" s="834" t="s">
        <v>193</v>
      </c>
      <c r="D101" s="834" t="s">
        <v>194</v>
      </c>
    </row>
    <row r="102" spans="2:4" ht="22.35" customHeight="1" x14ac:dyDescent="0.2">
      <c r="B102" s="83" t="s">
        <v>195</v>
      </c>
      <c r="C102" s="840" t="s">
        <v>196</v>
      </c>
      <c r="D102" s="841"/>
    </row>
    <row r="103" spans="2:4" ht="22.35" customHeight="1" x14ac:dyDescent="0.2">
      <c r="B103" s="83" t="s">
        <v>197</v>
      </c>
      <c r="C103" s="840" t="s">
        <v>198</v>
      </c>
      <c r="D103" s="841"/>
    </row>
    <row r="104" spans="2:4" ht="22.35" customHeight="1" x14ac:dyDescent="0.2">
      <c r="B104" s="83" t="s">
        <v>199</v>
      </c>
      <c r="C104" s="840" t="s">
        <v>200</v>
      </c>
      <c r="D104" s="841"/>
    </row>
    <row r="105" spans="2:4" ht="22.35" customHeight="1" x14ac:dyDescent="0.2">
      <c r="B105" s="83" t="s">
        <v>201</v>
      </c>
      <c r="C105" s="840" t="s">
        <v>202</v>
      </c>
      <c r="D105" s="841"/>
    </row>
    <row r="106" spans="2:4" ht="22.35" customHeight="1" x14ac:dyDescent="0.2">
      <c r="B106" s="83" t="s">
        <v>203</v>
      </c>
      <c r="C106" s="840" t="s">
        <v>204</v>
      </c>
      <c r="D106" s="841"/>
    </row>
    <row r="107" spans="2:4" ht="22.35" customHeight="1" x14ac:dyDescent="0.2">
      <c r="B107" s="83" t="s">
        <v>205</v>
      </c>
      <c r="C107" s="840" t="s">
        <v>206</v>
      </c>
      <c r="D107" s="841"/>
    </row>
  </sheetData>
  <sheetProtection algorithmName="SHA-512" hashValue="58R9d1k6IHpUR+GePvEHByro/5SsqW3G/f2DFFa7I/qwSDfg+DUXZZtJE3IejbfjkV5FWIRJ5RK4Zfc0fH1E8g==" saltValue="uT/w8yosFjtEDgVW2UFIkQ==" spinCount="100000" sheet="1" objects="1" scenarios="1"/>
  <mergeCells count="67">
    <mergeCell ref="A1:E1"/>
    <mergeCell ref="F1:J1"/>
    <mergeCell ref="C96:D96"/>
    <mergeCell ref="C97:D97"/>
    <mergeCell ref="C91:D91"/>
    <mergeCell ref="C92:D92"/>
    <mergeCell ref="C93:D93"/>
    <mergeCell ref="C94:D94"/>
    <mergeCell ref="C95:D95"/>
    <mergeCell ref="C86:D86"/>
    <mergeCell ref="C87:D87"/>
    <mergeCell ref="C88:D88"/>
    <mergeCell ref="C89:D89"/>
    <mergeCell ref="C90:D90"/>
    <mergeCell ref="B24:D24"/>
    <mergeCell ref="B21:D21"/>
    <mergeCell ref="C106:D106"/>
    <mergeCell ref="C107:D107"/>
    <mergeCell ref="C74:D74"/>
    <mergeCell ref="C102:D102"/>
    <mergeCell ref="C103:D103"/>
    <mergeCell ref="C104:D104"/>
    <mergeCell ref="C105:D105"/>
    <mergeCell ref="C75:D75"/>
    <mergeCell ref="C76:D76"/>
    <mergeCell ref="C77:D77"/>
    <mergeCell ref="C78:D78"/>
    <mergeCell ref="C79:D79"/>
    <mergeCell ref="C80:D80"/>
    <mergeCell ref="C81:D81"/>
    <mergeCell ref="C82:D82"/>
    <mergeCell ref="C83:D83"/>
    <mergeCell ref="B15:D15"/>
    <mergeCell ref="C68:D68"/>
    <mergeCell ref="B100:C100"/>
    <mergeCell ref="B36:D36"/>
    <mergeCell ref="B33:D33"/>
    <mergeCell ref="B30:D30"/>
    <mergeCell ref="B27:D27"/>
    <mergeCell ref="C84:D84"/>
    <mergeCell ref="C85:D85"/>
    <mergeCell ref="C69:D69"/>
    <mergeCell ref="C70:D70"/>
    <mergeCell ref="C71:D71"/>
    <mergeCell ref="C72:D72"/>
    <mergeCell ref="C73:D73"/>
    <mergeCell ref="C101:D101"/>
    <mergeCell ref="B12:D12"/>
    <mergeCell ref="C67:D67"/>
    <mergeCell ref="B65:C65"/>
    <mergeCell ref="C66:D66"/>
    <mergeCell ref="C98:D98"/>
    <mergeCell ref="B60:D60"/>
    <mergeCell ref="B57:D57"/>
    <mergeCell ref="B54:D54"/>
    <mergeCell ref="B51:D51"/>
    <mergeCell ref="B48:D48"/>
    <mergeCell ref="B63:D63"/>
    <mergeCell ref="B18:D18"/>
    <mergeCell ref="B45:D45"/>
    <mergeCell ref="B42:D42"/>
    <mergeCell ref="B39:D39"/>
    <mergeCell ref="B6:C6"/>
    <mergeCell ref="B7:C7"/>
    <mergeCell ref="B8:C8"/>
    <mergeCell ref="B10:C10"/>
    <mergeCell ref="B4:H4"/>
  </mergeCell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64E809FB-C20D-483D-A61C-F62A82F835D7}">
            <xm:f>'Utility Admin'!$E$3="First Energy"</xm:f>
            <x14:dxf>
              <fill>
                <patternFill>
                  <bgColor rgb="FF1E427C"/>
                </patternFill>
              </fill>
            </x14:dxf>
          </x14:cfRule>
          <x14:cfRule type="expression" priority="2" id="{77AD6179-761D-4380-A6D6-543CDE332100}">
            <xm:f>'Utility Admin'!$E$3="PECO"</xm:f>
            <x14:dxf>
              <fill>
                <patternFill>
                  <bgColor rgb="FF7030A0"/>
                </patternFill>
              </fill>
            </x14:dxf>
          </x14:cfRule>
          <x14:cfRule type="expression" priority="3" id="{9A54A771-81A6-4EAF-BDEB-D2964AAA1C5C}">
            <xm:f>'Utility Admin'!$E$3="PPL"</xm:f>
            <x14:dxf>
              <fill>
                <patternFill>
                  <bgColor rgb="FF001489"/>
                </patternFill>
              </fill>
            </x14:dxf>
          </x14:cfRule>
          <xm:sqref>A1:J1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A224B-81F4-48BF-B26D-C3108D484F14}">
  <sheetPr codeName="Sheet4">
    <tabColor rgb="FF001489"/>
  </sheetPr>
  <dimension ref="A1:J41"/>
  <sheetViews>
    <sheetView tabSelected="1" topLeftCell="A11" zoomScaleNormal="100" workbookViewId="0">
      <selection activeCell="F34" sqref="F34"/>
    </sheetView>
  </sheetViews>
  <sheetFormatPr defaultColWidth="8.625" defaultRowHeight="14.25" x14ac:dyDescent="0.2"/>
  <cols>
    <col min="1" max="1" width="3.625" style="145" customWidth="1"/>
    <col min="2" max="2" width="63.625" style="145" bestFit="1" customWidth="1"/>
    <col min="3" max="3" width="18.125" style="145" customWidth="1"/>
    <col min="4" max="5" width="18.75" style="145" customWidth="1"/>
    <col min="6" max="6" width="20.125" style="145" customWidth="1"/>
    <col min="7" max="7" width="20.125" style="145" hidden="1" customWidth="1"/>
    <col min="8" max="8" width="16.125" style="145" customWidth="1"/>
    <col min="9" max="9" width="12.625" style="145" customWidth="1"/>
    <col min="10" max="10" width="11" style="145" customWidth="1"/>
    <col min="11" max="42" width="8.625" style="145" customWidth="1"/>
    <col min="43" max="16384" width="8.625" style="145"/>
  </cols>
  <sheetData>
    <row r="1" spans="1:10" x14ac:dyDescent="0.2">
      <c r="A1" s="144"/>
      <c r="G1" s="145" t="s">
        <v>207</v>
      </c>
      <c r="I1" s="220" t="s">
        <v>208</v>
      </c>
      <c r="J1" s="382">
        <f>'Version Log'!I4</f>
        <v>5.01</v>
      </c>
    </row>
    <row r="2" spans="1:10" x14ac:dyDescent="0.2">
      <c r="I2" s="220" t="s">
        <v>209</v>
      </c>
      <c r="J2" s="221">
        <f>'Version Log'!I5</f>
        <v>46209</v>
      </c>
    </row>
    <row r="3" spans="1:10" ht="34.5" customHeight="1" x14ac:dyDescent="0.5">
      <c r="B3" s="795" t="s">
        <v>91</v>
      </c>
      <c r="C3" s="796"/>
      <c r="D3" s="796"/>
      <c r="E3" s="796"/>
      <c r="F3" s="796"/>
      <c r="G3" s="222"/>
    </row>
    <row r="4" spans="1:10" ht="29.1" customHeight="1" x14ac:dyDescent="0.2">
      <c r="B4" s="797" t="s">
        <v>210</v>
      </c>
      <c r="C4" s="797"/>
      <c r="D4" s="797"/>
      <c r="E4" s="797"/>
      <c r="F4" s="797"/>
      <c r="G4" s="207"/>
    </row>
    <row r="5" spans="1:10" ht="9" customHeight="1" thickBot="1" x14ac:dyDescent="0.3">
      <c r="B5" s="148"/>
      <c r="C5" s="148"/>
      <c r="D5" s="148"/>
      <c r="E5" s="148"/>
    </row>
    <row r="6" spans="1:10" s="149" customFormat="1" ht="22.35" customHeight="1" x14ac:dyDescent="0.2">
      <c r="B6" s="736" t="s">
        <v>126</v>
      </c>
      <c r="C6" s="798"/>
      <c r="D6" s="799"/>
      <c r="E6" s="300"/>
    </row>
    <row r="7" spans="1:10" s="149" customFormat="1" ht="22.35" customHeight="1" x14ac:dyDescent="0.2">
      <c r="B7" s="737" t="s">
        <v>128</v>
      </c>
      <c r="C7" s="789"/>
      <c r="D7" s="790"/>
      <c r="E7" s="301"/>
    </row>
    <row r="8" spans="1:10" s="149" customFormat="1" ht="22.35" customHeight="1" x14ac:dyDescent="0.2">
      <c r="B8" s="737" t="s">
        <v>130</v>
      </c>
      <c r="C8" s="789"/>
      <c r="D8" s="790"/>
      <c r="E8" s="301"/>
    </row>
    <row r="9" spans="1:10" s="149" customFormat="1" ht="22.35" customHeight="1" x14ac:dyDescent="0.2">
      <c r="B9" s="737" t="s">
        <v>211</v>
      </c>
      <c r="C9" s="789"/>
      <c r="D9" s="790"/>
      <c r="E9" s="301"/>
    </row>
    <row r="10" spans="1:10" s="149" customFormat="1" ht="22.35" customHeight="1" x14ac:dyDescent="0.2">
      <c r="B10" s="737" t="s">
        <v>136</v>
      </c>
      <c r="C10" s="800" t="str">
        <f>IFERROR(IF(C9="","",INDEX('Zip Code Lookup Table'!$D$2:$D$2239,MATCH($C$9,'Zip Code Lookup Table'!$B$2:$B$2239,0))),"Error: Zip code not found in Pennsylvania lookups table")</f>
        <v/>
      </c>
      <c r="D10" s="801"/>
      <c r="E10" s="301"/>
    </row>
    <row r="11" spans="1:10" s="149" customFormat="1" ht="22.35" customHeight="1" x14ac:dyDescent="0.2">
      <c r="B11" s="737" t="s">
        <v>132</v>
      </c>
      <c r="C11" s="802"/>
      <c r="D11" s="803"/>
      <c r="E11" s="301"/>
    </row>
    <row r="12" spans="1:10" s="149" customFormat="1" ht="22.35" customHeight="1" x14ac:dyDescent="0.2">
      <c r="B12" s="737" t="s">
        <v>134</v>
      </c>
      <c r="C12" s="804"/>
      <c r="D12" s="805"/>
      <c r="E12" s="302"/>
    </row>
    <row r="13" spans="1:10" s="149" customFormat="1" ht="22.35" customHeight="1" x14ac:dyDescent="0.2">
      <c r="B13" s="737" t="s">
        <v>138</v>
      </c>
      <c r="C13" s="789"/>
      <c r="D13" s="790"/>
      <c r="E13" s="301"/>
    </row>
    <row r="14" spans="1:10" s="149" customFormat="1" ht="22.35" customHeight="1" x14ac:dyDescent="0.2">
      <c r="B14" s="737" t="s">
        <v>212</v>
      </c>
      <c r="C14" s="789"/>
      <c r="D14" s="790"/>
      <c r="E14" s="301"/>
    </row>
    <row r="15" spans="1:10" s="149" customFormat="1" ht="22.35" hidden="1" customHeight="1" x14ac:dyDescent="0.2">
      <c r="B15" s="737" t="s">
        <v>213</v>
      </c>
      <c r="C15" s="789"/>
      <c r="D15" s="790"/>
      <c r="E15" s="301"/>
    </row>
    <row r="16" spans="1:10" s="149" customFormat="1" ht="22.35" customHeight="1" x14ac:dyDescent="0.2">
      <c r="B16" s="737" t="s">
        <v>214</v>
      </c>
      <c r="C16" s="791"/>
      <c r="D16" s="792"/>
      <c r="E16" s="301"/>
    </row>
    <row r="17" spans="2:9" s="149" customFormat="1" ht="22.35" customHeight="1" thickBot="1" x14ac:dyDescent="0.25">
      <c r="B17" s="738" t="s">
        <v>215</v>
      </c>
      <c r="C17" s="793"/>
      <c r="D17" s="794"/>
      <c r="E17" s="301"/>
    </row>
    <row r="18" spans="2:9" s="149" customFormat="1" ht="22.35" customHeight="1" thickBot="1" x14ac:dyDescent="0.25">
      <c r="B18" s="223"/>
      <c r="C18" s="224"/>
      <c r="D18" s="224"/>
      <c r="E18" s="224"/>
      <c r="F18" s="223"/>
      <c r="G18" s="223"/>
    </row>
    <row r="19" spans="2:9" s="149" customFormat="1" ht="42.75" customHeight="1" x14ac:dyDescent="0.2">
      <c r="B19" s="739" t="s">
        <v>77</v>
      </c>
      <c r="C19" s="743" t="s">
        <v>192</v>
      </c>
      <c r="D19" s="744" t="s">
        <v>216</v>
      </c>
      <c r="E19" s="744" t="s">
        <v>217</v>
      </c>
      <c r="F19" s="745" t="s">
        <v>218</v>
      </c>
      <c r="G19" s="746" t="s">
        <v>219</v>
      </c>
      <c r="H19" s="747" t="s">
        <v>197</v>
      </c>
    </row>
    <row r="20" spans="2:9" s="149" customFormat="1" ht="20.25" customHeight="1" x14ac:dyDescent="0.2">
      <c r="B20" s="740" t="s">
        <v>23</v>
      </c>
      <c r="C20" s="225">
        <f>SUM('High Eff Ref Freeze'!R8:R17)</f>
        <v>0</v>
      </c>
      <c r="D20" s="226">
        <f>SUM('High Eff Ref Freeze'!S8:S17)</f>
        <v>0</v>
      </c>
      <c r="E20" s="226">
        <f>SUM('High Eff Ref Freeze'!T8:T17)</f>
        <v>0</v>
      </c>
      <c r="F20" s="722">
        <f>SUM('High Eff Ref Freeze'!U8:U17)</f>
        <v>0</v>
      </c>
      <c r="G20" s="719">
        <f>SUM('High Eff Ref Freeze'!V8:V17)</f>
        <v>0</v>
      </c>
      <c r="H20" s="227">
        <f>IFERROR(SUM('High Eff Ref Freeze'!W8:W17),0)</f>
        <v>0</v>
      </c>
      <c r="I20" s="374"/>
    </row>
    <row r="21" spans="2:9" s="149" customFormat="1" ht="20.25" customHeight="1" x14ac:dyDescent="0.2">
      <c r="B21" s="741" t="s">
        <v>220</v>
      </c>
      <c r="C21" s="228">
        <f>SUM('Evap Fan Motors'!N8:N17)</f>
        <v>0</v>
      </c>
      <c r="D21" s="230">
        <f>SUM('Evap Fan Motors'!O8:O17)</f>
        <v>0</v>
      </c>
      <c r="E21" s="230">
        <f>SUM('Evap Fan Motors'!P8:P17)</f>
        <v>0</v>
      </c>
      <c r="F21" s="701">
        <f>SUM('Evap Fan Motors'!Q8:Q17)</f>
        <v>0</v>
      </c>
      <c r="G21" s="720">
        <f>SUM('Evap Fan Motors'!R8:R17)</f>
        <v>0</v>
      </c>
      <c r="H21" s="229">
        <f>IFERROR(SUM('Evap Fan Motors'!S8:S17),0)</f>
        <v>0</v>
      </c>
    </row>
    <row r="22" spans="2:9" s="149" customFormat="1" ht="20.25" customHeight="1" x14ac:dyDescent="0.2">
      <c r="B22" s="741" t="s">
        <v>26</v>
      </c>
      <c r="C22" s="228">
        <f>SUM('Fan Control'!L8:L17)</f>
        <v>0</v>
      </c>
      <c r="D22" s="230">
        <f>SUM('Fan Control'!M8:M17)</f>
        <v>0</v>
      </c>
      <c r="E22" s="230">
        <f>SUM('Fan Control'!N8:N17)</f>
        <v>0</v>
      </c>
      <c r="F22" s="701">
        <f>SUM('Fan Control'!O8:O17)</f>
        <v>0</v>
      </c>
      <c r="G22" s="720">
        <f>SUM('Fan Control'!P8:P17)</f>
        <v>0</v>
      </c>
      <c r="H22" s="229">
        <f>IFERROR(SUM('Fan Control'!Q8:Q17),0)</f>
        <v>0</v>
      </c>
    </row>
    <row r="23" spans="2:9" s="149" customFormat="1" ht="20.25" hidden="1" customHeight="1" x14ac:dyDescent="0.2">
      <c r="B23" s="742" t="s">
        <v>31</v>
      </c>
      <c r="C23" s="228">
        <f>SUM('Float Control'!Q8:Q17)</f>
        <v>0</v>
      </c>
      <c r="D23" s="696">
        <f>SUM('Float Control'!R8:R17)</f>
        <v>0</v>
      </c>
      <c r="E23" s="696">
        <f>SUM('Float Control'!S8:S17)</f>
        <v>0</v>
      </c>
      <c r="F23" s="701">
        <f>SUM('Float Control'!S8:S17)</f>
        <v>0</v>
      </c>
      <c r="G23" s="720">
        <f>SUM('Float Control'!U8:U17)</f>
        <v>0</v>
      </c>
      <c r="H23" s="229">
        <f>IFERROR(SUM('Float Control'!V8:V17),0)</f>
        <v>0</v>
      </c>
    </row>
    <row r="24" spans="2:9" s="149" customFormat="1" ht="20.25" customHeight="1" x14ac:dyDescent="0.2">
      <c r="B24" s="742" t="s">
        <v>221</v>
      </c>
      <c r="C24" s="228">
        <f>SUM('Anti Sweat'!M8:M17)</f>
        <v>0</v>
      </c>
      <c r="D24" s="230">
        <f>SUM('Anti Sweat'!N8:N17)</f>
        <v>0</v>
      </c>
      <c r="E24" s="230">
        <f>SUM('Anti Sweat'!O8:O17)</f>
        <v>0</v>
      </c>
      <c r="F24" s="701">
        <f>SUM('Anti Sweat'!P8:P17)</f>
        <v>0</v>
      </c>
      <c r="G24" s="720">
        <f>SUM('Anti Sweat'!T8:T17)</f>
        <v>0</v>
      </c>
      <c r="H24" s="229">
        <f>IFERROR(SUM('Anti Sweat'!U8:U17),0)</f>
        <v>0</v>
      </c>
    </row>
    <row r="25" spans="2:9" s="149" customFormat="1" ht="20.25" customHeight="1" x14ac:dyDescent="0.2">
      <c r="B25" s="742" t="s">
        <v>222</v>
      </c>
      <c r="C25" s="228">
        <f>SUM('Coil Defrost'!L8:L17)</f>
        <v>0</v>
      </c>
      <c r="D25" s="230">
        <f>SUM('Coil Defrost'!M8:M17)</f>
        <v>0</v>
      </c>
      <c r="E25" s="230">
        <f>SUM('Coil Defrost'!N8:N17)</f>
        <v>0</v>
      </c>
      <c r="F25" s="701">
        <f>SUM('Coil Defrost'!O8:O17)</f>
        <v>0</v>
      </c>
      <c r="G25" s="720">
        <f>SUM('Coil Defrost'!P8:P17)</f>
        <v>0</v>
      </c>
      <c r="H25" s="229">
        <f>IFERROR(SUM('Coil Defrost'!Q8:Q17),0)</f>
        <v>0</v>
      </c>
    </row>
    <row r="26" spans="2:9" s="149" customFormat="1" ht="20.25" hidden="1" customHeight="1" x14ac:dyDescent="0.2">
      <c r="B26" s="742" t="s">
        <v>34</v>
      </c>
      <c r="C26" s="228">
        <f>SUM('VS Ref Comp'!O8:O17)</f>
        <v>0</v>
      </c>
      <c r="D26" s="230">
        <f>SUM('VS Ref Comp'!P8:P17)</f>
        <v>0</v>
      </c>
      <c r="E26" s="230">
        <f>SUM('VS Ref Comp'!Q8:Q17)</f>
        <v>0</v>
      </c>
      <c r="F26" s="701">
        <f>SUM('VS Ref Comp'!R8:R17)</f>
        <v>0</v>
      </c>
      <c r="G26" s="720">
        <f>SUM('VS Ref Comp'!S8:S17)</f>
        <v>0</v>
      </c>
      <c r="H26" s="229">
        <f>IFERROR(SUM('VS Ref Comp'!T8:T17),0)</f>
        <v>0</v>
      </c>
    </row>
    <row r="27" spans="2:9" s="149" customFormat="1" ht="20.25" customHeight="1" x14ac:dyDescent="0.2">
      <c r="B27" s="742" t="s">
        <v>223</v>
      </c>
      <c r="C27" s="228">
        <f>SUM('Strip Curtains'!J8:J17)</f>
        <v>0</v>
      </c>
      <c r="D27" s="230">
        <f>SUM('Strip Curtains'!K8:K17)</f>
        <v>0</v>
      </c>
      <c r="E27" s="230">
        <f>SUM('Strip Curtains'!L8:L17)</f>
        <v>0</v>
      </c>
      <c r="F27" s="701">
        <f>SUM('Strip Curtains'!M8:M17)</f>
        <v>0</v>
      </c>
      <c r="G27" s="720">
        <f>SUM('Strip Curtains'!O8:O17)</f>
        <v>0</v>
      </c>
      <c r="H27" s="229">
        <f>IFERROR(SUM('Strip Curtains'!P8:P17),0)</f>
        <v>0</v>
      </c>
    </row>
    <row r="28" spans="2:9" s="149" customFormat="1" ht="20.25" hidden="1" customHeight="1" x14ac:dyDescent="0.2">
      <c r="B28" s="742" t="s">
        <v>224</v>
      </c>
      <c r="C28" s="228">
        <f>SUM('Night Covers'!R8:R17)</f>
        <v>0</v>
      </c>
      <c r="D28" s="230">
        <f>SUM('Night Covers'!S8:S17)</f>
        <v>0</v>
      </c>
      <c r="E28" s="230">
        <f>SUM('Night Covers'!T8:T17)</f>
        <v>0</v>
      </c>
      <c r="F28" s="701">
        <f>SUM('Night Covers'!U8:U17)</f>
        <v>0</v>
      </c>
      <c r="G28" s="720">
        <f>SUM('Night Covers'!V8:V17)</f>
        <v>0</v>
      </c>
      <c r="H28" s="229">
        <f>IFERROR(SUM('Night Covers'!W8:W17),0)</f>
        <v>0</v>
      </c>
    </row>
    <row r="29" spans="2:9" s="149" customFormat="1" ht="20.25" customHeight="1" x14ac:dyDescent="0.2">
      <c r="B29" s="742" t="s">
        <v>225</v>
      </c>
      <c r="C29" s="228">
        <f>SUM('Auto Closer'!L8:L17)</f>
        <v>0</v>
      </c>
      <c r="D29" s="230">
        <f>SUM('Auto Closer'!M8:M17)</f>
        <v>0</v>
      </c>
      <c r="E29" s="230">
        <f>SUM('Auto Closer'!N8:N17)</f>
        <v>0</v>
      </c>
      <c r="F29" s="701">
        <f>SUM('Auto Closer'!O8:O17)</f>
        <v>0</v>
      </c>
      <c r="G29" s="720">
        <f>SUM('Auto Closer'!P8:P17)</f>
        <v>0</v>
      </c>
      <c r="H29" s="229">
        <f>IFERROR(SUM('Auto Closer'!Q8:Q17),0)</f>
        <v>0</v>
      </c>
    </row>
    <row r="30" spans="2:9" s="149" customFormat="1" ht="20.25" hidden="1" customHeight="1" x14ac:dyDescent="0.2">
      <c r="B30" s="742" t="s">
        <v>226</v>
      </c>
      <c r="C30" s="228">
        <f>SUM('Door Gaskets'!J8:J17)</f>
        <v>0</v>
      </c>
      <c r="D30" s="230">
        <f>SUM('Door Gaskets'!K8:K17)</f>
        <v>0</v>
      </c>
      <c r="E30" s="230">
        <f>SUM('Door Gaskets'!L8:L17)</f>
        <v>0</v>
      </c>
      <c r="F30" s="701">
        <f>SUM('Door Gaskets'!K8:K17)</f>
        <v>0</v>
      </c>
      <c r="G30" s="720">
        <f>SUM('Door Gaskets'!L8:L17)</f>
        <v>0</v>
      </c>
      <c r="H30" s="229">
        <f>IFERROR(SUM('Door Gaskets'!M8:M17),0)</f>
        <v>0</v>
      </c>
    </row>
    <row r="31" spans="2:9" s="149" customFormat="1" ht="20.25" hidden="1" customHeight="1" x14ac:dyDescent="0.2">
      <c r="B31" s="742" t="s">
        <v>227</v>
      </c>
      <c r="C31" s="228">
        <f>SUM('Special Doors'!M8:M17)</f>
        <v>0</v>
      </c>
      <c r="D31" s="230">
        <f>SUM('Special Doors'!N8:N17)</f>
        <v>0</v>
      </c>
      <c r="E31" s="230">
        <f>SUM('Special Doors'!O8:O17)</f>
        <v>0</v>
      </c>
      <c r="F31" s="701">
        <f>SUM('Special Doors'!P8:P17)</f>
        <v>0</v>
      </c>
      <c r="G31" s="720">
        <f>SUM('Special Doors'!Q8:Q17)</f>
        <v>0</v>
      </c>
      <c r="H31" s="229">
        <f>IFERROR(SUM('Special Doors'!R8:R17),0)</f>
        <v>0</v>
      </c>
    </row>
    <row r="32" spans="2:9" s="149" customFormat="1" ht="20.25" hidden="1" customHeight="1" x14ac:dyDescent="0.2">
      <c r="B32" s="742" t="s">
        <v>228</v>
      </c>
      <c r="C32" s="228">
        <f>SUM('Pipe Insulation'!L8:L17)</f>
        <v>0</v>
      </c>
      <c r="D32" s="230">
        <f>SUM('Pipe Insulation'!M8:M17)</f>
        <v>0</v>
      </c>
      <c r="E32" s="230">
        <f>SUM('Pipe Insulation'!N8:N17)</f>
        <v>0</v>
      </c>
      <c r="F32" s="701">
        <f>SUM('Pipe Insulation'!O8:O17)</f>
        <v>0</v>
      </c>
      <c r="G32" s="720">
        <f>SUM('Pipe Insulation'!P8:P17)</f>
        <v>0</v>
      </c>
      <c r="H32" s="229">
        <f>IFERROR(SUM('Pipe Insulation'!Q8:Q17),0)</f>
        <v>0</v>
      </c>
    </row>
    <row r="33" spans="2:8" s="149" customFormat="1" ht="20.25" customHeight="1" x14ac:dyDescent="0.2">
      <c r="B33" s="742" t="s">
        <v>229</v>
      </c>
      <c r="C33" s="228">
        <f>SUM('Door Replace Open'!T8:T17)</f>
        <v>0</v>
      </c>
      <c r="D33" s="696">
        <f>SUM('Door Replace Open'!U8:U17)</f>
        <v>0</v>
      </c>
      <c r="E33" s="696">
        <f>SUM('Door Replace Open'!V8:V17)</f>
        <v>0</v>
      </c>
      <c r="F33" s="723">
        <f>SUM('Door Replace Open'!W8:W17)</f>
        <v>0</v>
      </c>
      <c r="G33" s="720">
        <f>SUM('Door Replace Open2021'!M8:M17)</f>
        <v>0</v>
      </c>
      <c r="H33" s="229">
        <f>IFERROR(SUM('Door Replace Open2021'!N8:N17),0)</f>
        <v>0</v>
      </c>
    </row>
    <row r="34" spans="2:8" s="149" customFormat="1" ht="20.25" customHeight="1" thickBot="1" x14ac:dyDescent="0.25">
      <c r="B34" s="742" t="s">
        <v>48</v>
      </c>
      <c r="C34" s="231">
        <f>SUM('Adding Doors'!X8:X17)</f>
        <v>0</v>
      </c>
      <c r="D34" s="232">
        <f>SUM('Adding Doors'!Y8:Y17)</f>
        <v>0</v>
      </c>
      <c r="E34" s="232">
        <f>SUM('Adding Doors'!Z8:Z17)</f>
        <v>0</v>
      </c>
      <c r="F34" s="702">
        <f>SUM('Adding Doors'!AA8:AA17)</f>
        <v>0</v>
      </c>
      <c r="G34" s="721">
        <f>SUM('Adding Doors'!AB8:AB17)</f>
        <v>0</v>
      </c>
      <c r="H34" s="233">
        <f>IFERROR(SUM('Adding Doors'!AC8:AC17),0)</f>
        <v>0</v>
      </c>
    </row>
    <row r="35" spans="2:8" s="149" customFormat="1" ht="15" hidden="1" thickBot="1" x14ac:dyDescent="0.25">
      <c r="B35" s="742" t="s">
        <v>230</v>
      </c>
      <c r="C35" s="697">
        <f>SUM('Air Cooled Ref Condenser'!J8:J17)</f>
        <v>0</v>
      </c>
      <c r="D35" s="698"/>
      <c r="E35" s="698"/>
      <c r="F35" s="699">
        <f>SUM('Air Cooled Ref Condenser'!K8:K17)</f>
        <v>0</v>
      </c>
      <c r="G35" s="700">
        <f>SUM('Air Cooled Ref Condenser'!L8:L17)</f>
        <v>0</v>
      </c>
      <c r="H35" s="703">
        <f>IFERROR(SUM('Air Cooled Ref Condenser'!M8:M17),0)</f>
        <v>0</v>
      </c>
    </row>
    <row r="36" spans="2:8" s="149" customFormat="1" ht="15" hidden="1" thickBot="1" x14ac:dyDescent="0.25">
      <c r="B36" s="742" t="s">
        <v>231</v>
      </c>
      <c r="C36" s="704">
        <f>SUM('Refrigeration Economizer'!W8:W17)</f>
        <v>0</v>
      </c>
      <c r="D36" s="705"/>
      <c r="E36" s="705"/>
      <c r="F36" s="706">
        <f>SUM('Refrigeration Economizer'!X8:X17)</f>
        <v>0</v>
      </c>
      <c r="G36" s="707">
        <f>SUM('Refrigeration Economizer'!Y8:Y17)</f>
        <v>0</v>
      </c>
      <c r="H36" s="233">
        <f>IFERROR(SUM('Refrigeration Economizer'!Z8:Z17),0)</f>
        <v>0</v>
      </c>
    </row>
    <row r="37" spans="2:8" s="149" customFormat="1" ht="22.35" customHeight="1" thickBot="1" x14ac:dyDescent="0.25">
      <c r="B37" s="739" t="s">
        <v>232</v>
      </c>
      <c r="C37" s="748">
        <f>SUM(C20:C36)</f>
        <v>0</v>
      </c>
      <c r="D37" s="749">
        <f t="shared" ref="D37:E37" si="0">SUM(D20:D36)</f>
        <v>0</v>
      </c>
      <c r="E37" s="749">
        <f t="shared" si="0"/>
        <v>0</v>
      </c>
      <c r="F37" s="750">
        <f>SUM(F20:F36)</f>
        <v>0</v>
      </c>
      <c r="G37" s="751">
        <f>SUM(G20:G36)</f>
        <v>0</v>
      </c>
      <c r="H37" s="752">
        <f>IFERROR(MIN(C12*Incentives!$C$6,G37,500000),0)</f>
        <v>0</v>
      </c>
    </row>
    <row r="38" spans="2:8" s="149" customFormat="1" ht="22.35" customHeight="1" x14ac:dyDescent="0.2">
      <c r="B38" s="223"/>
      <c r="C38" s="224"/>
      <c r="D38" s="224"/>
      <c r="E38" s="224"/>
      <c r="F38" s="223"/>
      <c r="G38" s="223"/>
    </row>
    <row r="39" spans="2:8" s="149" customFormat="1" ht="22.35" customHeight="1" x14ac:dyDescent="0.2">
      <c r="B39" s="223"/>
      <c r="C39" s="224"/>
      <c r="D39" s="224"/>
      <c r="E39" s="224"/>
      <c r="F39" s="223"/>
      <c r="G39" s="223"/>
    </row>
    <row r="40" spans="2:8" ht="9" customHeight="1" x14ac:dyDescent="0.2"/>
    <row r="41" spans="2:8" x14ac:dyDescent="0.2">
      <c r="B41" s="234"/>
    </row>
  </sheetData>
  <sheetProtection algorithmName="SHA-512" hashValue="aSADUbxbM3+H/b6vyUvY6ZWtSFY3LIRBcbMHwhsrkN28nirmUo4lfInT9Kjo8csycSgu+wB6NTM1GPLP0VVrYA==" saltValue="ibupKG0ANO/syPl0kBOnrw==" spinCount="100000" sheet="1" formatColumns="0"/>
  <protectedRanges>
    <protectedRange sqref="C16:D17" name="Project Info"/>
  </protectedRanges>
  <mergeCells count="14">
    <mergeCell ref="C15:D15"/>
    <mergeCell ref="C16:D16"/>
    <mergeCell ref="C17:D17"/>
    <mergeCell ref="B3:F3"/>
    <mergeCell ref="B4:F4"/>
    <mergeCell ref="C6:D6"/>
    <mergeCell ref="C7:D7"/>
    <mergeCell ref="C8:D8"/>
    <mergeCell ref="C9:D9"/>
    <mergeCell ref="C10:D10"/>
    <mergeCell ref="C11:D11"/>
    <mergeCell ref="C12:D12"/>
    <mergeCell ref="C13:D13"/>
    <mergeCell ref="C14:D14"/>
  </mergeCells>
  <dataValidations count="3">
    <dataValidation allowBlank="1" showInputMessage="1" showErrorMessage="1" prompt="Enter the Cost per kWh of electricity . This can be a blended rate." sqref="C16" xr:uid="{30540D7E-056F-4553-935E-40630822D2AB}"/>
    <dataValidation allowBlank="1" showInputMessage="1" showErrorMessage="1" prompt="Optional: If unknown, enter an Electric Rate only." sqref="C17" xr:uid="{52867887-AC59-4B7D-984B-97847DFB2E70}"/>
    <dataValidation type="list" allowBlank="1" showInputMessage="1" showErrorMessage="1" sqref="C15" xr:uid="{8F95498B-BA6E-48B8-943D-40E22727F372}">
      <formula1>"Small Business (GS1 &amp; GS3 Rate Codes),Large Business (LP4 &amp; LP5 Rate Codes)"</formula1>
    </dataValidation>
  </dataValidations>
  <pageMargins left="0.5" right="0.5" top="0.5" bottom="0.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1C29CEB-3EBA-4B7C-9D68-A794954C340B}">
          <x14:formula1>
            <xm:f>'Look Up Tables'!$G$53:$G$66</xm:f>
          </x14:formula1>
          <xm:sqref>C13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A5E9C-6377-4068-92CE-0476840F23C0}">
  <sheetPr codeName="Sheet22">
    <tabColor rgb="FF92D050"/>
  </sheetPr>
  <dimension ref="A1:AR173"/>
  <sheetViews>
    <sheetView zoomScale="80" zoomScaleNormal="80" workbookViewId="0">
      <pane xSplit="1" ySplit="2" topLeftCell="B29" activePane="bottomRight" state="frozen"/>
      <selection pane="topRight" activeCell="D2" sqref="D2"/>
      <selection pane="bottomLeft" activeCell="D2" sqref="D2"/>
      <selection pane="bottomRight" activeCell="AM33" sqref="AM33"/>
    </sheetView>
  </sheetViews>
  <sheetFormatPr defaultRowHeight="14.25" x14ac:dyDescent="0.2"/>
  <cols>
    <col min="1" max="1" width="56.75" bestFit="1" customWidth="1"/>
    <col min="2" max="2" width="55.25" bestFit="1" customWidth="1"/>
    <col min="4" max="7" width="9.625" customWidth="1"/>
    <col min="8" max="9" width="11.25" customWidth="1"/>
    <col min="10" max="42" width="9.625" customWidth="1"/>
    <col min="43" max="44" width="14.375" customWidth="1"/>
  </cols>
  <sheetData>
    <row r="1" spans="1:44" ht="71.25" x14ac:dyDescent="0.2">
      <c r="D1" s="619" t="s">
        <v>233</v>
      </c>
      <c r="E1" s="619" t="s">
        <v>234</v>
      </c>
      <c r="F1" s="619" t="s">
        <v>235</v>
      </c>
      <c r="G1" s="619" t="s">
        <v>236</v>
      </c>
      <c r="H1" s="619" t="s">
        <v>237</v>
      </c>
      <c r="I1" s="619" t="s">
        <v>238</v>
      </c>
      <c r="J1" s="619" t="s">
        <v>239</v>
      </c>
      <c r="K1" s="619" t="s">
        <v>240</v>
      </c>
      <c r="L1" s="619" t="s">
        <v>241</v>
      </c>
      <c r="M1" s="619" t="s">
        <v>242</v>
      </c>
      <c r="N1" s="619" t="s">
        <v>243</v>
      </c>
      <c r="O1" s="619" t="s">
        <v>244</v>
      </c>
      <c r="P1" s="619" t="s">
        <v>245</v>
      </c>
      <c r="Q1" s="619" t="s">
        <v>246</v>
      </c>
      <c r="R1" s="619" t="s">
        <v>247</v>
      </c>
      <c r="S1" s="619" t="s">
        <v>248</v>
      </c>
      <c r="T1" s="619" t="s">
        <v>249</v>
      </c>
      <c r="U1" s="619" t="s">
        <v>250</v>
      </c>
      <c r="V1" s="619" t="s">
        <v>251</v>
      </c>
      <c r="W1" s="619" t="s">
        <v>252</v>
      </c>
      <c r="X1" s="619" t="s">
        <v>253</v>
      </c>
      <c r="Y1" s="619" t="s">
        <v>254</v>
      </c>
      <c r="Z1" s="619" t="s">
        <v>255</v>
      </c>
      <c r="AA1" s="619" t="s">
        <v>256</v>
      </c>
      <c r="AB1" s="619" t="s">
        <v>257</v>
      </c>
      <c r="AC1" s="619" t="s">
        <v>258</v>
      </c>
      <c r="AD1" s="619" t="s">
        <v>259</v>
      </c>
      <c r="AE1" s="619" t="s">
        <v>260</v>
      </c>
      <c r="AF1" s="619" t="s">
        <v>261</v>
      </c>
      <c r="AG1" s="619" t="s">
        <v>262</v>
      </c>
      <c r="AH1" s="619" t="s">
        <v>263</v>
      </c>
      <c r="AI1" s="619" t="s">
        <v>264</v>
      </c>
      <c r="AJ1" s="619" t="s">
        <v>265</v>
      </c>
      <c r="AK1" s="619" t="s">
        <v>266</v>
      </c>
      <c r="AL1" s="619" t="s">
        <v>267</v>
      </c>
      <c r="AM1" s="619" t="s">
        <v>268</v>
      </c>
      <c r="AN1" s="619" t="s">
        <v>269</v>
      </c>
      <c r="AO1" s="619" t="s">
        <v>270</v>
      </c>
      <c r="AP1" s="619" t="s">
        <v>271</v>
      </c>
      <c r="AQ1" s="619" t="s">
        <v>272</v>
      </c>
      <c r="AR1" s="619" t="s">
        <v>273</v>
      </c>
    </row>
    <row r="2" spans="1:44" ht="71.25" x14ac:dyDescent="0.2">
      <c r="A2" s="86"/>
      <c r="B2" s="612" t="s">
        <v>274</v>
      </c>
      <c r="C2" s="612" t="s">
        <v>275</v>
      </c>
      <c r="D2" s="612" t="s">
        <v>276</v>
      </c>
      <c r="E2" s="612" t="s">
        <v>277</v>
      </c>
      <c r="F2" s="612" t="s">
        <v>197</v>
      </c>
      <c r="G2" s="612" t="s">
        <v>278</v>
      </c>
      <c r="H2" s="612" t="s">
        <v>279</v>
      </c>
      <c r="I2" s="612" t="s">
        <v>280</v>
      </c>
      <c r="J2" s="612" t="s">
        <v>281</v>
      </c>
      <c r="K2" s="83" t="s">
        <v>282</v>
      </c>
      <c r="L2" s="83" t="s">
        <v>143</v>
      </c>
      <c r="M2" s="83" t="s">
        <v>283</v>
      </c>
      <c r="N2" s="83" t="s">
        <v>284</v>
      </c>
      <c r="O2" s="83" t="s">
        <v>285</v>
      </c>
      <c r="P2" s="83" t="s">
        <v>286</v>
      </c>
      <c r="Q2" s="83" t="s">
        <v>287</v>
      </c>
      <c r="R2" s="83" t="s">
        <v>288</v>
      </c>
      <c r="S2" s="83" t="s">
        <v>289</v>
      </c>
      <c r="T2" s="83" t="s">
        <v>290</v>
      </c>
      <c r="U2" s="83" t="s">
        <v>291</v>
      </c>
      <c r="V2" s="83" t="s">
        <v>292</v>
      </c>
      <c r="W2" s="83" t="s">
        <v>293</v>
      </c>
      <c r="X2" s="83" t="s">
        <v>294</v>
      </c>
      <c r="Y2" s="83" t="s">
        <v>295</v>
      </c>
      <c r="Z2" s="83" t="s">
        <v>296</v>
      </c>
      <c r="AA2" s="83" t="s">
        <v>297</v>
      </c>
      <c r="AB2" s="83" t="s">
        <v>298</v>
      </c>
      <c r="AC2" s="83" t="s">
        <v>299</v>
      </c>
      <c r="AD2" s="83" t="s">
        <v>300</v>
      </c>
      <c r="AE2" s="83" t="s">
        <v>301</v>
      </c>
      <c r="AF2" s="83" t="s">
        <v>302</v>
      </c>
      <c r="AG2" s="83" t="s">
        <v>303</v>
      </c>
      <c r="AH2" s="83" t="s">
        <v>304</v>
      </c>
      <c r="AI2" s="83" t="s">
        <v>305</v>
      </c>
      <c r="AJ2" s="83" t="s">
        <v>306</v>
      </c>
      <c r="AK2" s="83" t="s">
        <v>307</v>
      </c>
      <c r="AL2" s="83" t="s">
        <v>308</v>
      </c>
      <c r="AM2" s="613" t="s">
        <v>309</v>
      </c>
      <c r="AN2" s="613" t="s">
        <v>310</v>
      </c>
      <c r="AO2" s="83" t="s">
        <v>311</v>
      </c>
      <c r="AP2" s="83" t="s">
        <v>312</v>
      </c>
      <c r="AQ2" s="83" t="s">
        <v>313</v>
      </c>
      <c r="AR2" s="83" t="s">
        <v>314</v>
      </c>
    </row>
    <row r="3" spans="1:44" x14ac:dyDescent="0.2">
      <c r="A3" s="618" t="str">
        <f>'High Eff Ref Freeze'!$B$3</f>
        <v>High Efficiency Refrigeration/Freezer Cases</v>
      </c>
      <c r="B3" s="614" t="s">
        <v>315</v>
      </c>
      <c r="C3" s="614">
        <v>1</v>
      </c>
      <c r="D3" s="630">
        <f>IF('High Eff Ref Freeze'!W8&gt;0,'High Eff Ref Freeze'!M8,"")</f>
        <v>0</v>
      </c>
      <c r="E3" s="630" t="str">
        <f>IF($D3="","",IF('High Eff Ref Freeze'!$H8="Freezer",'Look Up Tables'!$AS$75,'Look Up Tables'!$AS$74))</f>
        <v>HECoolCase</v>
      </c>
      <c r="F3" s="636" t="str">
        <f>IF('Data Export'!$D3="","", 'High Eff Ref Freeze'!W8)</f>
        <v/>
      </c>
      <c r="G3" s="641">
        <f>IF('Data Export'!D3="","", 'Project Summary'!$C$6)</f>
        <v>0</v>
      </c>
      <c r="H3" s="635" t="str">
        <f>IF('Data Export'!$D3="","", 'High Eff Ref Freeze'!$R8)</f>
        <v/>
      </c>
      <c r="I3" s="633" t="str">
        <f>IF('Data Export'!$D3="","", 'High Eff Ref Freeze'!$U8)</f>
        <v/>
      </c>
      <c r="J3" s="630">
        <f>IF('Data Export'!$D3="","", 'Project Summary'!$J$1)</f>
        <v>5.01</v>
      </c>
      <c r="K3" s="630">
        <f>IF('Data Export'!$D3="","", 'High Eff Ref Freeze'!$D8)</f>
        <v>0</v>
      </c>
      <c r="L3" s="630">
        <f>IF('Data Export'!$D3="","", 'High Eff Ref Freeze'!$E8)</f>
        <v>0</v>
      </c>
      <c r="M3" s="630">
        <f>IF('Data Export'!$D3="","", 'Project Summary'!$C$13)</f>
        <v>0</v>
      </c>
      <c r="N3" s="630">
        <f>IF(D3="","",'High Eff Ref Freeze'!F8)</f>
        <v>0</v>
      </c>
      <c r="O3" s="614"/>
      <c r="P3" s="630">
        <f>IF('Data Export'!$D3="","",IF('High Eff Ref Freeze'!$H8="Refrigeration","Refrigerator",'High Eff Ref Freeze'!$H8))</f>
        <v>0</v>
      </c>
      <c r="Q3" s="614"/>
      <c r="R3" s="614"/>
      <c r="S3" s="614"/>
      <c r="T3" s="614"/>
      <c r="U3" s="614"/>
      <c r="V3" s="614"/>
      <c r="W3" s="614"/>
      <c r="X3" s="614"/>
      <c r="Y3" s="614"/>
      <c r="Z3" s="614"/>
      <c r="AA3" s="630">
        <f>IF('Data Export'!$D3="","",'High Eff Ref Freeze'!L8)</f>
        <v>0</v>
      </c>
      <c r="AB3" s="630">
        <f>IF('Data Export'!$D3="","",'High Eff Ref Freeze'!K8)</f>
        <v>0</v>
      </c>
      <c r="AC3" s="614"/>
      <c r="AD3" s="614"/>
      <c r="AE3" s="614"/>
      <c r="AF3" s="630">
        <f>IF('Data Export'!$D3="","",'High Eff Ref Freeze'!I8)</f>
        <v>0</v>
      </c>
      <c r="AG3" s="614"/>
      <c r="AH3" s="614"/>
      <c r="AI3" s="614"/>
      <c r="AJ3" s="614"/>
      <c r="AK3" s="614"/>
      <c r="AL3" s="614"/>
      <c r="AM3" s="633" t="str">
        <f xml:space="preserve"> IF('Data Export'!$D3="","", 'High Eff Ref Freeze'!$U8)</f>
        <v/>
      </c>
      <c r="AN3" s="633" t="str">
        <f>IF('Data Export'!$D3="","", 'High Eff Ref Freeze'!$T8)</f>
        <v/>
      </c>
      <c r="AO3" s="636" t="str">
        <f>IF('Data Export'!$D3="","", IFERROR(ROUND($F3/$D3, 2), ""))</f>
        <v/>
      </c>
      <c r="AP3" s="641">
        <f>IF('Data Export'!$D3="","",'Project Summary'!$C$11)</f>
        <v>0</v>
      </c>
      <c r="AQ3" s="647"/>
      <c r="AR3" s="647"/>
    </row>
    <row r="4" spans="1:44" x14ac:dyDescent="0.2">
      <c r="A4" s="618" t="str">
        <f>'High Eff Ref Freeze'!$B$3</f>
        <v>High Efficiency Refrigeration/Freezer Cases</v>
      </c>
      <c r="B4" s="614" t="s">
        <v>315</v>
      </c>
      <c r="C4" s="614">
        <v>2</v>
      </c>
      <c r="D4" s="630">
        <f>IF('High Eff Ref Freeze'!W9&gt;0,'High Eff Ref Freeze'!M9,"")</f>
        <v>0</v>
      </c>
      <c r="E4" s="630" t="str">
        <f>IF($D4="","",IF('High Eff Ref Freeze'!$H9="Freezer",'Look Up Tables'!$AS$75,'Look Up Tables'!$AS$74))</f>
        <v>HECoolCase</v>
      </c>
      <c r="F4" s="636" t="str">
        <f>IF('Data Export'!$D4="","", 'High Eff Ref Freeze'!W9)</f>
        <v/>
      </c>
      <c r="G4" s="641">
        <f>IF('Data Export'!D4="","", 'Project Summary'!$C$6)</f>
        <v>0</v>
      </c>
      <c r="H4" s="635" t="str">
        <f>IF('Data Export'!$D4="","", 'High Eff Ref Freeze'!$R9)</f>
        <v/>
      </c>
      <c r="I4" s="633" t="str">
        <f>IF('Data Export'!$D4="","", 'High Eff Ref Freeze'!$U9)</f>
        <v/>
      </c>
      <c r="J4" s="630">
        <f>IF('Data Export'!$D4="","", 'Project Summary'!$J$1)</f>
        <v>5.01</v>
      </c>
      <c r="K4" s="630">
        <f>IF('Data Export'!$D4="","", 'High Eff Ref Freeze'!$D9)</f>
        <v>0</v>
      </c>
      <c r="L4" s="630">
        <f>IF('Data Export'!$D4="","", 'High Eff Ref Freeze'!$E9)</f>
        <v>0</v>
      </c>
      <c r="M4" s="630">
        <f>IF('Data Export'!$D4="","", 'Project Summary'!$C$13)</f>
        <v>0</v>
      </c>
      <c r="N4" s="630">
        <f>IF(D4="","",'High Eff Ref Freeze'!F9)</f>
        <v>0</v>
      </c>
      <c r="O4" s="614"/>
      <c r="P4" s="630">
        <f>IF('Data Export'!$D4="","",IF('High Eff Ref Freeze'!$H9="Refrigeration","Refrigerator",'High Eff Ref Freeze'!$H9))</f>
        <v>0</v>
      </c>
      <c r="Q4" s="614"/>
      <c r="R4" s="614"/>
      <c r="S4" s="614"/>
      <c r="T4" s="614"/>
      <c r="U4" s="614"/>
      <c r="V4" s="614"/>
      <c r="W4" s="614"/>
      <c r="X4" s="614"/>
      <c r="Y4" s="614"/>
      <c r="Z4" s="614"/>
      <c r="AA4" s="630">
        <f>IF('Data Export'!$D4="","",'High Eff Ref Freeze'!L9)</f>
        <v>0</v>
      </c>
      <c r="AB4" s="630">
        <f>IF('Data Export'!$D4="","",'High Eff Ref Freeze'!K9)</f>
        <v>0</v>
      </c>
      <c r="AC4" s="614"/>
      <c r="AD4" s="614"/>
      <c r="AE4" s="614"/>
      <c r="AF4" s="630">
        <f>IF('Data Export'!$D4="","",'High Eff Ref Freeze'!I9)</f>
        <v>0</v>
      </c>
      <c r="AG4" s="614"/>
      <c r="AH4" s="614"/>
      <c r="AI4" s="614"/>
      <c r="AJ4" s="614"/>
      <c r="AK4" s="614"/>
      <c r="AL4" s="614"/>
      <c r="AM4" s="633" t="str">
        <f xml:space="preserve"> IF('Data Export'!$D4="","", 'High Eff Ref Freeze'!$U9)</f>
        <v/>
      </c>
      <c r="AN4" s="633" t="str">
        <f>IF('Data Export'!$D4="","", 'High Eff Ref Freeze'!$T9)</f>
        <v/>
      </c>
      <c r="AO4" s="636" t="str">
        <f>IF('Data Export'!$D4="","", IFERROR(ROUND($F4/$D4, 2), ""))</f>
        <v/>
      </c>
      <c r="AP4" s="641">
        <f>IF('Data Export'!$D4="","",'Project Summary'!$C$11)</f>
        <v>0</v>
      </c>
      <c r="AQ4" s="647"/>
      <c r="AR4" s="647"/>
    </row>
    <row r="5" spans="1:44" x14ac:dyDescent="0.2">
      <c r="A5" s="618" t="str">
        <f>'High Eff Ref Freeze'!$B$3</f>
        <v>High Efficiency Refrigeration/Freezer Cases</v>
      </c>
      <c r="B5" s="614" t="s">
        <v>315</v>
      </c>
      <c r="C5" s="614">
        <v>3</v>
      </c>
      <c r="D5" s="630">
        <f>IF('High Eff Ref Freeze'!W10&gt;0,'High Eff Ref Freeze'!M10,"")</f>
        <v>0</v>
      </c>
      <c r="E5" s="630" t="str">
        <f>IF($D5="","",IF('High Eff Ref Freeze'!$H10="Freezer",'Look Up Tables'!$AS$75,'Look Up Tables'!$AS$74))</f>
        <v>HECoolCase</v>
      </c>
      <c r="F5" s="636" t="str">
        <f>IF('Data Export'!$D5="","", 'High Eff Ref Freeze'!W10)</f>
        <v/>
      </c>
      <c r="G5" s="641">
        <f>IF('Data Export'!D5="","", 'Project Summary'!$C$6)</f>
        <v>0</v>
      </c>
      <c r="H5" s="635" t="str">
        <f>IF('Data Export'!$D5="","", 'High Eff Ref Freeze'!$R10)</f>
        <v/>
      </c>
      <c r="I5" s="633" t="str">
        <f>IF('Data Export'!$D5="","", 'High Eff Ref Freeze'!$U10)</f>
        <v/>
      </c>
      <c r="J5" s="630">
        <f>IF('Data Export'!$D5="","", 'Project Summary'!$J$1)</f>
        <v>5.01</v>
      </c>
      <c r="K5" s="630">
        <f>IF('Data Export'!$D5="","", 'High Eff Ref Freeze'!$D10)</f>
        <v>0</v>
      </c>
      <c r="L5" s="630">
        <f>IF('Data Export'!$D5="","", 'High Eff Ref Freeze'!$E10)</f>
        <v>0</v>
      </c>
      <c r="M5" s="630">
        <f>IF('Data Export'!$D5="","", 'Project Summary'!$C$13)</f>
        <v>0</v>
      </c>
      <c r="N5" s="630">
        <f>IF(D5="","",'High Eff Ref Freeze'!F10)</f>
        <v>0</v>
      </c>
      <c r="O5" s="614"/>
      <c r="P5" s="630">
        <f>IF('Data Export'!$D5="","",IF('High Eff Ref Freeze'!$H10="Refrigeration","Refrigerator",'High Eff Ref Freeze'!$H10))</f>
        <v>0</v>
      </c>
      <c r="Q5" s="614"/>
      <c r="R5" s="614"/>
      <c r="S5" s="614"/>
      <c r="T5" s="614"/>
      <c r="U5" s="614"/>
      <c r="V5" s="614"/>
      <c r="W5" s="614"/>
      <c r="X5" s="614"/>
      <c r="Y5" s="614"/>
      <c r="Z5" s="614"/>
      <c r="AA5" s="630">
        <f>IF('Data Export'!$D5="","",'High Eff Ref Freeze'!L10)</f>
        <v>0</v>
      </c>
      <c r="AB5" s="630">
        <f>IF('Data Export'!$D5="","",'High Eff Ref Freeze'!K10)</f>
        <v>0</v>
      </c>
      <c r="AC5" s="614"/>
      <c r="AD5" s="614"/>
      <c r="AE5" s="614"/>
      <c r="AF5" s="630">
        <f>IF('Data Export'!$D5="","",'High Eff Ref Freeze'!I10)</f>
        <v>0</v>
      </c>
      <c r="AG5" s="614"/>
      <c r="AH5" s="614"/>
      <c r="AI5" s="614"/>
      <c r="AJ5" s="614"/>
      <c r="AK5" s="614"/>
      <c r="AL5" s="614"/>
      <c r="AM5" s="633" t="str">
        <f xml:space="preserve"> IF('Data Export'!$D5="","", 'High Eff Ref Freeze'!$U10)</f>
        <v/>
      </c>
      <c r="AN5" s="633" t="str">
        <f>IF('Data Export'!$D5="","", 'High Eff Ref Freeze'!$T10)</f>
        <v/>
      </c>
      <c r="AO5" s="636" t="str">
        <f>IF('Data Export'!$D5="","", IFERROR(ROUND($F5/$D5, 2), ""))</f>
        <v/>
      </c>
      <c r="AP5" s="641">
        <f>IF('Data Export'!$D5="","",'Project Summary'!$C$11)</f>
        <v>0</v>
      </c>
      <c r="AQ5" s="647"/>
      <c r="AR5" s="647"/>
    </row>
    <row r="6" spans="1:44" x14ac:dyDescent="0.2">
      <c r="A6" s="618" t="str">
        <f>'High Eff Ref Freeze'!$B$3</f>
        <v>High Efficiency Refrigeration/Freezer Cases</v>
      </c>
      <c r="B6" s="614" t="s">
        <v>315</v>
      </c>
      <c r="C6" s="614">
        <v>4</v>
      </c>
      <c r="D6" s="630">
        <f>IF('High Eff Ref Freeze'!W11&gt;0,'High Eff Ref Freeze'!M11,"")</f>
        <v>0</v>
      </c>
      <c r="E6" s="630" t="str">
        <f>IF($D6="","",IF('High Eff Ref Freeze'!$H11="Freezer",'Look Up Tables'!$AS$75,'Look Up Tables'!$AS$74))</f>
        <v>HECoolCase</v>
      </c>
      <c r="F6" s="636" t="str">
        <f>IF('Data Export'!$D6="","", 'High Eff Ref Freeze'!W11)</f>
        <v/>
      </c>
      <c r="G6" s="641">
        <f>IF('Data Export'!D6="","", 'Project Summary'!$C$6)</f>
        <v>0</v>
      </c>
      <c r="H6" s="635" t="str">
        <f>IF('Data Export'!$D6="","", 'High Eff Ref Freeze'!$R11)</f>
        <v/>
      </c>
      <c r="I6" s="633" t="str">
        <f>IF('Data Export'!$D6="","", 'High Eff Ref Freeze'!$U11)</f>
        <v/>
      </c>
      <c r="J6" s="630">
        <f>IF('Data Export'!$D6="","", 'Project Summary'!$J$1)</f>
        <v>5.01</v>
      </c>
      <c r="K6" s="630">
        <f>IF('Data Export'!$D6="","", 'High Eff Ref Freeze'!$D11)</f>
        <v>0</v>
      </c>
      <c r="L6" s="630">
        <f>IF('Data Export'!$D6="","", 'High Eff Ref Freeze'!$E11)</f>
        <v>0</v>
      </c>
      <c r="M6" s="630">
        <f>IF('Data Export'!$D6="","", 'Project Summary'!$C$13)</f>
        <v>0</v>
      </c>
      <c r="N6" s="630">
        <f>IF(D6="","",'High Eff Ref Freeze'!F11)</f>
        <v>0</v>
      </c>
      <c r="O6" s="614"/>
      <c r="P6" s="630">
        <f>IF('Data Export'!$D6="","",IF('High Eff Ref Freeze'!$H11="Refrigeration","Refrigerator",'High Eff Ref Freeze'!$H11))</f>
        <v>0</v>
      </c>
      <c r="Q6" s="614"/>
      <c r="R6" s="614"/>
      <c r="S6" s="614"/>
      <c r="T6" s="614"/>
      <c r="U6" s="614"/>
      <c r="V6" s="614"/>
      <c r="W6" s="614"/>
      <c r="X6" s="614"/>
      <c r="Y6" s="614"/>
      <c r="Z6" s="614"/>
      <c r="AA6" s="630">
        <f>IF('Data Export'!$D6="","",'High Eff Ref Freeze'!L11)</f>
        <v>0</v>
      </c>
      <c r="AB6" s="630">
        <f>IF('Data Export'!$D6="","",'High Eff Ref Freeze'!K11)</f>
        <v>0</v>
      </c>
      <c r="AC6" s="614"/>
      <c r="AD6" s="614"/>
      <c r="AE6" s="614"/>
      <c r="AF6" s="630">
        <f>IF('Data Export'!$D6="","",'High Eff Ref Freeze'!I11)</f>
        <v>0</v>
      </c>
      <c r="AG6" s="614"/>
      <c r="AH6" s="614"/>
      <c r="AI6" s="614"/>
      <c r="AJ6" s="614"/>
      <c r="AK6" s="614"/>
      <c r="AL6" s="614"/>
      <c r="AM6" s="633" t="str">
        <f xml:space="preserve"> IF('Data Export'!$D6="","", 'High Eff Ref Freeze'!$U11)</f>
        <v/>
      </c>
      <c r="AN6" s="633" t="str">
        <f>IF('Data Export'!$D6="","", 'High Eff Ref Freeze'!$T11)</f>
        <v/>
      </c>
      <c r="AO6" s="636" t="str">
        <f>IF('Data Export'!$D6="","", IFERROR(ROUND($F6/$D6, 2), ""))</f>
        <v/>
      </c>
      <c r="AP6" s="641">
        <f>IF('Data Export'!$D6="","",'Project Summary'!$C$11)</f>
        <v>0</v>
      </c>
      <c r="AQ6" s="647"/>
      <c r="AR6" s="647"/>
    </row>
    <row r="7" spans="1:44" x14ac:dyDescent="0.2">
      <c r="A7" s="618" t="str">
        <f>'High Eff Ref Freeze'!$B$3</f>
        <v>High Efficiency Refrigeration/Freezer Cases</v>
      </c>
      <c r="B7" s="614" t="s">
        <v>315</v>
      </c>
      <c r="C7" s="614">
        <v>5</v>
      </c>
      <c r="D7" s="630">
        <f>IF('High Eff Ref Freeze'!W12&gt;0,'High Eff Ref Freeze'!M12,"")</f>
        <v>0</v>
      </c>
      <c r="E7" s="630" t="str">
        <f>IF($D7="","",IF('High Eff Ref Freeze'!$H12="Freezer",'Look Up Tables'!$AS$75,'Look Up Tables'!$AS$74))</f>
        <v>HECoolCase</v>
      </c>
      <c r="F7" s="636" t="str">
        <f>IF('Data Export'!$D7="","", 'High Eff Ref Freeze'!W12)</f>
        <v/>
      </c>
      <c r="G7" s="641">
        <f>IF('Data Export'!D7="","", 'Project Summary'!$C$6)</f>
        <v>0</v>
      </c>
      <c r="H7" s="635" t="str">
        <f>IF('Data Export'!$D7="","", 'High Eff Ref Freeze'!$R12)</f>
        <v/>
      </c>
      <c r="I7" s="633" t="str">
        <f>IF('Data Export'!$D7="","", 'High Eff Ref Freeze'!$U12)</f>
        <v/>
      </c>
      <c r="J7" s="630">
        <f>IF('Data Export'!$D7="","", 'Project Summary'!$J$1)</f>
        <v>5.01</v>
      </c>
      <c r="K7" s="630">
        <f>IF('Data Export'!$D7="","", 'High Eff Ref Freeze'!$D12)</f>
        <v>0</v>
      </c>
      <c r="L7" s="630">
        <f>IF('Data Export'!$D7="","", 'High Eff Ref Freeze'!$E12)</f>
        <v>0</v>
      </c>
      <c r="M7" s="630">
        <f>IF('Data Export'!$D7="","", 'Project Summary'!$C$13)</f>
        <v>0</v>
      </c>
      <c r="N7" s="630">
        <f>IF(D7="","",'High Eff Ref Freeze'!F12)</f>
        <v>0</v>
      </c>
      <c r="O7" s="614"/>
      <c r="P7" s="630">
        <f>IF('Data Export'!$D7="","",IF('High Eff Ref Freeze'!$H12="Refrigeration","Refrigerator",'High Eff Ref Freeze'!$H12))</f>
        <v>0</v>
      </c>
      <c r="Q7" s="614"/>
      <c r="R7" s="614"/>
      <c r="S7" s="614"/>
      <c r="T7" s="614"/>
      <c r="U7" s="614"/>
      <c r="V7" s="614"/>
      <c r="W7" s="614"/>
      <c r="X7" s="614"/>
      <c r="Y7" s="614"/>
      <c r="Z7" s="614"/>
      <c r="AA7" s="630">
        <f>IF('Data Export'!$D7="","",'High Eff Ref Freeze'!L12)</f>
        <v>0</v>
      </c>
      <c r="AB7" s="630">
        <f>IF('Data Export'!$D7="","",'High Eff Ref Freeze'!K12)</f>
        <v>0</v>
      </c>
      <c r="AC7" s="614"/>
      <c r="AD7" s="614"/>
      <c r="AE7" s="614"/>
      <c r="AF7" s="630">
        <f>IF('Data Export'!$D7="","",'High Eff Ref Freeze'!I12)</f>
        <v>0</v>
      </c>
      <c r="AG7" s="614"/>
      <c r="AH7" s="614"/>
      <c r="AI7" s="614"/>
      <c r="AJ7" s="614"/>
      <c r="AK7" s="614"/>
      <c r="AL7" s="614"/>
      <c r="AM7" s="633" t="str">
        <f xml:space="preserve"> IF('Data Export'!$D7="","", 'High Eff Ref Freeze'!$U12)</f>
        <v/>
      </c>
      <c r="AN7" s="633" t="str">
        <f>IF('Data Export'!$D7="","", 'High Eff Ref Freeze'!$T12)</f>
        <v/>
      </c>
      <c r="AO7" s="636" t="str">
        <f>IF('Data Export'!$D7="","", IFERROR(ROUND($F7/$D7, 2), ""))</f>
        <v/>
      </c>
      <c r="AP7" s="641">
        <f>IF('Data Export'!$D7="","",'Project Summary'!$C$11)</f>
        <v>0</v>
      </c>
      <c r="AQ7" s="647"/>
      <c r="AR7" s="647"/>
    </row>
    <row r="8" spans="1:44" x14ac:dyDescent="0.2">
      <c r="A8" s="618" t="str">
        <f>'High Eff Ref Freeze'!$B$3</f>
        <v>High Efficiency Refrigeration/Freezer Cases</v>
      </c>
      <c r="B8" s="614" t="s">
        <v>315</v>
      </c>
      <c r="C8" s="614">
        <v>6</v>
      </c>
      <c r="D8" s="630">
        <f>IF('High Eff Ref Freeze'!W13&gt;0,'High Eff Ref Freeze'!M13,"")</f>
        <v>0</v>
      </c>
      <c r="E8" s="630" t="str">
        <f>IF($D8="","",IF('High Eff Ref Freeze'!$H13="Freezer",'Look Up Tables'!$AS$75,'Look Up Tables'!$AS$74))</f>
        <v>HECoolCase</v>
      </c>
      <c r="F8" s="636" t="str">
        <f>IF('Data Export'!$D8="","", 'High Eff Ref Freeze'!W13)</f>
        <v/>
      </c>
      <c r="G8" s="641">
        <f>IF('Data Export'!D8="","", 'Project Summary'!$C$6)</f>
        <v>0</v>
      </c>
      <c r="H8" s="635" t="str">
        <f>IF('Data Export'!$D8="","", 'High Eff Ref Freeze'!$R13)</f>
        <v/>
      </c>
      <c r="I8" s="633" t="str">
        <f>IF('Data Export'!$D8="","", 'High Eff Ref Freeze'!$U13)</f>
        <v/>
      </c>
      <c r="J8" s="630">
        <f>IF('Data Export'!$D8="","", 'Project Summary'!$J$1)</f>
        <v>5.01</v>
      </c>
      <c r="K8" s="630">
        <f>IF('Data Export'!$D8="","", 'High Eff Ref Freeze'!$D13)</f>
        <v>0</v>
      </c>
      <c r="L8" s="630">
        <f>IF('Data Export'!$D8="","", 'High Eff Ref Freeze'!$E13)</f>
        <v>0</v>
      </c>
      <c r="M8" s="630">
        <f>IF('Data Export'!$D8="","", 'Project Summary'!$C$13)</f>
        <v>0</v>
      </c>
      <c r="N8" s="630">
        <f>IF(D8="","",'High Eff Ref Freeze'!F13)</f>
        <v>0</v>
      </c>
      <c r="O8" s="614"/>
      <c r="P8" s="630">
        <f>IF('Data Export'!$D8="","",IF('High Eff Ref Freeze'!$H13="Refrigeration","Refrigerator",'High Eff Ref Freeze'!$H13))</f>
        <v>0</v>
      </c>
      <c r="Q8" s="614"/>
      <c r="R8" s="614"/>
      <c r="S8" s="614"/>
      <c r="T8" s="614"/>
      <c r="U8" s="614"/>
      <c r="V8" s="614"/>
      <c r="W8" s="614"/>
      <c r="X8" s="614"/>
      <c r="Y8" s="614"/>
      <c r="Z8" s="614"/>
      <c r="AA8" s="630">
        <f>IF('Data Export'!$D8="","",'High Eff Ref Freeze'!L13)</f>
        <v>0</v>
      </c>
      <c r="AB8" s="630">
        <f>IF('Data Export'!$D8="","",'High Eff Ref Freeze'!K13)</f>
        <v>0</v>
      </c>
      <c r="AC8" s="614"/>
      <c r="AD8" s="614"/>
      <c r="AE8" s="614"/>
      <c r="AF8" s="630">
        <f>IF('Data Export'!$D8="","",'High Eff Ref Freeze'!I13)</f>
        <v>0</v>
      </c>
      <c r="AG8" s="614"/>
      <c r="AH8" s="614"/>
      <c r="AI8" s="614"/>
      <c r="AJ8" s="614"/>
      <c r="AK8" s="614"/>
      <c r="AL8" s="614"/>
      <c r="AM8" s="633" t="str">
        <f xml:space="preserve"> IF('Data Export'!$D8="","", 'High Eff Ref Freeze'!$U13)</f>
        <v/>
      </c>
      <c r="AN8" s="633" t="str">
        <f>IF('Data Export'!$D8="","", 'High Eff Ref Freeze'!$T13)</f>
        <v/>
      </c>
      <c r="AO8" s="636" t="str">
        <f>IF('Data Export'!$D8="","", IFERROR(ROUND($F8/$D8, 2), ""))</f>
        <v/>
      </c>
      <c r="AP8" s="641">
        <f>IF('Data Export'!$D8="","",'Project Summary'!$C$11)</f>
        <v>0</v>
      </c>
      <c r="AQ8" s="647"/>
      <c r="AR8" s="647"/>
    </row>
    <row r="9" spans="1:44" x14ac:dyDescent="0.2">
      <c r="A9" s="618" t="str">
        <f>'High Eff Ref Freeze'!$B$3</f>
        <v>High Efficiency Refrigeration/Freezer Cases</v>
      </c>
      <c r="B9" s="614" t="s">
        <v>315</v>
      </c>
      <c r="C9" s="614">
        <v>7</v>
      </c>
      <c r="D9" s="630">
        <f>IF('High Eff Ref Freeze'!W14&gt;0,'High Eff Ref Freeze'!M14,"")</f>
        <v>0</v>
      </c>
      <c r="E9" s="630" t="str">
        <f>IF($D9="","",IF('High Eff Ref Freeze'!$H14="Freezer",'Look Up Tables'!$AS$75,'Look Up Tables'!$AS$74))</f>
        <v>HECoolCase</v>
      </c>
      <c r="F9" s="636" t="str">
        <f>IF('Data Export'!$D9="","", 'High Eff Ref Freeze'!W14)</f>
        <v/>
      </c>
      <c r="G9" s="641">
        <f>IF('Data Export'!D9="","", 'Project Summary'!$C$6)</f>
        <v>0</v>
      </c>
      <c r="H9" s="635" t="str">
        <f>IF('Data Export'!$D9="","", 'High Eff Ref Freeze'!$R14)</f>
        <v/>
      </c>
      <c r="I9" s="633" t="str">
        <f>IF('Data Export'!$D9="","", 'High Eff Ref Freeze'!$U14)</f>
        <v/>
      </c>
      <c r="J9" s="630">
        <f>IF('Data Export'!$D9="","", 'Project Summary'!$J$1)</f>
        <v>5.01</v>
      </c>
      <c r="K9" s="630">
        <f>IF('Data Export'!$D9="","", 'High Eff Ref Freeze'!$D14)</f>
        <v>0</v>
      </c>
      <c r="L9" s="630">
        <f>IF('Data Export'!$D9="","", 'High Eff Ref Freeze'!$E14)</f>
        <v>0</v>
      </c>
      <c r="M9" s="630">
        <f>IF('Data Export'!$D9="","", 'Project Summary'!$C$13)</f>
        <v>0</v>
      </c>
      <c r="N9" s="630">
        <f>IF(D9="","",'High Eff Ref Freeze'!F14)</f>
        <v>0</v>
      </c>
      <c r="O9" s="614"/>
      <c r="P9" s="630">
        <f>IF('Data Export'!$D9="","",IF('High Eff Ref Freeze'!$H14="Refrigeration","Refrigerator",'High Eff Ref Freeze'!$H14))</f>
        <v>0</v>
      </c>
      <c r="Q9" s="614"/>
      <c r="R9" s="614"/>
      <c r="S9" s="614"/>
      <c r="T9" s="614"/>
      <c r="U9" s="614"/>
      <c r="V9" s="614"/>
      <c r="W9" s="614"/>
      <c r="X9" s="614"/>
      <c r="Y9" s="614"/>
      <c r="Z9" s="614"/>
      <c r="AA9" s="630">
        <f>IF('Data Export'!$D9="","",'High Eff Ref Freeze'!L14)</f>
        <v>0</v>
      </c>
      <c r="AB9" s="630">
        <f>IF('Data Export'!$D9="","",'High Eff Ref Freeze'!K14)</f>
        <v>0</v>
      </c>
      <c r="AC9" s="614"/>
      <c r="AD9" s="614"/>
      <c r="AE9" s="614"/>
      <c r="AF9" s="630">
        <f>IF('Data Export'!$D9="","",'High Eff Ref Freeze'!I14)</f>
        <v>0</v>
      </c>
      <c r="AG9" s="614"/>
      <c r="AH9" s="614"/>
      <c r="AI9" s="614"/>
      <c r="AJ9" s="614"/>
      <c r="AK9" s="614"/>
      <c r="AL9" s="614"/>
      <c r="AM9" s="633" t="str">
        <f xml:space="preserve"> IF('Data Export'!$D9="","", 'High Eff Ref Freeze'!$U14)</f>
        <v/>
      </c>
      <c r="AN9" s="633" t="str">
        <f>IF('Data Export'!$D9="","", 'High Eff Ref Freeze'!$T14)</f>
        <v/>
      </c>
      <c r="AO9" s="636" t="str">
        <f>IF('Data Export'!$D9="","", IFERROR(ROUND($F9/$D9, 2), ""))</f>
        <v/>
      </c>
      <c r="AP9" s="641">
        <f>IF('Data Export'!$D9="","",'Project Summary'!$C$11)</f>
        <v>0</v>
      </c>
      <c r="AQ9" s="647"/>
      <c r="AR9" s="647"/>
    </row>
    <row r="10" spans="1:44" x14ac:dyDescent="0.2">
      <c r="A10" s="618" t="str">
        <f>'High Eff Ref Freeze'!$B$3</f>
        <v>High Efficiency Refrigeration/Freezer Cases</v>
      </c>
      <c r="B10" s="614" t="s">
        <v>315</v>
      </c>
      <c r="C10" s="614">
        <v>8</v>
      </c>
      <c r="D10" s="630">
        <f>IF('High Eff Ref Freeze'!W15&gt;0,'High Eff Ref Freeze'!M15,"")</f>
        <v>0</v>
      </c>
      <c r="E10" s="630" t="str">
        <f>IF($D10="","",IF('High Eff Ref Freeze'!$H15="Freezer",'Look Up Tables'!$AS$75,'Look Up Tables'!$AS$74))</f>
        <v>HECoolCase</v>
      </c>
      <c r="F10" s="636" t="str">
        <f>IF('Data Export'!$D10="","", 'High Eff Ref Freeze'!W15)</f>
        <v/>
      </c>
      <c r="G10" s="641">
        <f>IF('Data Export'!D10="","", 'Project Summary'!$C$6)</f>
        <v>0</v>
      </c>
      <c r="H10" s="635" t="str">
        <f>IF('Data Export'!$D10="","", 'High Eff Ref Freeze'!$R15)</f>
        <v/>
      </c>
      <c r="I10" s="633" t="str">
        <f>IF('Data Export'!$D10="","", 'High Eff Ref Freeze'!$U15)</f>
        <v/>
      </c>
      <c r="J10" s="630">
        <f>IF('Data Export'!$D10="","", 'Project Summary'!$J$1)</f>
        <v>5.01</v>
      </c>
      <c r="K10" s="630">
        <f>IF('Data Export'!$D10="","", 'High Eff Ref Freeze'!$D15)</f>
        <v>0</v>
      </c>
      <c r="L10" s="630">
        <f>IF('Data Export'!$D10="","", 'High Eff Ref Freeze'!$E15)</f>
        <v>0</v>
      </c>
      <c r="M10" s="630">
        <f>IF('Data Export'!$D10="","", 'Project Summary'!$C$13)</f>
        <v>0</v>
      </c>
      <c r="N10" s="630">
        <f>IF(D10="","",'High Eff Ref Freeze'!F15)</f>
        <v>0</v>
      </c>
      <c r="O10" s="614"/>
      <c r="P10" s="630">
        <f>IF('Data Export'!$D10="","",IF('High Eff Ref Freeze'!$H15="Refrigeration","Refrigerator",'High Eff Ref Freeze'!$H15))</f>
        <v>0</v>
      </c>
      <c r="Q10" s="614"/>
      <c r="R10" s="614"/>
      <c r="S10" s="614"/>
      <c r="T10" s="614"/>
      <c r="U10" s="614"/>
      <c r="V10" s="614"/>
      <c r="W10" s="614"/>
      <c r="X10" s="614"/>
      <c r="Y10" s="614"/>
      <c r="Z10" s="614"/>
      <c r="AA10" s="630">
        <f>IF('Data Export'!$D10="","",'High Eff Ref Freeze'!L15)</f>
        <v>0</v>
      </c>
      <c r="AB10" s="630">
        <f>IF('Data Export'!$D10="","",'High Eff Ref Freeze'!K15)</f>
        <v>0</v>
      </c>
      <c r="AC10" s="614"/>
      <c r="AD10" s="614"/>
      <c r="AE10" s="614"/>
      <c r="AF10" s="630">
        <f>IF('Data Export'!$D10="","",'High Eff Ref Freeze'!I15)</f>
        <v>0</v>
      </c>
      <c r="AG10" s="614"/>
      <c r="AH10" s="614"/>
      <c r="AI10" s="614"/>
      <c r="AJ10" s="614"/>
      <c r="AK10" s="614"/>
      <c r="AL10" s="614"/>
      <c r="AM10" s="633" t="str">
        <f xml:space="preserve"> IF('Data Export'!$D10="","", 'High Eff Ref Freeze'!$U15)</f>
        <v/>
      </c>
      <c r="AN10" s="633" t="str">
        <f>IF('Data Export'!$D10="","", 'High Eff Ref Freeze'!$T15)</f>
        <v/>
      </c>
      <c r="AO10" s="636" t="str">
        <f>IF('Data Export'!$D10="","", IFERROR(ROUND($F10/$D10, 2), ""))</f>
        <v/>
      </c>
      <c r="AP10" s="641">
        <f>IF('Data Export'!$D10="","",'Project Summary'!$C$11)</f>
        <v>0</v>
      </c>
      <c r="AQ10" s="647"/>
      <c r="AR10" s="647"/>
    </row>
    <row r="11" spans="1:44" x14ac:dyDescent="0.2">
      <c r="A11" s="618" t="str">
        <f>'High Eff Ref Freeze'!$B$3</f>
        <v>High Efficiency Refrigeration/Freezer Cases</v>
      </c>
      <c r="B11" s="614" t="s">
        <v>315</v>
      </c>
      <c r="C11" s="614">
        <v>9</v>
      </c>
      <c r="D11" s="630">
        <f>IF('High Eff Ref Freeze'!W16&gt;0,'High Eff Ref Freeze'!M16,"")</f>
        <v>0</v>
      </c>
      <c r="E11" s="630" t="str">
        <f>IF($D11="","",IF('High Eff Ref Freeze'!$H16="Freezer",'Look Up Tables'!$AS$75,'Look Up Tables'!$AS$74))</f>
        <v>HECoolCase</v>
      </c>
      <c r="F11" s="636" t="str">
        <f>IF('Data Export'!$D11="","", 'High Eff Ref Freeze'!W16)</f>
        <v/>
      </c>
      <c r="G11" s="641">
        <f>IF('Data Export'!D11="","", 'Project Summary'!$C$6)</f>
        <v>0</v>
      </c>
      <c r="H11" s="635" t="str">
        <f>IF('Data Export'!$D11="","", 'High Eff Ref Freeze'!$R16)</f>
        <v/>
      </c>
      <c r="I11" s="633" t="str">
        <f>IF('Data Export'!$D11="","", 'High Eff Ref Freeze'!$U16)</f>
        <v/>
      </c>
      <c r="J11" s="630">
        <f>IF('Data Export'!$D11="","", 'Project Summary'!$J$1)</f>
        <v>5.01</v>
      </c>
      <c r="K11" s="630">
        <f>IF('Data Export'!$D11="","", 'High Eff Ref Freeze'!$D16)</f>
        <v>0</v>
      </c>
      <c r="L11" s="630">
        <f>IF('Data Export'!$D11="","", 'High Eff Ref Freeze'!$E16)</f>
        <v>0</v>
      </c>
      <c r="M11" s="630">
        <f>IF('Data Export'!$D11="","", 'Project Summary'!$C$13)</f>
        <v>0</v>
      </c>
      <c r="N11" s="630">
        <f>IF(D11="","",'High Eff Ref Freeze'!F16)</f>
        <v>0</v>
      </c>
      <c r="O11" s="614"/>
      <c r="P11" s="630">
        <f>IF('Data Export'!$D11="","",IF('High Eff Ref Freeze'!$H16="Refrigeration","Refrigerator",'High Eff Ref Freeze'!$H16))</f>
        <v>0</v>
      </c>
      <c r="Q11" s="614"/>
      <c r="R11" s="614"/>
      <c r="S11" s="614"/>
      <c r="T11" s="614"/>
      <c r="U11" s="614"/>
      <c r="V11" s="614"/>
      <c r="W11" s="614"/>
      <c r="X11" s="614"/>
      <c r="Y11" s="614"/>
      <c r="Z11" s="614"/>
      <c r="AA11" s="630">
        <f>IF('Data Export'!$D11="","",'High Eff Ref Freeze'!L16)</f>
        <v>0</v>
      </c>
      <c r="AB11" s="630">
        <f>IF('Data Export'!$D11="","",'High Eff Ref Freeze'!K16)</f>
        <v>0</v>
      </c>
      <c r="AC11" s="614"/>
      <c r="AD11" s="614"/>
      <c r="AE11" s="614"/>
      <c r="AF11" s="630">
        <f>IF('Data Export'!$D11="","",'High Eff Ref Freeze'!I16)</f>
        <v>0</v>
      </c>
      <c r="AG11" s="614"/>
      <c r="AH11" s="614"/>
      <c r="AI11" s="614"/>
      <c r="AJ11" s="614"/>
      <c r="AK11" s="614"/>
      <c r="AL11" s="614"/>
      <c r="AM11" s="633" t="str">
        <f xml:space="preserve"> IF('Data Export'!$D11="","", 'High Eff Ref Freeze'!$U16)</f>
        <v/>
      </c>
      <c r="AN11" s="633" t="str">
        <f>IF('Data Export'!$D11="","", 'High Eff Ref Freeze'!$T16)</f>
        <v/>
      </c>
      <c r="AO11" s="636" t="str">
        <f>IF('Data Export'!$D11="","", IFERROR(ROUND($F11/$D11, 2), ""))</f>
        <v/>
      </c>
      <c r="AP11" s="641">
        <f>IF('Data Export'!$D11="","",'Project Summary'!$C$11)</f>
        <v>0</v>
      </c>
      <c r="AQ11" s="647"/>
      <c r="AR11" s="647"/>
    </row>
    <row r="12" spans="1:44" ht="15" thickBot="1" x14ac:dyDescent="0.25">
      <c r="A12" s="625" t="str">
        <f>'High Eff Ref Freeze'!$B$3</f>
        <v>High Efficiency Refrigeration/Freezer Cases</v>
      </c>
      <c r="B12" s="626" t="s">
        <v>315</v>
      </c>
      <c r="C12" s="626">
        <v>10</v>
      </c>
      <c r="D12" s="631">
        <f>IF('High Eff Ref Freeze'!W17&gt;0,'High Eff Ref Freeze'!M17,"")</f>
        <v>0</v>
      </c>
      <c r="E12" s="631" t="str">
        <f>IF($D12="","",IF('High Eff Ref Freeze'!$H17="Freezer",'Look Up Tables'!$AS$75,'Look Up Tables'!$AS$74))</f>
        <v>HECoolCase</v>
      </c>
      <c r="F12" s="638" t="str">
        <f>IF('Data Export'!$D12="","", 'High Eff Ref Freeze'!W17)</f>
        <v/>
      </c>
      <c r="G12" s="642">
        <f>IF('Data Export'!D12="","", 'Project Summary'!$C$6)</f>
        <v>0</v>
      </c>
      <c r="H12" s="639" t="str">
        <f>IF('Data Export'!$D12="","", 'High Eff Ref Freeze'!$R17)</f>
        <v/>
      </c>
      <c r="I12" s="634" t="str">
        <f>IF('Data Export'!$D12="","", 'High Eff Ref Freeze'!$U17)</f>
        <v/>
      </c>
      <c r="J12" s="631">
        <f>IF('Data Export'!$D12="","", 'Project Summary'!$J$1)</f>
        <v>5.01</v>
      </c>
      <c r="K12" s="631">
        <f>IF('Data Export'!$D12="","", 'High Eff Ref Freeze'!$D17)</f>
        <v>0</v>
      </c>
      <c r="L12" s="631">
        <f>IF('Data Export'!$D12="","", 'High Eff Ref Freeze'!$E17)</f>
        <v>0</v>
      </c>
      <c r="M12" s="631">
        <f>IF('Data Export'!$D12="","", 'Project Summary'!$C$13)</f>
        <v>0</v>
      </c>
      <c r="N12" s="631">
        <f>IF(D12="","",'High Eff Ref Freeze'!F17)</f>
        <v>0</v>
      </c>
      <c r="O12" s="626"/>
      <c r="P12" s="631">
        <f>IF('Data Export'!$D12="","",IF('High Eff Ref Freeze'!$H17="Refrigeration","Refrigerator",'High Eff Ref Freeze'!$H17))</f>
        <v>0</v>
      </c>
      <c r="Q12" s="626"/>
      <c r="R12" s="626"/>
      <c r="S12" s="626"/>
      <c r="T12" s="626"/>
      <c r="U12" s="626"/>
      <c r="V12" s="626"/>
      <c r="W12" s="626"/>
      <c r="X12" s="626"/>
      <c r="Y12" s="626"/>
      <c r="Z12" s="626"/>
      <c r="AA12" s="631">
        <f>IF('Data Export'!$D12="","",'High Eff Ref Freeze'!L17)</f>
        <v>0</v>
      </c>
      <c r="AB12" s="631">
        <f>IF('Data Export'!$D12="","",'High Eff Ref Freeze'!K17)</f>
        <v>0</v>
      </c>
      <c r="AC12" s="626"/>
      <c r="AD12" s="626"/>
      <c r="AE12" s="626"/>
      <c r="AF12" s="631">
        <f>IF('Data Export'!$D12="","",'High Eff Ref Freeze'!I17)</f>
        <v>0</v>
      </c>
      <c r="AG12" s="626"/>
      <c r="AH12" s="626"/>
      <c r="AI12" s="626"/>
      <c r="AJ12" s="626"/>
      <c r="AK12" s="626"/>
      <c r="AL12" s="626"/>
      <c r="AM12" s="634" t="str">
        <f xml:space="preserve"> IF('Data Export'!$D12="","", 'High Eff Ref Freeze'!$U17)</f>
        <v/>
      </c>
      <c r="AN12" s="634" t="str">
        <f>IF('Data Export'!$D12="","", 'High Eff Ref Freeze'!$T17)</f>
        <v/>
      </c>
      <c r="AO12" s="638" t="str">
        <f>IF('Data Export'!$D12="","", IFERROR(ROUND($F12/$D12, 2), ""))</f>
        <v/>
      </c>
      <c r="AP12" s="642">
        <f>IF('Data Export'!$D12="","",'Project Summary'!$C$11)</f>
        <v>0</v>
      </c>
      <c r="AQ12" s="648"/>
      <c r="AR12" s="648"/>
    </row>
    <row r="13" spans="1:44" ht="15" thickTop="1" x14ac:dyDescent="0.2">
      <c r="A13" s="620" t="str">
        <f>'Evap Fan Motors'!$B$3</f>
        <v>High Efficiency Evaporative Fan Motors for Refrigerated Cases</v>
      </c>
      <c r="B13" s="621" t="s">
        <v>316</v>
      </c>
      <c r="C13" s="621">
        <v>11</v>
      </c>
      <c r="D13" s="632">
        <f>IF('Evap Fan Motors'!S8&gt;0,'Evap Fan Motors'!M8,"")</f>
        <v>0</v>
      </c>
      <c r="E13" s="632" t="str">
        <f>IF($D13="","",'Look Up Tables'!BC3)</f>
        <v>HEEvapFanMotor</v>
      </c>
      <c r="F13" s="637" t="str">
        <f>IF('Data Export'!$D13="","",'Evap Fan Motors'!S8)</f>
        <v/>
      </c>
      <c r="G13" s="643">
        <f>IF('Data Export'!D13="","", 'Project Summary'!$C$6)</f>
        <v>0</v>
      </c>
      <c r="H13" s="640" t="str">
        <f>IF('Data Export'!$D13="","",'Evap Fan Motors'!N8)</f>
        <v/>
      </c>
      <c r="I13" s="658" t="str">
        <f>IF('Data Export'!$D13="","",'Evap Fan Motors'!O8)</f>
        <v/>
      </c>
      <c r="J13" s="632">
        <f>IF('Data Export'!$D13="","", 'Project Summary'!$J$1)</f>
        <v>5.01</v>
      </c>
      <c r="K13" s="632">
        <f>IF('Data Export'!$D13="","",'Evap Fan Motors'!D8)</f>
        <v>0</v>
      </c>
      <c r="L13" s="632">
        <f>IF('Data Export'!$D13="","",'Evap Fan Motors'!E8)</f>
        <v>0</v>
      </c>
      <c r="M13" s="632">
        <f>IF('Data Export'!$D13="","", 'Project Summary'!$C$13)</f>
        <v>0</v>
      </c>
      <c r="N13" s="621" t="str">
        <f>IF('Data Export'!$D13="","","")</f>
        <v/>
      </c>
      <c r="O13" s="621"/>
      <c r="P13" s="632">
        <f>IF('Data Export'!$D13="","",IF('Evap Fan Motors'!H8="Refrigeration","Refrigerator",'Evap Fan Motors'!H8))</f>
        <v>0</v>
      </c>
      <c r="Q13" s="632">
        <f>IF('Data Export'!$D13="","",ROUND('Evap Fan Motors'!K8,2))</f>
        <v>0</v>
      </c>
      <c r="R13" s="632">
        <f>IF('Data Export'!$D13="","",'Evap Fan Motors'!I8)</f>
        <v>0</v>
      </c>
      <c r="S13" s="632">
        <f>IF('Data Export'!$D13="","",ROUND('Evap Fan Motors'!L8,2))</f>
        <v>0</v>
      </c>
      <c r="T13" s="632">
        <f>IF('Data Export'!$D13="","",'Evap Fan Motors'!K8*746)</f>
        <v>0</v>
      </c>
      <c r="U13" s="632">
        <f>IF('Data Export'!$D13="","",'Evap Fan Motors'!J8)</f>
        <v>0</v>
      </c>
      <c r="V13" s="621"/>
      <c r="W13" s="621"/>
      <c r="X13" s="621"/>
      <c r="Y13" s="621"/>
      <c r="Z13" s="621"/>
      <c r="AA13" s="621"/>
      <c r="AB13" s="621"/>
      <c r="AC13" s="621"/>
      <c r="AD13" s="621"/>
      <c r="AE13" s="621"/>
      <c r="AF13" s="621"/>
      <c r="AG13" s="621"/>
      <c r="AH13" s="621"/>
      <c r="AI13" s="621"/>
      <c r="AJ13" s="621"/>
      <c r="AK13" s="621"/>
      <c r="AL13" s="632">
        <f>IF('Data Export'!$D13="","",'Evap Fan Motors'!M8)</f>
        <v>0</v>
      </c>
      <c r="AM13" s="645" t="str">
        <f>IF('Data Export'!$D13="","",'Evap Fan Motors'!Q8)</f>
        <v/>
      </c>
      <c r="AN13" s="645" t="str">
        <f>IF('Data Export'!$D13="","",'Evap Fan Motors'!P8)</f>
        <v/>
      </c>
      <c r="AO13" s="637" t="str">
        <f>IF('Data Export'!$D13="","", IFERROR(ROUND($F13/$D13, 2), ""))</f>
        <v/>
      </c>
      <c r="AP13" s="643">
        <f>IF('Data Export'!$D13="","",'Project Summary'!$C$11)</f>
        <v>0</v>
      </c>
      <c r="AQ13" s="653">
        <f xml:space="preserve"> IF('Data Export'!$D13="","",'Look Up Tables'!$C$167)</f>
        <v>3.4600000000000001E-5</v>
      </c>
      <c r="AR13" s="653">
        <f xml:space="preserve"> IF('Data Export'!$D13="","",'Look Up Tables'!$C$166)</f>
        <v>2.7399999999999999E-5</v>
      </c>
    </row>
    <row r="14" spans="1:44" x14ac:dyDescent="0.2">
      <c r="A14" s="618" t="str">
        <f>'Evap Fan Motors'!$B$3</f>
        <v>High Efficiency Evaporative Fan Motors for Refrigerated Cases</v>
      </c>
      <c r="B14" s="614" t="s">
        <v>316</v>
      </c>
      <c r="C14" s="614">
        <v>12</v>
      </c>
      <c r="D14" s="630">
        <f>IF('Evap Fan Motors'!S9&gt;0,'Evap Fan Motors'!M9,"")</f>
        <v>0</v>
      </c>
      <c r="E14" s="630" t="str">
        <f>IF($D14="","",'Look Up Tables'!BC4)</f>
        <v>HEEvapFanMotor</v>
      </c>
      <c r="F14" s="636" t="str">
        <f>IF('Data Export'!$D14="","",'Evap Fan Motors'!S9)</f>
        <v/>
      </c>
      <c r="G14" s="641">
        <f>IF('Data Export'!D14="","", 'Project Summary'!$C$6)</f>
        <v>0</v>
      </c>
      <c r="H14" s="635" t="str">
        <f>IF('Data Export'!$D14="","",'Evap Fan Motors'!N9)</f>
        <v/>
      </c>
      <c r="I14" s="644" t="str">
        <f>IF('Data Export'!$D14="","",'Evap Fan Motors'!O9)</f>
        <v/>
      </c>
      <c r="J14" s="630">
        <f>IF('Data Export'!$D14="","", 'Project Summary'!$J$1)</f>
        <v>5.01</v>
      </c>
      <c r="K14" s="630">
        <f>IF('Data Export'!$D14="","",'Evap Fan Motors'!D9)</f>
        <v>0</v>
      </c>
      <c r="L14" s="630">
        <f>IF('Data Export'!$D14="","",'Evap Fan Motors'!E9)</f>
        <v>0</v>
      </c>
      <c r="M14" s="630">
        <f>IF('Data Export'!$D14="","", 'Project Summary'!$C$13)</f>
        <v>0</v>
      </c>
      <c r="N14" s="614" t="str">
        <f>IF('Data Export'!$D14="","","")</f>
        <v/>
      </c>
      <c r="O14" s="614"/>
      <c r="P14" s="630">
        <f>IF('Data Export'!$D14="","",IF('Evap Fan Motors'!H9="Refrigeration","Refrigerator",'Evap Fan Motors'!H9))</f>
        <v>0</v>
      </c>
      <c r="Q14" s="630">
        <f>IF('Data Export'!$D14="","",ROUND('Evap Fan Motors'!K9,2))</f>
        <v>0</v>
      </c>
      <c r="R14" s="630">
        <f>IF('Data Export'!$D14="","",'Evap Fan Motors'!I9)</f>
        <v>0</v>
      </c>
      <c r="S14" s="630">
        <f>IF('Data Export'!$D14="","",ROUND('Evap Fan Motors'!L9,2))</f>
        <v>0</v>
      </c>
      <c r="T14" s="630">
        <f>IF('Data Export'!$D14="","",'Evap Fan Motors'!K9*746)</f>
        <v>0</v>
      </c>
      <c r="U14" s="630">
        <f>IF('Data Export'!$D14="","",'Evap Fan Motors'!J9)</f>
        <v>0</v>
      </c>
      <c r="V14" s="614"/>
      <c r="W14" s="614"/>
      <c r="X14" s="614"/>
      <c r="Y14" s="614"/>
      <c r="Z14" s="614"/>
      <c r="AA14" s="614"/>
      <c r="AB14" s="614"/>
      <c r="AC14" s="614"/>
      <c r="AD14" s="614"/>
      <c r="AE14" s="614"/>
      <c r="AF14" s="614"/>
      <c r="AG14" s="614"/>
      <c r="AH14" s="614"/>
      <c r="AI14" s="614"/>
      <c r="AJ14" s="614"/>
      <c r="AK14" s="614"/>
      <c r="AL14" s="630">
        <f>IF('Data Export'!$D14="","",'Evap Fan Motors'!M9)</f>
        <v>0</v>
      </c>
      <c r="AM14" s="632" t="str">
        <f>IF('Data Export'!$D14="","",'Evap Fan Motors'!Q9)</f>
        <v/>
      </c>
      <c r="AN14" s="632" t="str">
        <f>IF('Data Export'!$D14="","",'Evap Fan Motors'!P9)</f>
        <v/>
      </c>
      <c r="AO14" s="636" t="str">
        <f>IF('Data Export'!$D14="","", IFERROR(ROUND($F14/$D14, 2), ""))</f>
        <v/>
      </c>
      <c r="AP14" s="641">
        <f>IF('Data Export'!$D14="","",'Project Summary'!$C$11)</f>
        <v>0</v>
      </c>
      <c r="AQ14" s="652">
        <f xml:space="preserve"> IF('Data Export'!$D14="","",'Look Up Tables'!$C$167)</f>
        <v>3.4600000000000001E-5</v>
      </c>
      <c r="AR14" s="652">
        <f xml:space="preserve"> IF('Data Export'!$D14="","",'Look Up Tables'!$C$166)</f>
        <v>2.7399999999999999E-5</v>
      </c>
    </row>
    <row r="15" spans="1:44" x14ac:dyDescent="0.2">
      <c r="A15" s="618" t="str">
        <f>'Evap Fan Motors'!$B$3</f>
        <v>High Efficiency Evaporative Fan Motors for Refrigerated Cases</v>
      </c>
      <c r="B15" s="614" t="s">
        <v>316</v>
      </c>
      <c r="C15" s="614">
        <v>13</v>
      </c>
      <c r="D15" s="630">
        <f>IF('Evap Fan Motors'!S10&gt;0,'Evap Fan Motors'!M10,"")</f>
        <v>0</v>
      </c>
      <c r="E15" s="630" t="str">
        <f>IF($D15="","",'Look Up Tables'!BC5)</f>
        <v>HEEvapFanMotor</v>
      </c>
      <c r="F15" s="636" t="str">
        <f>IF('Data Export'!$D15="","",'Evap Fan Motors'!S10)</f>
        <v/>
      </c>
      <c r="G15" s="641">
        <f>IF('Data Export'!D15="","", 'Project Summary'!$C$6)</f>
        <v>0</v>
      </c>
      <c r="H15" s="635" t="str">
        <f>IF('Data Export'!$D15="","",'Evap Fan Motors'!N10)</f>
        <v/>
      </c>
      <c r="I15" s="644" t="str">
        <f>IF('Data Export'!$D15="","",'Evap Fan Motors'!O10)</f>
        <v/>
      </c>
      <c r="J15" s="630">
        <f>IF('Data Export'!$D15="","", 'Project Summary'!$J$1)</f>
        <v>5.01</v>
      </c>
      <c r="K15" s="630">
        <f>IF('Data Export'!$D15="","",'Evap Fan Motors'!D10)</f>
        <v>0</v>
      </c>
      <c r="L15" s="630">
        <f>IF('Data Export'!$D15="","",'Evap Fan Motors'!E10)</f>
        <v>0</v>
      </c>
      <c r="M15" s="630">
        <f>IF('Data Export'!$D15="","", 'Project Summary'!$C$13)</f>
        <v>0</v>
      </c>
      <c r="N15" s="614" t="str">
        <f>IF('Data Export'!$D15="","","")</f>
        <v/>
      </c>
      <c r="O15" s="614"/>
      <c r="P15" s="630">
        <f>IF('Data Export'!$D15="","",IF('Evap Fan Motors'!H10="Refrigeration","Refrigerator",'Evap Fan Motors'!H10))</f>
        <v>0</v>
      </c>
      <c r="Q15" s="630">
        <f>IF('Data Export'!$D15="","",ROUND('Evap Fan Motors'!K10,2))</f>
        <v>0</v>
      </c>
      <c r="R15" s="630">
        <f>IF('Data Export'!$D15="","",'Evap Fan Motors'!I10)</f>
        <v>0</v>
      </c>
      <c r="S15" s="630">
        <f>IF('Data Export'!$D15="","",ROUND('Evap Fan Motors'!L10,2))</f>
        <v>0</v>
      </c>
      <c r="T15" s="630">
        <f>IF('Data Export'!$D15="","",'Evap Fan Motors'!K10*746)</f>
        <v>0</v>
      </c>
      <c r="U15" s="630">
        <f>IF('Data Export'!$D15="","",'Evap Fan Motors'!J10)</f>
        <v>0</v>
      </c>
      <c r="V15" s="614"/>
      <c r="W15" s="614"/>
      <c r="X15" s="614"/>
      <c r="Y15" s="614"/>
      <c r="Z15" s="614"/>
      <c r="AA15" s="614"/>
      <c r="AB15" s="614"/>
      <c r="AC15" s="614"/>
      <c r="AD15" s="614"/>
      <c r="AE15" s="614"/>
      <c r="AF15" s="614"/>
      <c r="AG15" s="614"/>
      <c r="AH15" s="614"/>
      <c r="AI15" s="614"/>
      <c r="AJ15" s="614"/>
      <c r="AK15" s="614"/>
      <c r="AL15" s="630">
        <f>IF('Data Export'!$D15="","",'Evap Fan Motors'!M10)</f>
        <v>0</v>
      </c>
      <c r="AM15" s="632" t="str">
        <f>IF('Data Export'!$D15="","",'Evap Fan Motors'!Q10)</f>
        <v/>
      </c>
      <c r="AN15" s="632" t="str">
        <f>IF('Data Export'!$D15="","",'Evap Fan Motors'!P10)</f>
        <v/>
      </c>
      <c r="AO15" s="636" t="str">
        <f>IF('Data Export'!$D15="","", IFERROR(ROUND($F15/$D15, 2), ""))</f>
        <v/>
      </c>
      <c r="AP15" s="641">
        <f>IF('Data Export'!$D15="","",'Project Summary'!$C$11)</f>
        <v>0</v>
      </c>
      <c r="AQ15" s="652">
        <f xml:space="preserve"> IF('Data Export'!$D15="","",'Look Up Tables'!$C$167)</f>
        <v>3.4600000000000001E-5</v>
      </c>
      <c r="AR15" s="652">
        <f xml:space="preserve"> IF('Data Export'!$D15="","",'Look Up Tables'!$C$166)</f>
        <v>2.7399999999999999E-5</v>
      </c>
    </row>
    <row r="16" spans="1:44" x14ac:dyDescent="0.2">
      <c r="A16" s="618" t="str">
        <f>'Evap Fan Motors'!$B$3</f>
        <v>High Efficiency Evaporative Fan Motors for Refrigerated Cases</v>
      </c>
      <c r="B16" s="614" t="s">
        <v>316</v>
      </c>
      <c r="C16" s="614">
        <v>14</v>
      </c>
      <c r="D16" s="630">
        <f>IF('Evap Fan Motors'!S11&gt;0,'Evap Fan Motors'!M11,"")</f>
        <v>0</v>
      </c>
      <c r="E16" s="630" t="str">
        <f>IF($D16="","",'Look Up Tables'!BC6)</f>
        <v>HEEvapFanMotor</v>
      </c>
      <c r="F16" s="636" t="str">
        <f>IF('Data Export'!$D16="","",'Evap Fan Motors'!S11)</f>
        <v/>
      </c>
      <c r="G16" s="641">
        <f>IF('Data Export'!D16="","", 'Project Summary'!$C$6)</f>
        <v>0</v>
      </c>
      <c r="H16" s="635" t="str">
        <f>IF('Data Export'!$D16="","",'Evap Fan Motors'!N11)</f>
        <v/>
      </c>
      <c r="I16" s="644" t="str">
        <f>IF('Data Export'!$D16="","",'Evap Fan Motors'!O11)</f>
        <v/>
      </c>
      <c r="J16" s="630">
        <f>IF('Data Export'!$D16="","", 'Project Summary'!$J$1)</f>
        <v>5.01</v>
      </c>
      <c r="K16" s="630">
        <f>IF('Data Export'!$D16="","",'Evap Fan Motors'!D11)</f>
        <v>0</v>
      </c>
      <c r="L16" s="630">
        <f>IF('Data Export'!$D16="","",'Evap Fan Motors'!E11)</f>
        <v>0</v>
      </c>
      <c r="M16" s="630">
        <f>IF('Data Export'!$D16="","", 'Project Summary'!$C$13)</f>
        <v>0</v>
      </c>
      <c r="N16" s="614" t="str">
        <f>IF('Data Export'!$D16="","","")</f>
        <v/>
      </c>
      <c r="O16" s="614"/>
      <c r="P16" s="630">
        <f>IF('Data Export'!$D16="","",IF('Evap Fan Motors'!H11="Refrigeration","Refrigerator",'Evap Fan Motors'!H11))</f>
        <v>0</v>
      </c>
      <c r="Q16" s="630">
        <f>IF('Data Export'!$D16="","",ROUND('Evap Fan Motors'!K11,2))</f>
        <v>0</v>
      </c>
      <c r="R16" s="630">
        <f>IF('Data Export'!$D16="","",'Evap Fan Motors'!I11)</f>
        <v>0</v>
      </c>
      <c r="S16" s="630">
        <f>IF('Data Export'!$D16="","",ROUND('Evap Fan Motors'!L11,2))</f>
        <v>0</v>
      </c>
      <c r="T16" s="630">
        <f>IF('Data Export'!$D16="","",'Evap Fan Motors'!K11*746)</f>
        <v>0</v>
      </c>
      <c r="U16" s="630">
        <f>IF('Data Export'!$D16="","",'Evap Fan Motors'!J11)</f>
        <v>0</v>
      </c>
      <c r="V16" s="614"/>
      <c r="W16" s="614"/>
      <c r="X16" s="614"/>
      <c r="Y16" s="614"/>
      <c r="Z16" s="614"/>
      <c r="AA16" s="614"/>
      <c r="AB16" s="614"/>
      <c r="AC16" s="614"/>
      <c r="AD16" s="614"/>
      <c r="AE16" s="614"/>
      <c r="AF16" s="614"/>
      <c r="AG16" s="614"/>
      <c r="AH16" s="614"/>
      <c r="AI16" s="614"/>
      <c r="AJ16" s="614"/>
      <c r="AK16" s="614"/>
      <c r="AL16" s="630">
        <f>IF('Data Export'!$D16="","",'Evap Fan Motors'!M11)</f>
        <v>0</v>
      </c>
      <c r="AM16" s="632" t="str">
        <f>IF('Data Export'!$D16="","",'Evap Fan Motors'!Q11)</f>
        <v/>
      </c>
      <c r="AN16" s="632" t="str">
        <f>IF('Data Export'!$D16="","",'Evap Fan Motors'!P11)</f>
        <v/>
      </c>
      <c r="AO16" s="636" t="str">
        <f>IF('Data Export'!$D16="","", IFERROR(ROUND($F16/$D16, 2), ""))</f>
        <v/>
      </c>
      <c r="AP16" s="641">
        <f>IF('Data Export'!$D16="","",'Project Summary'!$C$11)</f>
        <v>0</v>
      </c>
      <c r="AQ16" s="652">
        <f xml:space="preserve"> IF('Data Export'!$D16="","",'Look Up Tables'!$C$167)</f>
        <v>3.4600000000000001E-5</v>
      </c>
      <c r="AR16" s="652">
        <f xml:space="preserve"> IF('Data Export'!$D16="","",'Look Up Tables'!$C$166)</f>
        <v>2.7399999999999999E-5</v>
      </c>
    </row>
    <row r="17" spans="1:44" x14ac:dyDescent="0.2">
      <c r="A17" s="618" t="str">
        <f>'Evap Fan Motors'!$B$3</f>
        <v>High Efficiency Evaporative Fan Motors for Refrigerated Cases</v>
      </c>
      <c r="B17" s="614" t="s">
        <v>316</v>
      </c>
      <c r="C17" s="614">
        <v>15</v>
      </c>
      <c r="D17" s="630">
        <f>IF('Evap Fan Motors'!S12&gt;0,'Evap Fan Motors'!M12,"")</f>
        <v>0</v>
      </c>
      <c r="E17" s="630" t="str">
        <f>IF($D17="","",'Look Up Tables'!BC7)</f>
        <v>HEEvapFanMotor</v>
      </c>
      <c r="F17" s="636" t="str">
        <f>IF('Data Export'!$D17="","",'Evap Fan Motors'!S12)</f>
        <v/>
      </c>
      <c r="G17" s="641">
        <f>IF('Data Export'!D17="","", 'Project Summary'!$C$6)</f>
        <v>0</v>
      </c>
      <c r="H17" s="635" t="str">
        <f>IF('Data Export'!$D17="","",'Evap Fan Motors'!N12)</f>
        <v/>
      </c>
      <c r="I17" s="644" t="str">
        <f>IF('Data Export'!$D17="","",'Evap Fan Motors'!O12)</f>
        <v/>
      </c>
      <c r="J17" s="630">
        <f>IF('Data Export'!$D17="","", 'Project Summary'!$J$1)</f>
        <v>5.01</v>
      </c>
      <c r="K17" s="630">
        <f>IF('Data Export'!$D17="","",'Evap Fan Motors'!D12)</f>
        <v>0</v>
      </c>
      <c r="L17" s="630">
        <f>IF('Data Export'!$D17="","",'Evap Fan Motors'!E12)</f>
        <v>0</v>
      </c>
      <c r="M17" s="630">
        <f>IF('Data Export'!$D17="","", 'Project Summary'!$C$13)</f>
        <v>0</v>
      </c>
      <c r="N17" s="614" t="str">
        <f>IF('Data Export'!$D17="","","")</f>
        <v/>
      </c>
      <c r="O17" s="614"/>
      <c r="P17" s="630">
        <f>IF('Data Export'!$D17="","",IF('Evap Fan Motors'!H12="Refrigeration","Refrigerator",'Evap Fan Motors'!H12))</f>
        <v>0</v>
      </c>
      <c r="Q17" s="630">
        <f>IF('Data Export'!$D17="","",ROUND('Evap Fan Motors'!K12,2))</f>
        <v>0</v>
      </c>
      <c r="R17" s="630">
        <f>IF('Data Export'!$D17="","",'Evap Fan Motors'!I12)</f>
        <v>0</v>
      </c>
      <c r="S17" s="630">
        <f>IF('Data Export'!$D17="","",ROUND('Evap Fan Motors'!L12,2))</f>
        <v>0</v>
      </c>
      <c r="T17" s="630">
        <f>IF('Data Export'!$D17="","",'Evap Fan Motors'!K12*746)</f>
        <v>0</v>
      </c>
      <c r="U17" s="630">
        <f>IF('Data Export'!$D17="","",'Evap Fan Motors'!J12)</f>
        <v>0</v>
      </c>
      <c r="V17" s="614"/>
      <c r="W17" s="614"/>
      <c r="X17" s="614"/>
      <c r="Y17" s="614"/>
      <c r="Z17" s="614"/>
      <c r="AA17" s="614"/>
      <c r="AB17" s="614"/>
      <c r="AC17" s="614"/>
      <c r="AD17" s="614"/>
      <c r="AE17" s="614"/>
      <c r="AF17" s="614"/>
      <c r="AG17" s="614"/>
      <c r="AH17" s="614"/>
      <c r="AI17" s="614"/>
      <c r="AJ17" s="614"/>
      <c r="AK17" s="614"/>
      <c r="AL17" s="630">
        <f>IF('Data Export'!$D17="","",'Evap Fan Motors'!M12)</f>
        <v>0</v>
      </c>
      <c r="AM17" s="632" t="str">
        <f>IF('Data Export'!$D17="","",'Evap Fan Motors'!Q12)</f>
        <v/>
      </c>
      <c r="AN17" s="632" t="str">
        <f>IF('Data Export'!$D17="","",'Evap Fan Motors'!P12)</f>
        <v/>
      </c>
      <c r="AO17" s="636" t="str">
        <f>IF('Data Export'!$D17="","", IFERROR(ROUND($F17/$D17, 2), ""))</f>
        <v/>
      </c>
      <c r="AP17" s="641">
        <f>IF('Data Export'!$D17="","",'Project Summary'!$C$11)</f>
        <v>0</v>
      </c>
      <c r="AQ17" s="652">
        <f xml:space="preserve"> IF('Data Export'!$D17="","",'Look Up Tables'!$C$167)</f>
        <v>3.4600000000000001E-5</v>
      </c>
      <c r="AR17" s="652">
        <f xml:space="preserve"> IF('Data Export'!$D17="","",'Look Up Tables'!$C$166)</f>
        <v>2.7399999999999999E-5</v>
      </c>
    </row>
    <row r="18" spans="1:44" x14ac:dyDescent="0.2">
      <c r="A18" s="618" t="str">
        <f>'Evap Fan Motors'!$B$3</f>
        <v>High Efficiency Evaporative Fan Motors for Refrigerated Cases</v>
      </c>
      <c r="B18" s="614" t="s">
        <v>316</v>
      </c>
      <c r="C18" s="614">
        <v>16</v>
      </c>
      <c r="D18" s="630">
        <f>IF('Evap Fan Motors'!S13&gt;0,'Evap Fan Motors'!M13,"")</f>
        <v>0</v>
      </c>
      <c r="E18" s="630" t="str">
        <f>IF($D18="","",'Look Up Tables'!BC8)</f>
        <v>HEEvapFanMotor</v>
      </c>
      <c r="F18" s="636" t="str">
        <f>IF('Data Export'!$D18="","",'Evap Fan Motors'!S13)</f>
        <v/>
      </c>
      <c r="G18" s="641">
        <f>IF('Data Export'!D18="","", 'Project Summary'!$C$6)</f>
        <v>0</v>
      </c>
      <c r="H18" s="635" t="str">
        <f>IF('Data Export'!$D18="","",'Evap Fan Motors'!N13)</f>
        <v/>
      </c>
      <c r="I18" s="644" t="str">
        <f>IF('Data Export'!$D18="","",'Evap Fan Motors'!O13)</f>
        <v/>
      </c>
      <c r="J18" s="630">
        <f>IF('Data Export'!$D18="","", 'Project Summary'!$J$1)</f>
        <v>5.01</v>
      </c>
      <c r="K18" s="630">
        <f>IF('Data Export'!$D18="","",'Evap Fan Motors'!D13)</f>
        <v>0</v>
      </c>
      <c r="L18" s="630">
        <f>IF('Data Export'!$D18="","",'Evap Fan Motors'!E13)</f>
        <v>0</v>
      </c>
      <c r="M18" s="630">
        <f>IF('Data Export'!$D18="","", 'Project Summary'!$C$13)</f>
        <v>0</v>
      </c>
      <c r="N18" s="614" t="str">
        <f>IF('Data Export'!$D18="","","")</f>
        <v/>
      </c>
      <c r="O18" s="614"/>
      <c r="P18" s="630">
        <f>IF('Data Export'!$D18="","",IF('Evap Fan Motors'!H13="Refrigeration","Refrigerator",'Evap Fan Motors'!H13))</f>
        <v>0</v>
      </c>
      <c r="Q18" s="630">
        <f>IF('Data Export'!$D18="","",ROUND('Evap Fan Motors'!K13,2))</f>
        <v>0</v>
      </c>
      <c r="R18" s="630">
        <f>IF('Data Export'!$D18="","",'Evap Fan Motors'!I13)</f>
        <v>0</v>
      </c>
      <c r="S18" s="630">
        <f>IF('Data Export'!$D18="","",ROUND('Evap Fan Motors'!L13,2))</f>
        <v>0</v>
      </c>
      <c r="T18" s="630">
        <f>IF('Data Export'!$D18="","",'Evap Fan Motors'!K13*746)</f>
        <v>0</v>
      </c>
      <c r="U18" s="630">
        <f>IF('Data Export'!$D18="","",'Evap Fan Motors'!J13)</f>
        <v>0</v>
      </c>
      <c r="V18" s="614"/>
      <c r="W18" s="614"/>
      <c r="X18" s="614"/>
      <c r="Y18" s="614"/>
      <c r="Z18" s="614"/>
      <c r="AA18" s="614"/>
      <c r="AB18" s="614"/>
      <c r="AC18" s="614"/>
      <c r="AD18" s="614"/>
      <c r="AE18" s="614"/>
      <c r="AF18" s="614"/>
      <c r="AG18" s="614"/>
      <c r="AH18" s="614"/>
      <c r="AI18" s="614"/>
      <c r="AJ18" s="614"/>
      <c r="AK18" s="614"/>
      <c r="AL18" s="630">
        <f>IF('Data Export'!$D18="","",'Evap Fan Motors'!M13)</f>
        <v>0</v>
      </c>
      <c r="AM18" s="632" t="str">
        <f>IF('Data Export'!$D18="","",'Evap Fan Motors'!Q13)</f>
        <v/>
      </c>
      <c r="AN18" s="632" t="str">
        <f>IF('Data Export'!$D18="","",'Evap Fan Motors'!P13)</f>
        <v/>
      </c>
      <c r="AO18" s="636" t="str">
        <f>IF('Data Export'!$D18="","", IFERROR(ROUND($F18/$D18, 2), ""))</f>
        <v/>
      </c>
      <c r="AP18" s="641">
        <f>IF('Data Export'!$D18="","",'Project Summary'!$C$11)</f>
        <v>0</v>
      </c>
      <c r="AQ18" s="652">
        <f xml:space="preserve"> IF('Data Export'!$D18="","",'Look Up Tables'!$C$167)</f>
        <v>3.4600000000000001E-5</v>
      </c>
      <c r="AR18" s="652">
        <f xml:space="preserve"> IF('Data Export'!$D18="","",'Look Up Tables'!$C$166)</f>
        <v>2.7399999999999999E-5</v>
      </c>
    </row>
    <row r="19" spans="1:44" x14ac:dyDescent="0.2">
      <c r="A19" s="618" t="str">
        <f>'Evap Fan Motors'!$B$3</f>
        <v>High Efficiency Evaporative Fan Motors for Refrigerated Cases</v>
      </c>
      <c r="B19" s="614" t="s">
        <v>316</v>
      </c>
      <c r="C19" s="614">
        <v>17</v>
      </c>
      <c r="D19" s="630">
        <f>IF('Evap Fan Motors'!S14&gt;0,'Evap Fan Motors'!M14,"")</f>
        <v>0</v>
      </c>
      <c r="E19" s="630" t="str">
        <f>IF($D19="","",'Look Up Tables'!BC9)</f>
        <v>HEEvapFanMotor</v>
      </c>
      <c r="F19" s="636" t="str">
        <f>IF('Data Export'!$D19="","",'Evap Fan Motors'!S14)</f>
        <v/>
      </c>
      <c r="G19" s="641">
        <f>IF('Data Export'!D19="","", 'Project Summary'!$C$6)</f>
        <v>0</v>
      </c>
      <c r="H19" s="635" t="str">
        <f>IF('Data Export'!$D19="","",'Evap Fan Motors'!N14)</f>
        <v/>
      </c>
      <c r="I19" s="644" t="str">
        <f>IF('Data Export'!$D19="","",'Evap Fan Motors'!O14)</f>
        <v/>
      </c>
      <c r="J19" s="630">
        <f>IF('Data Export'!$D19="","", 'Project Summary'!$J$1)</f>
        <v>5.01</v>
      </c>
      <c r="K19" s="630">
        <f>IF('Data Export'!$D19="","",'Evap Fan Motors'!D14)</f>
        <v>0</v>
      </c>
      <c r="L19" s="630">
        <f>IF('Data Export'!$D19="","",'Evap Fan Motors'!E14)</f>
        <v>0</v>
      </c>
      <c r="M19" s="630">
        <f>IF('Data Export'!$D19="","", 'Project Summary'!$C$13)</f>
        <v>0</v>
      </c>
      <c r="N19" s="614" t="str">
        <f>IF('Data Export'!$D19="","","")</f>
        <v/>
      </c>
      <c r="O19" s="614"/>
      <c r="P19" s="630">
        <f>IF('Data Export'!$D19="","",IF('Evap Fan Motors'!H14="Refrigeration","Refrigerator",'Evap Fan Motors'!H14))</f>
        <v>0</v>
      </c>
      <c r="Q19" s="630">
        <f>IF('Data Export'!$D19="","",ROUND('Evap Fan Motors'!K14,2))</f>
        <v>0</v>
      </c>
      <c r="R19" s="630">
        <f>IF('Data Export'!$D19="","",'Evap Fan Motors'!I14)</f>
        <v>0</v>
      </c>
      <c r="S19" s="630">
        <f>IF('Data Export'!$D19="","",ROUND('Evap Fan Motors'!L14,2))</f>
        <v>0</v>
      </c>
      <c r="T19" s="630">
        <f>IF('Data Export'!$D19="","",'Evap Fan Motors'!K14*746)</f>
        <v>0</v>
      </c>
      <c r="U19" s="630">
        <f>IF('Data Export'!$D19="","",'Evap Fan Motors'!J14)</f>
        <v>0</v>
      </c>
      <c r="V19" s="614"/>
      <c r="W19" s="614"/>
      <c r="X19" s="614"/>
      <c r="Y19" s="614"/>
      <c r="Z19" s="614"/>
      <c r="AA19" s="614"/>
      <c r="AB19" s="614"/>
      <c r="AC19" s="614"/>
      <c r="AD19" s="614"/>
      <c r="AE19" s="614"/>
      <c r="AF19" s="614"/>
      <c r="AG19" s="614"/>
      <c r="AH19" s="614"/>
      <c r="AI19" s="614"/>
      <c r="AJ19" s="614"/>
      <c r="AK19" s="614"/>
      <c r="AL19" s="630">
        <f>IF('Data Export'!$D19="","",'Evap Fan Motors'!M14)</f>
        <v>0</v>
      </c>
      <c r="AM19" s="632" t="str">
        <f>IF('Data Export'!$D19="","",'Evap Fan Motors'!Q14)</f>
        <v/>
      </c>
      <c r="AN19" s="632" t="str">
        <f>IF('Data Export'!$D19="","",'Evap Fan Motors'!P14)</f>
        <v/>
      </c>
      <c r="AO19" s="636" t="str">
        <f>IF('Data Export'!$D19="","", IFERROR(ROUND($F19/$D19, 2), ""))</f>
        <v/>
      </c>
      <c r="AP19" s="641">
        <f>IF('Data Export'!$D19="","",'Project Summary'!$C$11)</f>
        <v>0</v>
      </c>
      <c r="AQ19" s="652">
        <f xml:space="preserve"> IF('Data Export'!$D19="","",'Look Up Tables'!$C$167)</f>
        <v>3.4600000000000001E-5</v>
      </c>
      <c r="AR19" s="652">
        <f xml:space="preserve"> IF('Data Export'!$D19="","",'Look Up Tables'!$C$166)</f>
        <v>2.7399999999999999E-5</v>
      </c>
    </row>
    <row r="20" spans="1:44" x14ac:dyDescent="0.2">
      <c r="A20" s="618" t="str">
        <f>'Evap Fan Motors'!$B$3</f>
        <v>High Efficiency Evaporative Fan Motors for Refrigerated Cases</v>
      </c>
      <c r="B20" s="614" t="s">
        <v>316</v>
      </c>
      <c r="C20" s="614">
        <v>18</v>
      </c>
      <c r="D20" s="630">
        <f>IF('Evap Fan Motors'!S15&gt;0,'Evap Fan Motors'!M15,"")</f>
        <v>0</v>
      </c>
      <c r="E20" s="630" t="str">
        <f>IF($D20="","",'Look Up Tables'!BC10)</f>
        <v>HEEvapFanMotor</v>
      </c>
      <c r="F20" s="636" t="str">
        <f>IF('Data Export'!$D20="","",'Evap Fan Motors'!S15)</f>
        <v/>
      </c>
      <c r="G20" s="641">
        <f>IF('Data Export'!D20="","", 'Project Summary'!$C$6)</f>
        <v>0</v>
      </c>
      <c r="H20" s="635" t="str">
        <f>IF('Data Export'!$D20="","",'Evap Fan Motors'!N15)</f>
        <v/>
      </c>
      <c r="I20" s="644" t="str">
        <f>IF('Data Export'!$D20="","",'Evap Fan Motors'!O15)</f>
        <v/>
      </c>
      <c r="J20" s="630">
        <f>IF('Data Export'!$D20="","", 'Project Summary'!$J$1)</f>
        <v>5.01</v>
      </c>
      <c r="K20" s="630">
        <f>IF('Data Export'!$D20="","",'Evap Fan Motors'!D15)</f>
        <v>0</v>
      </c>
      <c r="L20" s="630">
        <f>IF('Data Export'!$D20="","",'Evap Fan Motors'!E15)</f>
        <v>0</v>
      </c>
      <c r="M20" s="630">
        <f>IF('Data Export'!$D20="","", 'Project Summary'!$C$13)</f>
        <v>0</v>
      </c>
      <c r="N20" s="614" t="str">
        <f>IF('Data Export'!$D20="","","")</f>
        <v/>
      </c>
      <c r="O20" s="614"/>
      <c r="P20" s="630">
        <f>IF('Data Export'!$D20="","",IF('Evap Fan Motors'!H15="Refrigeration","Refrigerator",'Evap Fan Motors'!H15))</f>
        <v>0</v>
      </c>
      <c r="Q20" s="630">
        <f>IF('Data Export'!$D20="","",ROUND('Evap Fan Motors'!K15,2))</f>
        <v>0</v>
      </c>
      <c r="R20" s="630">
        <f>IF('Data Export'!$D20="","",'Evap Fan Motors'!I15)</f>
        <v>0</v>
      </c>
      <c r="S20" s="630">
        <f>IF('Data Export'!$D20="","",ROUND('Evap Fan Motors'!L15,2))</f>
        <v>0</v>
      </c>
      <c r="T20" s="630">
        <f>IF('Data Export'!$D20="","",'Evap Fan Motors'!K15*746)</f>
        <v>0</v>
      </c>
      <c r="U20" s="630">
        <f>IF('Data Export'!$D20="","",'Evap Fan Motors'!J15)</f>
        <v>0</v>
      </c>
      <c r="V20" s="614"/>
      <c r="W20" s="614"/>
      <c r="X20" s="614"/>
      <c r="Y20" s="614"/>
      <c r="Z20" s="614"/>
      <c r="AA20" s="614"/>
      <c r="AB20" s="614"/>
      <c r="AC20" s="614"/>
      <c r="AD20" s="614"/>
      <c r="AE20" s="614"/>
      <c r="AF20" s="614"/>
      <c r="AG20" s="614"/>
      <c r="AH20" s="614"/>
      <c r="AI20" s="614"/>
      <c r="AJ20" s="614"/>
      <c r="AK20" s="614"/>
      <c r="AL20" s="630">
        <f>IF('Data Export'!$D20="","",'Evap Fan Motors'!M15)</f>
        <v>0</v>
      </c>
      <c r="AM20" s="632" t="str">
        <f>IF('Data Export'!$D20="","",'Evap Fan Motors'!Q15)</f>
        <v/>
      </c>
      <c r="AN20" s="632" t="str">
        <f>IF('Data Export'!$D20="","",'Evap Fan Motors'!P15)</f>
        <v/>
      </c>
      <c r="AO20" s="636" t="str">
        <f>IF('Data Export'!$D20="","", IFERROR(ROUND($F20/$D20, 2), ""))</f>
        <v/>
      </c>
      <c r="AP20" s="641">
        <f>IF('Data Export'!$D20="","",'Project Summary'!$C$11)</f>
        <v>0</v>
      </c>
      <c r="AQ20" s="652">
        <f xml:space="preserve"> IF('Data Export'!$D20="","",'Look Up Tables'!$C$167)</f>
        <v>3.4600000000000001E-5</v>
      </c>
      <c r="AR20" s="652">
        <f xml:space="preserve"> IF('Data Export'!$D20="","",'Look Up Tables'!$C$166)</f>
        <v>2.7399999999999999E-5</v>
      </c>
    </row>
    <row r="21" spans="1:44" x14ac:dyDescent="0.2">
      <c r="A21" s="618" t="str">
        <f>'Evap Fan Motors'!$B$3</f>
        <v>High Efficiency Evaporative Fan Motors for Refrigerated Cases</v>
      </c>
      <c r="B21" s="614" t="s">
        <v>316</v>
      </c>
      <c r="C21" s="614">
        <v>19</v>
      </c>
      <c r="D21" s="630">
        <f>IF('Evap Fan Motors'!S16&gt;0,'Evap Fan Motors'!M16,"")</f>
        <v>0</v>
      </c>
      <c r="E21" s="630" t="str">
        <f>IF($D21="","",'Look Up Tables'!BC11)</f>
        <v>HEEvapFanMotor</v>
      </c>
      <c r="F21" s="636" t="str">
        <f>IF('Data Export'!$D21="","",'Evap Fan Motors'!S16)</f>
        <v/>
      </c>
      <c r="G21" s="641">
        <f>IF('Data Export'!D21="","", 'Project Summary'!$C$6)</f>
        <v>0</v>
      </c>
      <c r="H21" s="635" t="str">
        <f>IF('Data Export'!$D21="","",'Evap Fan Motors'!N16)</f>
        <v/>
      </c>
      <c r="I21" s="644" t="str">
        <f>IF('Data Export'!$D21="","",'Evap Fan Motors'!O16)</f>
        <v/>
      </c>
      <c r="J21" s="630">
        <f>IF('Data Export'!$D21="","", 'Project Summary'!$J$1)</f>
        <v>5.01</v>
      </c>
      <c r="K21" s="630">
        <f>IF('Data Export'!$D21="","",'Evap Fan Motors'!D16)</f>
        <v>0</v>
      </c>
      <c r="L21" s="630">
        <f>IF('Data Export'!$D21="","",'Evap Fan Motors'!E16)</f>
        <v>0</v>
      </c>
      <c r="M21" s="630">
        <f>IF('Data Export'!$D21="","", 'Project Summary'!$C$13)</f>
        <v>0</v>
      </c>
      <c r="N21" s="614" t="str">
        <f>IF('Data Export'!$D21="","","")</f>
        <v/>
      </c>
      <c r="O21" s="614"/>
      <c r="P21" s="630">
        <f>IF('Data Export'!$D21="","",IF('Evap Fan Motors'!H16="Refrigeration","Refrigerator",'Evap Fan Motors'!H16))</f>
        <v>0</v>
      </c>
      <c r="Q21" s="630">
        <f>IF('Data Export'!$D21="","",ROUND('Evap Fan Motors'!K16,2))</f>
        <v>0</v>
      </c>
      <c r="R21" s="630">
        <f>IF('Data Export'!$D21="","",'Evap Fan Motors'!I16)</f>
        <v>0</v>
      </c>
      <c r="S21" s="630">
        <f>IF('Data Export'!$D21="","",ROUND('Evap Fan Motors'!L16,2))</f>
        <v>0</v>
      </c>
      <c r="T21" s="630">
        <f>IF('Data Export'!$D21="","",'Evap Fan Motors'!K16*746)</f>
        <v>0</v>
      </c>
      <c r="U21" s="630">
        <f>IF('Data Export'!$D21="","",'Evap Fan Motors'!J16)</f>
        <v>0</v>
      </c>
      <c r="V21" s="614"/>
      <c r="W21" s="614"/>
      <c r="X21" s="614"/>
      <c r="Y21" s="614"/>
      <c r="Z21" s="614"/>
      <c r="AA21" s="614"/>
      <c r="AB21" s="614"/>
      <c r="AC21" s="614"/>
      <c r="AD21" s="614"/>
      <c r="AE21" s="614"/>
      <c r="AF21" s="614"/>
      <c r="AG21" s="614"/>
      <c r="AH21" s="614"/>
      <c r="AI21" s="614"/>
      <c r="AJ21" s="614"/>
      <c r="AK21" s="614"/>
      <c r="AL21" s="630">
        <f>IF('Data Export'!$D21="","",'Evap Fan Motors'!M16)</f>
        <v>0</v>
      </c>
      <c r="AM21" s="632" t="str">
        <f>IF('Data Export'!$D21="","",'Evap Fan Motors'!Q16)</f>
        <v/>
      </c>
      <c r="AN21" s="632" t="str">
        <f>IF('Data Export'!$D21="","",'Evap Fan Motors'!P16)</f>
        <v/>
      </c>
      <c r="AO21" s="636" t="str">
        <f>IF('Data Export'!$D21="","", IFERROR(ROUND($F21/$D21, 2), ""))</f>
        <v/>
      </c>
      <c r="AP21" s="641">
        <f>IF('Data Export'!$D21="","",'Project Summary'!$C$11)</f>
        <v>0</v>
      </c>
      <c r="AQ21" s="652">
        <f xml:space="preserve"> IF('Data Export'!$D21="","",'Look Up Tables'!$C$167)</f>
        <v>3.4600000000000001E-5</v>
      </c>
      <c r="AR21" s="652">
        <f xml:space="preserve"> IF('Data Export'!$D21="","",'Look Up Tables'!$C$166)</f>
        <v>2.7399999999999999E-5</v>
      </c>
    </row>
    <row r="22" spans="1:44" ht="15" thickBot="1" x14ac:dyDescent="0.25">
      <c r="A22" s="625" t="str">
        <f>'Evap Fan Motors'!$B$3</f>
        <v>High Efficiency Evaporative Fan Motors for Refrigerated Cases</v>
      </c>
      <c r="B22" s="626" t="s">
        <v>316</v>
      </c>
      <c r="C22" s="626">
        <v>20</v>
      </c>
      <c r="D22" s="631">
        <f>IF('Evap Fan Motors'!S17&gt;0,'Evap Fan Motors'!M17,"")</f>
        <v>0</v>
      </c>
      <c r="E22" s="631" t="str">
        <f>IF($D22="","",'Look Up Tables'!BC12)</f>
        <v>HEEvapFanMotor</v>
      </c>
      <c r="F22" s="638" t="str">
        <f>IF('Data Export'!$D22="","",'Evap Fan Motors'!S17)</f>
        <v/>
      </c>
      <c r="G22" s="642">
        <f>IF('Data Export'!D22="","", 'Project Summary'!$C$6)</f>
        <v>0</v>
      </c>
      <c r="H22" s="639" t="str">
        <f>IF('Data Export'!$D22="","",'Evap Fan Motors'!N17)</f>
        <v/>
      </c>
      <c r="I22" s="659" t="str">
        <f>IF('Data Export'!$D22="","",'Evap Fan Motors'!O17)</f>
        <v/>
      </c>
      <c r="J22" s="631">
        <f>IF('Data Export'!$D22="","", 'Project Summary'!$J$1)</f>
        <v>5.01</v>
      </c>
      <c r="K22" s="631">
        <f>IF('Data Export'!$D22="","",'Evap Fan Motors'!D17)</f>
        <v>0</v>
      </c>
      <c r="L22" s="631">
        <f>IF('Data Export'!$D22="","",'Evap Fan Motors'!E17)</f>
        <v>0</v>
      </c>
      <c r="M22" s="631">
        <f>IF('Data Export'!$D22="","", 'Project Summary'!$C$13)</f>
        <v>0</v>
      </c>
      <c r="N22" s="626" t="str">
        <f>IF('Data Export'!$D22="","","")</f>
        <v/>
      </c>
      <c r="O22" s="626"/>
      <c r="P22" s="631">
        <f>IF('Data Export'!$D22="","",IF('Evap Fan Motors'!H17="Refrigeration","Refrigerator",'Evap Fan Motors'!H17))</f>
        <v>0</v>
      </c>
      <c r="Q22" s="631">
        <f>IF('Data Export'!$D22="","",ROUND('Evap Fan Motors'!K17,2))</f>
        <v>0</v>
      </c>
      <c r="R22" s="631">
        <f>IF('Data Export'!$D22="","",'Evap Fan Motors'!I17)</f>
        <v>0</v>
      </c>
      <c r="S22" s="631">
        <f>IF('Data Export'!$D22="","",ROUND('Evap Fan Motors'!L17,2))</f>
        <v>0</v>
      </c>
      <c r="T22" s="631">
        <f>IF('Data Export'!$D22="","",'Evap Fan Motors'!K17*746)</f>
        <v>0</v>
      </c>
      <c r="U22" s="631">
        <f>IF('Data Export'!$D22="","",'Evap Fan Motors'!J17)</f>
        <v>0</v>
      </c>
      <c r="V22" s="626"/>
      <c r="W22" s="626"/>
      <c r="X22" s="626"/>
      <c r="Y22" s="626"/>
      <c r="Z22" s="626"/>
      <c r="AA22" s="626"/>
      <c r="AB22" s="626"/>
      <c r="AC22" s="626"/>
      <c r="AD22" s="626"/>
      <c r="AE22" s="626"/>
      <c r="AF22" s="626"/>
      <c r="AG22" s="626"/>
      <c r="AH22" s="626"/>
      <c r="AI22" s="626"/>
      <c r="AJ22" s="626"/>
      <c r="AK22" s="626"/>
      <c r="AL22" s="631">
        <f>IF('Data Export'!$D22="","",'Evap Fan Motors'!M17)</f>
        <v>0</v>
      </c>
      <c r="AM22" s="646" t="str">
        <f>IF('Data Export'!$D22="","",'Evap Fan Motors'!Q17)</f>
        <v/>
      </c>
      <c r="AN22" s="646" t="str">
        <f>IF('Data Export'!$D22="","",'Evap Fan Motors'!P17)</f>
        <v/>
      </c>
      <c r="AO22" s="638" t="str">
        <f>IF('Data Export'!$D22="","", IFERROR(ROUND($F22/$D22, 2), ""))</f>
        <v/>
      </c>
      <c r="AP22" s="642">
        <f>IF('Data Export'!$D22="","",'Project Summary'!$C$11)</f>
        <v>0</v>
      </c>
      <c r="AQ22" s="654">
        <f xml:space="preserve"> IF('Data Export'!$D22="","",'Look Up Tables'!$C$167)</f>
        <v>3.4600000000000001E-5</v>
      </c>
      <c r="AR22" s="654">
        <f xml:space="preserve"> IF('Data Export'!$D22="","",'Look Up Tables'!$C$166)</f>
        <v>2.7399999999999999E-5</v>
      </c>
    </row>
    <row r="23" spans="1:44" ht="15" thickTop="1" x14ac:dyDescent="0.2">
      <c r="A23" s="620" t="str">
        <f>'Fan Control'!$B$3</f>
        <v>Evaporator Fan Controllers</v>
      </c>
      <c r="B23" s="621" t="s">
        <v>26</v>
      </c>
      <c r="C23" s="621">
        <v>21</v>
      </c>
      <c r="D23" s="632">
        <f>IF('Fan Control'!Q8&gt;0,'Fan Control'!K8,"")</f>
        <v>0</v>
      </c>
      <c r="E23" s="632" t="str">
        <f>IF($D23="","",'Look Up Tables'!$AS$52)</f>
        <v>EvapFanCntrl</v>
      </c>
      <c r="F23" s="637" t="str">
        <f>IF('Data Export'!$D23="","", 'Fan Control'!Q8)</f>
        <v/>
      </c>
      <c r="G23" s="643">
        <f>IF('Data Export'!D23="","", 'Project Summary'!$C$6)</f>
        <v>0</v>
      </c>
      <c r="H23" s="640" t="str">
        <f>IF('Data Export'!$D23="","",'Fan Control'!L8)</f>
        <v/>
      </c>
      <c r="I23" s="658" t="str">
        <f>IF('Data Export'!$D23="","",'Fan Control'!M8)</f>
        <v/>
      </c>
      <c r="J23" s="632">
        <f>IF('Data Export'!$D23="","", 'Project Summary'!$J$1)</f>
        <v>5.01</v>
      </c>
      <c r="K23" s="632">
        <f>IF('Data Export'!$D23="","",'Fan Control'!D8)</f>
        <v>0</v>
      </c>
      <c r="L23" s="632">
        <f>IF('Data Export'!$D23="","",'Fan Control'!E8)</f>
        <v>0</v>
      </c>
      <c r="M23" s="632">
        <f>IF('Data Export'!$D23="","", 'Project Summary'!$C$13)</f>
        <v>0</v>
      </c>
      <c r="N23" s="621" t="str">
        <f>IF('Data Export'!$D23="","","")</f>
        <v/>
      </c>
      <c r="O23" s="621" t="str">
        <f>IF('Data Export'!$D23="","","")</f>
        <v/>
      </c>
      <c r="P23" s="632">
        <f>IF('Data Export'!$D23="","",IF('Fan Control'!G8="Refrigeration","Refrigerator",'Fan Control'!G8))</f>
        <v>0</v>
      </c>
      <c r="Q23" s="645">
        <f>IF('Data Export'!$D23="","",'Fan Control'!H8)</f>
        <v>0</v>
      </c>
      <c r="R23" s="632">
        <f>IF('Data Export'!$D23="","",'Fan Control'!J8)</f>
        <v>0</v>
      </c>
      <c r="S23" s="621">
        <f>IF('Data Export'!$D23="","",ROUND('Fan Control'!H8,2))</f>
        <v>0</v>
      </c>
      <c r="T23" s="621" t="str">
        <f>IF('Data Export'!$D23="","","")</f>
        <v/>
      </c>
      <c r="U23" s="621" t="str">
        <f>IF('Data Export'!$D23="","","")</f>
        <v/>
      </c>
      <c r="V23" s="632">
        <f>IF('Data Export'!$D23="","",'Fan Control'!I8)</f>
        <v>0</v>
      </c>
      <c r="W23" s="621" t="str">
        <f>IF('Data Export'!$D23="","","")</f>
        <v/>
      </c>
      <c r="X23" s="621" t="str">
        <f>IF('Data Export'!$D23="","","")</f>
        <v/>
      </c>
      <c r="Y23" s="621" t="str">
        <f>IF('Data Export'!$D23="","","")</f>
        <v/>
      </c>
      <c r="Z23" s="621" t="str">
        <f>IF('Data Export'!$D23="","","")</f>
        <v/>
      </c>
      <c r="AA23" s="621" t="str">
        <f>IF('Data Export'!$D23="","","")</f>
        <v/>
      </c>
      <c r="AB23" s="621" t="str">
        <f>IF('Data Export'!$D23="","","")</f>
        <v/>
      </c>
      <c r="AC23" s="621" t="str">
        <f>IF('Data Export'!$D23="","","")</f>
        <v/>
      </c>
      <c r="AD23" s="621" t="str">
        <f>IF('Data Export'!$D23="","","")</f>
        <v/>
      </c>
      <c r="AE23" s="621" t="str">
        <f>IF('Data Export'!$D23="","","")</f>
        <v/>
      </c>
      <c r="AF23" s="621" t="str">
        <f>IF('Data Export'!$D23="","","")</f>
        <v/>
      </c>
      <c r="AG23" s="621" t="str">
        <f>IF('Data Export'!$D23="","","")</f>
        <v/>
      </c>
      <c r="AH23" s="621" t="str">
        <f>IF('Data Export'!$D23="","","")</f>
        <v/>
      </c>
      <c r="AI23" s="621" t="str">
        <f>IF('Data Export'!$D23="","","")</f>
        <v/>
      </c>
      <c r="AJ23" s="621" t="str">
        <f>IF('Data Export'!$D23="","","")</f>
        <v/>
      </c>
      <c r="AK23" s="621" t="str">
        <f>IF('Data Export'!$D23="","","")</f>
        <v/>
      </c>
      <c r="AL23" s="621"/>
      <c r="AM23" s="645" t="str">
        <f>IF('Data Export'!$D23="","",'Fan Control'!O8)</f>
        <v/>
      </c>
      <c r="AN23" s="645" t="str">
        <f>IF('Data Export'!$D23="","",'Fan Control'!N8)</f>
        <v/>
      </c>
      <c r="AO23" s="637" t="str">
        <f>IF('Data Export'!$D23="","", IFERROR(ROUND($F23/$D23, 2), ""))</f>
        <v/>
      </c>
      <c r="AP23" s="643">
        <f>IF('Data Export'!$D23="","",'Project Summary'!$C$11)</f>
        <v>0</v>
      </c>
      <c r="AQ23" s="653" t="str">
        <f>IF('Data Export'!$D23="","",'Look Up Tables'!H129)</f>
        <v xml:space="preserve"> </v>
      </c>
      <c r="AR23" s="653" t="str">
        <f>IF('Data Export'!$D23="","",'Look Up Tables'!H129)</f>
        <v xml:space="preserve"> </v>
      </c>
    </row>
    <row r="24" spans="1:44" x14ac:dyDescent="0.2">
      <c r="A24" s="618" t="str">
        <f>'Fan Control'!$B$3</f>
        <v>Evaporator Fan Controllers</v>
      </c>
      <c r="B24" s="614" t="s">
        <v>26</v>
      </c>
      <c r="C24" s="614">
        <v>22</v>
      </c>
      <c r="D24" s="630">
        <f>IF('Fan Control'!Q9&gt;0,'Fan Control'!K9,"")</f>
        <v>0</v>
      </c>
      <c r="E24" s="630" t="str">
        <f>IF($D24="","",'Look Up Tables'!$AS$52)</f>
        <v>EvapFanCntrl</v>
      </c>
      <c r="F24" s="636" t="str">
        <f>IF('Data Export'!$D24="","", 'Fan Control'!Q9)</f>
        <v/>
      </c>
      <c r="G24" s="641">
        <f>IF('Data Export'!D24="","", 'Project Summary'!$C$6)</f>
        <v>0</v>
      </c>
      <c r="H24" s="635" t="str">
        <f>IF('Data Export'!$D24="","",'Fan Control'!L9)</f>
        <v/>
      </c>
      <c r="I24" s="644" t="str">
        <f>IF('Data Export'!$D24="","",'Fan Control'!M9)</f>
        <v/>
      </c>
      <c r="J24" s="630">
        <f>IF('Data Export'!$D24="","", 'Project Summary'!$J$1)</f>
        <v>5.01</v>
      </c>
      <c r="K24" s="630">
        <f>IF('Data Export'!$D24="","",'Fan Control'!D9)</f>
        <v>0</v>
      </c>
      <c r="L24" s="630">
        <f>IF('Data Export'!$D24="","",'Fan Control'!E9)</f>
        <v>0</v>
      </c>
      <c r="M24" s="630">
        <f>IF('Data Export'!$D24="","", 'Project Summary'!$C$13)</f>
        <v>0</v>
      </c>
      <c r="N24" s="614" t="str">
        <f>IF('Data Export'!$D24="","","")</f>
        <v/>
      </c>
      <c r="O24" s="614" t="str">
        <f>IF('Data Export'!$D24="","","")</f>
        <v/>
      </c>
      <c r="P24" s="630">
        <f>IF('Data Export'!$D24="","",IF('Fan Control'!G9="Refrigeration","Refrigerator",'Fan Control'!G9))</f>
        <v>0</v>
      </c>
      <c r="Q24" s="632">
        <f>IF('Data Export'!$D24="","",'Fan Control'!H9)</f>
        <v>0</v>
      </c>
      <c r="R24" s="630">
        <f>IF('Data Export'!$D24="","",'Fan Control'!J9)</f>
        <v>0</v>
      </c>
      <c r="S24" s="614">
        <f>IF('Data Export'!$D24="","",ROUND('Fan Control'!H9,2))</f>
        <v>0</v>
      </c>
      <c r="T24" s="614" t="str">
        <f>IF('Data Export'!$D24="","","")</f>
        <v/>
      </c>
      <c r="U24" s="614" t="str">
        <f>IF('Data Export'!$D24="","","")</f>
        <v/>
      </c>
      <c r="V24" s="630">
        <f>IF('Data Export'!$D24="","",'Fan Control'!I9)</f>
        <v>0</v>
      </c>
      <c r="W24" s="614" t="str">
        <f>IF('Data Export'!$D24="","","")</f>
        <v/>
      </c>
      <c r="X24" s="614" t="str">
        <f>IF('Data Export'!$D24="","","")</f>
        <v/>
      </c>
      <c r="Y24" s="614" t="str">
        <f>IF('Data Export'!$D24="","","")</f>
        <v/>
      </c>
      <c r="Z24" s="614" t="str">
        <f>IF('Data Export'!$D24="","","")</f>
        <v/>
      </c>
      <c r="AA24" s="614" t="str">
        <f>IF('Data Export'!$D24="","","")</f>
        <v/>
      </c>
      <c r="AB24" s="614" t="str">
        <f>IF('Data Export'!$D24="","","")</f>
        <v/>
      </c>
      <c r="AC24" s="614" t="str">
        <f>IF('Data Export'!$D24="","","")</f>
        <v/>
      </c>
      <c r="AD24" s="614" t="str">
        <f>IF('Data Export'!$D24="","","")</f>
        <v/>
      </c>
      <c r="AE24" s="614" t="str">
        <f>IF('Data Export'!$D24="","","")</f>
        <v/>
      </c>
      <c r="AF24" s="614" t="str">
        <f>IF('Data Export'!$D24="","","")</f>
        <v/>
      </c>
      <c r="AG24" s="614" t="str">
        <f>IF('Data Export'!$D24="","","")</f>
        <v/>
      </c>
      <c r="AH24" s="614" t="str">
        <f>IF('Data Export'!$D24="","","")</f>
        <v/>
      </c>
      <c r="AI24" s="614" t="str">
        <f>IF('Data Export'!$D24="","","")</f>
        <v/>
      </c>
      <c r="AJ24" s="614" t="str">
        <f>IF('Data Export'!$D24="","","")</f>
        <v/>
      </c>
      <c r="AK24" s="614" t="str">
        <f>IF('Data Export'!$D24="","","")</f>
        <v/>
      </c>
      <c r="AL24" s="614"/>
      <c r="AM24" s="632" t="str">
        <f>IF('Data Export'!$D24="","",'Fan Control'!O9)</f>
        <v/>
      </c>
      <c r="AN24" s="632" t="str">
        <f>IF('Data Export'!$D24="","",'Fan Control'!N9)</f>
        <v/>
      </c>
      <c r="AO24" s="636" t="str">
        <f>IF('Data Export'!$D24="","", IFERROR(ROUND($F24/$D24, 2), ""))</f>
        <v/>
      </c>
      <c r="AP24" s="641">
        <f>IF('Data Export'!$D24="","",'Project Summary'!$C$11)</f>
        <v>0</v>
      </c>
      <c r="AQ24" s="652" t="str">
        <f>IF('Data Export'!$D24="","",'Look Up Tables'!H130)</f>
        <v xml:space="preserve"> </v>
      </c>
      <c r="AR24" s="652" t="str">
        <f>IF('Data Export'!$D24="","",'Look Up Tables'!H130)</f>
        <v xml:space="preserve"> </v>
      </c>
    </row>
    <row r="25" spans="1:44" x14ac:dyDescent="0.2">
      <c r="A25" s="618" t="str">
        <f>'Fan Control'!$B$3</f>
        <v>Evaporator Fan Controllers</v>
      </c>
      <c r="B25" s="614" t="s">
        <v>26</v>
      </c>
      <c r="C25" s="614">
        <v>23</v>
      </c>
      <c r="D25" s="630">
        <f>IF('Fan Control'!Q10&gt;0,'Fan Control'!K10,"")</f>
        <v>0</v>
      </c>
      <c r="E25" s="630" t="str">
        <f>IF($D25="","",'Look Up Tables'!$AS$52)</f>
        <v>EvapFanCntrl</v>
      </c>
      <c r="F25" s="636" t="str">
        <f>IF('Data Export'!$D25="","", 'Fan Control'!Q10)</f>
        <v/>
      </c>
      <c r="G25" s="641">
        <f>IF('Data Export'!D25="","", 'Project Summary'!$C$6)</f>
        <v>0</v>
      </c>
      <c r="H25" s="635" t="str">
        <f>IF('Data Export'!$D25="","",'Fan Control'!L10)</f>
        <v/>
      </c>
      <c r="I25" s="644" t="str">
        <f>IF('Data Export'!$D25="","",'Fan Control'!M10)</f>
        <v/>
      </c>
      <c r="J25" s="630">
        <f>IF('Data Export'!$D25="","", 'Project Summary'!$J$1)</f>
        <v>5.01</v>
      </c>
      <c r="K25" s="630">
        <f>IF('Data Export'!$D25="","",'Fan Control'!D10)</f>
        <v>0</v>
      </c>
      <c r="L25" s="630">
        <f>IF('Data Export'!$D25="","",'Fan Control'!E10)</f>
        <v>0</v>
      </c>
      <c r="M25" s="630">
        <f>IF('Data Export'!$D25="","", 'Project Summary'!$C$13)</f>
        <v>0</v>
      </c>
      <c r="N25" s="614" t="str">
        <f>IF('Data Export'!$D25="","","")</f>
        <v/>
      </c>
      <c r="O25" s="614" t="str">
        <f>IF('Data Export'!$D25="","","")</f>
        <v/>
      </c>
      <c r="P25" s="630">
        <f>IF('Data Export'!$D25="","",IF('Fan Control'!G10="Refrigeration","Refrigerator",'Fan Control'!G10))</f>
        <v>0</v>
      </c>
      <c r="Q25" s="632">
        <f>IF('Data Export'!$D25="","",'Fan Control'!H10)</f>
        <v>0</v>
      </c>
      <c r="R25" s="630">
        <f>IF('Data Export'!$D25="","",'Fan Control'!J10)</f>
        <v>0</v>
      </c>
      <c r="S25" s="614">
        <f>IF('Data Export'!$D25="","",ROUND('Fan Control'!H10,2))</f>
        <v>0</v>
      </c>
      <c r="T25" s="614" t="str">
        <f>IF('Data Export'!$D25="","","")</f>
        <v/>
      </c>
      <c r="U25" s="614" t="str">
        <f>IF('Data Export'!$D25="","","")</f>
        <v/>
      </c>
      <c r="V25" s="630">
        <f>IF('Data Export'!$D25="","",'Fan Control'!I10)</f>
        <v>0</v>
      </c>
      <c r="W25" s="614" t="str">
        <f>IF('Data Export'!$D25="","","")</f>
        <v/>
      </c>
      <c r="X25" s="614" t="str">
        <f>IF('Data Export'!$D25="","","")</f>
        <v/>
      </c>
      <c r="Y25" s="614" t="str">
        <f>IF('Data Export'!$D25="","","")</f>
        <v/>
      </c>
      <c r="Z25" s="614" t="str">
        <f>IF('Data Export'!$D25="","","")</f>
        <v/>
      </c>
      <c r="AA25" s="614" t="str">
        <f>IF('Data Export'!$D25="","","")</f>
        <v/>
      </c>
      <c r="AB25" s="614" t="str">
        <f>IF('Data Export'!$D25="","","")</f>
        <v/>
      </c>
      <c r="AC25" s="614" t="str">
        <f>IF('Data Export'!$D25="","","")</f>
        <v/>
      </c>
      <c r="AD25" s="614" t="str">
        <f>IF('Data Export'!$D25="","","")</f>
        <v/>
      </c>
      <c r="AE25" s="614" t="str">
        <f>IF('Data Export'!$D25="","","")</f>
        <v/>
      </c>
      <c r="AF25" s="614" t="str">
        <f>IF('Data Export'!$D25="","","")</f>
        <v/>
      </c>
      <c r="AG25" s="614" t="str">
        <f>IF('Data Export'!$D25="","","")</f>
        <v/>
      </c>
      <c r="AH25" s="614" t="str">
        <f>IF('Data Export'!$D25="","","")</f>
        <v/>
      </c>
      <c r="AI25" s="614" t="str">
        <f>IF('Data Export'!$D25="","","")</f>
        <v/>
      </c>
      <c r="AJ25" s="614" t="str">
        <f>IF('Data Export'!$D25="","","")</f>
        <v/>
      </c>
      <c r="AK25" s="614" t="str">
        <f>IF('Data Export'!$D25="","","")</f>
        <v/>
      </c>
      <c r="AL25" s="614"/>
      <c r="AM25" s="632" t="str">
        <f>IF('Data Export'!$D25="","",'Fan Control'!O10)</f>
        <v/>
      </c>
      <c r="AN25" s="632" t="str">
        <f>IF('Data Export'!$D25="","",'Fan Control'!N10)</f>
        <v/>
      </c>
      <c r="AO25" s="636" t="str">
        <f>IF('Data Export'!$D25="","", IFERROR(ROUND($F25/$D25, 2), ""))</f>
        <v/>
      </c>
      <c r="AP25" s="641">
        <f>IF('Data Export'!$D25="","",'Project Summary'!$C$11)</f>
        <v>0</v>
      </c>
      <c r="AQ25" s="652" t="str">
        <f>IF('Data Export'!$D25="","",'Look Up Tables'!H131)</f>
        <v xml:space="preserve"> </v>
      </c>
      <c r="AR25" s="652" t="str">
        <f>IF('Data Export'!$D25="","",'Look Up Tables'!H131)</f>
        <v xml:space="preserve"> </v>
      </c>
    </row>
    <row r="26" spans="1:44" x14ac:dyDescent="0.2">
      <c r="A26" s="618" t="str">
        <f>'Fan Control'!$B$3</f>
        <v>Evaporator Fan Controllers</v>
      </c>
      <c r="B26" s="614" t="s">
        <v>26</v>
      </c>
      <c r="C26" s="614">
        <v>24</v>
      </c>
      <c r="D26" s="630">
        <f>IF('Fan Control'!Q11&gt;0,'Fan Control'!K11,"")</f>
        <v>0</v>
      </c>
      <c r="E26" s="630" t="str">
        <f>IF($D26="","",'Look Up Tables'!$AS$52)</f>
        <v>EvapFanCntrl</v>
      </c>
      <c r="F26" s="636" t="str">
        <f>IF('Data Export'!$D26="","", 'Fan Control'!Q11)</f>
        <v/>
      </c>
      <c r="G26" s="641">
        <f>IF('Data Export'!D26="","", 'Project Summary'!$C$6)</f>
        <v>0</v>
      </c>
      <c r="H26" s="635" t="str">
        <f>IF('Data Export'!$D26="","",'Fan Control'!L11)</f>
        <v/>
      </c>
      <c r="I26" s="644" t="str">
        <f>IF('Data Export'!$D26="","",'Fan Control'!M11)</f>
        <v/>
      </c>
      <c r="J26" s="630">
        <f>IF('Data Export'!$D26="","", 'Project Summary'!$J$1)</f>
        <v>5.01</v>
      </c>
      <c r="K26" s="630">
        <f>IF('Data Export'!$D26="","",'Fan Control'!D11)</f>
        <v>0</v>
      </c>
      <c r="L26" s="630">
        <f>IF('Data Export'!$D26="","",'Fan Control'!E11)</f>
        <v>0</v>
      </c>
      <c r="M26" s="630">
        <f>IF('Data Export'!$D26="","", 'Project Summary'!$C$13)</f>
        <v>0</v>
      </c>
      <c r="N26" s="614" t="str">
        <f>IF('Data Export'!$D26="","","")</f>
        <v/>
      </c>
      <c r="O26" s="614" t="str">
        <f>IF('Data Export'!$D26="","","")</f>
        <v/>
      </c>
      <c r="P26" s="630">
        <f>IF('Data Export'!$D26="","",IF('Fan Control'!G11="Refrigeration","Refrigerator",'Fan Control'!G11))</f>
        <v>0</v>
      </c>
      <c r="Q26" s="632">
        <f>IF('Data Export'!$D26="","",'Fan Control'!H11)</f>
        <v>0</v>
      </c>
      <c r="R26" s="630">
        <f>IF('Data Export'!$D26="","",'Fan Control'!J11)</f>
        <v>0</v>
      </c>
      <c r="S26" s="614">
        <f>IF('Data Export'!$D26="","",ROUND('Fan Control'!H11,2))</f>
        <v>0</v>
      </c>
      <c r="T26" s="614" t="str">
        <f>IF('Data Export'!$D26="","","")</f>
        <v/>
      </c>
      <c r="U26" s="614" t="str">
        <f>IF('Data Export'!$D26="","","")</f>
        <v/>
      </c>
      <c r="V26" s="630">
        <f>IF('Data Export'!$D26="","",'Fan Control'!I11)</f>
        <v>0</v>
      </c>
      <c r="W26" s="614" t="str">
        <f>IF('Data Export'!$D26="","","")</f>
        <v/>
      </c>
      <c r="X26" s="614" t="str">
        <f>IF('Data Export'!$D26="","","")</f>
        <v/>
      </c>
      <c r="Y26" s="614" t="str">
        <f>IF('Data Export'!$D26="","","")</f>
        <v/>
      </c>
      <c r="Z26" s="614" t="str">
        <f>IF('Data Export'!$D26="","","")</f>
        <v/>
      </c>
      <c r="AA26" s="614" t="str">
        <f>IF('Data Export'!$D26="","","")</f>
        <v/>
      </c>
      <c r="AB26" s="614" t="str">
        <f>IF('Data Export'!$D26="","","")</f>
        <v/>
      </c>
      <c r="AC26" s="614" t="str">
        <f>IF('Data Export'!$D26="","","")</f>
        <v/>
      </c>
      <c r="AD26" s="614" t="str">
        <f>IF('Data Export'!$D26="","","")</f>
        <v/>
      </c>
      <c r="AE26" s="614" t="str">
        <f>IF('Data Export'!$D26="","","")</f>
        <v/>
      </c>
      <c r="AF26" s="614" t="str">
        <f>IF('Data Export'!$D26="","","")</f>
        <v/>
      </c>
      <c r="AG26" s="614" t="str">
        <f>IF('Data Export'!$D26="","","")</f>
        <v/>
      </c>
      <c r="AH26" s="614" t="str">
        <f>IF('Data Export'!$D26="","","")</f>
        <v/>
      </c>
      <c r="AI26" s="614" t="str">
        <f>IF('Data Export'!$D26="","","")</f>
        <v/>
      </c>
      <c r="AJ26" s="614" t="str">
        <f>IF('Data Export'!$D26="","","")</f>
        <v/>
      </c>
      <c r="AK26" s="614" t="str">
        <f>IF('Data Export'!$D26="","","")</f>
        <v/>
      </c>
      <c r="AL26" s="614"/>
      <c r="AM26" s="632" t="str">
        <f>IF('Data Export'!$D26="","",'Fan Control'!O11)</f>
        <v/>
      </c>
      <c r="AN26" s="632" t="str">
        <f>IF('Data Export'!$D26="","",'Fan Control'!N11)</f>
        <v/>
      </c>
      <c r="AO26" s="636" t="str">
        <f>IF('Data Export'!$D26="","", IFERROR(ROUND($F26/$D26, 2), ""))</f>
        <v/>
      </c>
      <c r="AP26" s="641">
        <f>IF('Data Export'!$D26="","",'Project Summary'!$C$11)</f>
        <v>0</v>
      </c>
      <c r="AQ26" s="652" t="str">
        <f>IF('Data Export'!$D26="","",'Look Up Tables'!H132)</f>
        <v xml:space="preserve"> </v>
      </c>
      <c r="AR26" s="652" t="str">
        <f>IF('Data Export'!$D26="","",'Look Up Tables'!H132)</f>
        <v xml:space="preserve"> </v>
      </c>
    </row>
    <row r="27" spans="1:44" x14ac:dyDescent="0.2">
      <c r="A27" s="618" t="str">
        <f>'Fan Control'!$B$3</f>
        <v>Evaporator Fan Controllers</v>
      </c>
      <c r="B27" s="614" t="s">
        <v>26</v>
      </c>
      <c r="C27" s="614">
        <v>25</v>
      </c>
      <c r="D27" s="630">
        <f>IF('Fan Control'!Q12&gt;0,'Fan Control'!K12,"")</f>
        <v>0</v>
      </c>
      <c r="E27" s="630" t="str">
        <f>IF($D27="","",'Look Up Tables'!$AS$52)</f>
        <v>EvapFanCntrl</v>
      </c>
      <c r="F27" s="636" t="str">
        <f>IF('Data Export'!$D27="","", 'Fan Control'!Q12)</f>
        <v/>
      </c>
      <c r="G27" s="641">
        <f>IF('Data Export'!D27="","", 'Project Summary'!$C$6)</f>
        <v>0</v>
      </c>
      <c r="H27" s="635" t="str">
        <f>IF('Data Export'!$D27="","",'Fan Control'!L12)</f>
        <v/>
      </c>
      <c r="I27" s="644" t="str">
        <f>IF('Data Export'!$D27="","",'Fan Control'!M12)</f>
        <v/>
      </c>
      <c r="J27" s="630">
        <f>IF('Data Export'!$D27="","", 'Project Summary'!$J$1)</f>
        <v>5.01</v>
      </c>
      <c r="K27" s="630">
        <f>IF('Data Export'!$D27="","",'Fan Control'!D12)</f>
        <v>0</v>
      </c>
      <c r="L27" s="630">
        <f>IF('Data Export'!$D27="","",'Fan Control'!E12)</f>
        <v>0</v>
      </c>
      <c r="M27" s="630">
        <f>IF('Data Export'!$D27="","", 'Project Summary'!$C$13)</f>
        <v>0</v>
      </c>
      <c r="N27" s="614" t="str">
        <f>IF('Data Export'!$D27="","","")</f>
        <v/>
      </c>
      <c r="O27" s="614" t="str">
        <f>IF('Data Export'!$D27="","","")</f>
        <v/>
      </c>
      <c r="P27" s="630">
        <f>IF('Data Export'!$D27="","",IF('Fan Control'!G12="Refrigeration","Refrigerator",'Fan Control'!G12))</f>
        <v>0</v>
      </c>
      <c r="Q27" s="632">
        <f>IF('Data Export'!$D27="","",'Fan Control'!H12)</f>
        <v>0</v>
      </c>
      <c r="R27" s="630">
        <f>IF('Data Export'!$D27="","",'Fan Control'!J12)</f>
        <v>0</v>
      </c>
      <c r="S27" s="614">
        <f>IF('Data Export'!$D27="","",ROUND('Fan Control'!H12,2))</f>
        <v>0</v>
      </c>
      <c r="T27" s="614" t="str">
        <f>IF('Data Export'!$D27="","","")</f>
        <v/>
      </c>
      <c r="U27" s="614" t="str">
        <f>IF('Data Export'!$D27="","","")</f>
        <v/>
      </c>
      <c r="V27" s="630">
        <f>IF('Data Export'!$D27="","",'Fan Control'!I12)</f>
        <v>0</v>
      </c>
      <c r="W27" s="614" t="str">
        <f>IF('Data Export'!$D27="","","")</f>
        <v/>
      </c>
      <c r="X27" s="614" t="str">
        <f>IF('Data Export'!$D27="","","")</f>
        <v/>
      </c>
      <c r="Y27" s="614" t="str">
        <f>IF('Data Export'!$D27="","","")</f>
        <v/>
      </c>
      <c r="Z27" s="614" t="str">
        <f>IF('Data Export'!$D27="","","")</f>
        <v/>
      </c>
      <c r="AA27" s="614" t="str">
        <f>IF('Data Export'!$D27="","","")</f>
        <v/>
      </c>
      <c r="AB27" s="614" t="str">
        <f>IF('Data Export'!$D27="","","")</f>
        <v/>
      </c>
      <c r="AC27" s="614" t="str">
        <f>IF('Data Export'!$D27="","","")</f>
        <v/>
      </c>
      <c r="AD27" s="614" t="str">
        <f>IF('Data Export'!$D27="","","")</f>
        <v/>
      </c>
      <c r="AE27" s="614" t="str">
        <f>IF('Data Export'!$D27="","","")</f>
        <v/>
      </c>
      <c r="AF27" s="614" t="str">
        <f>IF('Data Export'!$D27="","","")</f>
        <v/>
      </c>
      <c r="AG27" s="614" t="str">
        <f>IF('Data Export'!$D27="","","")</f>
        <v/>
      </c>
      <c r="AH27" s="614" t="str">
        <f>IF('Data Export'!$D27="","","")</f>
        <v/>
      </c>
      <c r="AI27" s="614" t="str">
        <f>IF('Data Export'!$D27="","","")</f>
        <v/>
      </c>
      <c r="AJ27" s="614" t="str">
        <f>IF('Data Export'!$D27="","","")</f>
        <v/>
      </c>
      <c r="AK27" s="614" t="str">
        <f>IF('Data Export'!$D27="","","")</f>
        <v/>
      </c>
      <c r="AL27" s="614"/>
      <c r="AM27" s="632" t="str">
        <f>IF('Data Export'!$D27="","",'Fan Control'!O12)</f>
        <v/>
      </c>
      <c r="AN27" s="632" t="str">
        <f>IF('Data Export'!$D27="","",'Fan Control'!N12)</f>
        <v/>
      </c>
      <c r="AO27" s="636" t="str">
        <f>IF('Data Export'!$D27="","", IFERROR(ROUND($F27/$D27, 2), ""))</f>
        <v/>
      </c>
      <c r="AP27" s="641">
        <f>IF('Data Export'!$D27="","",'Project Summary'!$C$11)</f>
        <v>0</v>
      </c>
      <c r="AQ27" s="652" t="str">
        <f>IF('Data Export'!$D27="","",'Look Up Tables'!H133)</f>
        <v xml:space="preserve"> </v>
      </c>
      <c r="AR27" s="652" t="str">
        <f>IF('Data Export'!$D27="","",'Look Up Tables'!H133)</f>
        <v xml:space="preserve"> </v>
      </c>
    </row>
    <row r="28" spans="1:44" x14ac:dyDescent="0.2">
      <c r="A28" s="618" t="str">
        <f>'Fan Control'!$B$3</f>
        <v>Evaporator Fan Controllers</v>
      </c>
      <c r="B28" s="614" t="s">
        <v>26</v>
      </c>
      <c r="C28" s="614">
        <v>26</v>
      </c>
      <c r="D28" s="630">
        <f>IF('Fan Control'!Q13&gt;0,'Fan Control'!K13,"")</f>
        <v>0</v>
      </c>
      <c r="E28" s="630" t="str">
        <f>IF($D28="","",'Look Up Tables'!$AS$52)</f>
        <v>EvapFanCntrl</v>
      </c>
      <c r="F28" s="636" t="str">
        <f>IF('Data Export'!$D28="","", 'Fan Control'!Q13)</f>
        <v/>
      </c>
      <c r="G28" s="641">
        <f>IF('Data Export'!D28="","", 'Project Summary'!$C$6)</f>
        <v>0</v>
      </c>
      <c r="H28" s="635" t="str">
        <f>IF('Data Export'!$D28="","",'Fan Control'!L13)</f>
        <v/>
      </c>
      <c r="I28" s="644" t="str">
        <f>IF('Data Export'!$D28="","",'Fan Control'!M13)</f>
        <v/>
      </c>
      <c r="J28" s="630">
        <f>IF('Data Export'!$D28="","", 'Project Summary'!$J$1)</f>
        <v>5.01</v>
      </c>
      <c r="K28" s="630">
        <f>IF('Data Export'!$D28="","",'Fan Control'!D13)</f>
        <v>0</v>
      </c>
      <c r="L28" s="630">
        <f>IF('Data Export'!$D28="","",'Fan Control'!E13)</f>
        <v>0</v>
      </c>
      <c r="M28" s="630">
        <f>IF('Data Export'!$D28="","", 'Project Summary'!$C$13)</f>
        <v>0</v>
      </c>
      <c r="N28" s="614" t="str">
        <f>IF('Data Export'!$D28="","","")</f>
        <v/>
      </c>
      <c r="O28" s="614" t="str">
        <f>IF('Data Export'!$D28="","","")</f>
        <v/>
      </c>
      <c r="P28" s="630">
        <f>IF('Data Export'!$D28="","",IF('Fan Control'!G13="Refrigeration","Refrigerator",'Fan Control'!G13))</f>
        <v>0</v>
      </c>
      <c r="Q28" s="632">
        <f>IF('Data Export'!$D28="","",'Fan Control'!H13)</f>
        <v>0</v>
      </c>
      <c r="R28" s="630">
        <f>IF('Data Export'!$D28="","",'Fan Control'!J13)</f>
        <v>0</v>
      </c>
      <c r="S28" s="614">
        <f>IF('Data Export'!$D28="","",ROUND('Fan Control'!H13,2))</f>
        <v>0</v>
      </c>
      <c r="T28" s="614" t="str">
        <f>IF('Data Export'!$D28="","","")</f>
        <v/>
      </c>
      <c r="U28" s="614" t="str">
        <f>IF('Data Export'!$D28="","","")</f>
        <v/>
      </c>
      <c r="V28" s="630">
        <f>IF('Data Export'!$D28="","",'Fan Control'!I13)</f>
        <v>0</v>
      </c>
      <c r="W28" s="614" t="str">
        <f>IF('Data Export'!$D28="","","")</f>
        <v/>
      </c>
      <c r="X28" s="614" t="str">
        <f>IF('Data Export'!$D28="","","")</f>
        <v/>
      </c>
      <c r="Y28" s="614" t="str">
        <f>IF('Data Export'!$D28="","","")</f>
        <v/>
      </c>
      <c r="Z28" s="614" t="str">
        <f>IF('Data Export'!$D28="","","")</f>
        <v/>
      </c>
      <c r="AA28" s="614" t="str">
        <f>IF('Data Export'!$D28="","","")</f>
        <v/>
      </c>
      <c r="AB28" s="614" t="str">
        <f>IF('Data Export'!$D28="","","")</f>
        <v/>
      </c>
      <c r="AC28" s="614" t="str">
        <f>IF('Data Export'!$D28="","","")</f>
        <v/>
      </c>
      <c r="AD28" s="614" t="str">
        <f>IF('Data Export'!$D28="","","")</f>
        <v/>
      </c>
      <c r="AE28" s="614" t="str">
        <f>IF('Data Export'!$D28="","","")</f>
        <v/>
      </c>
      <c r="AF28" s="614" t="str">
        <f>IF('Data Export'!$D28="","","")</f>
        <v/>
      </c>
      <c r="AG28" s="614" t="str">
        <f>IF('Data Export'!$D28="","","")</f>
        <v/>
      </c>
      <c r="AH28" s="614" t="str">
        <f>IF('Data Export'!$D28="","","")</f>
        <v/>
      </c>
      <c r="AI28" s="614" t="str">
        <f>IF('Data Export'!$D28="","","")</f>
        <v/>
      </c>
      <c r="AJ28" s="614" t="str">
        <f>IF('Data Export'!$D28="","","")</f>
        <v/>
      </c>
      <c r="AK28" s="614" t="str">
        <f>IF('Data Export'!$D28="","","")</f>
        <v/>
      </c>
      <c r="AL28" s="614"/>
      <c r="AM28" s="632" t="str">
        <f>IF('Data Export'!$D28="","",'Fan Control'!O13)</f>
        <v/>
      </c>
      <c r="AN28" s="632" t="str">
        <f>IF('Data Export'!$D28="","",'Fan Control'!N13)</f>
        <v/>
      </c>
      <c r="AO28" s="636" t="str">
        <f>IF('Data Export'!$D28="","", IFERROR(ROUND($F28/$D28, 2), ""))</f>
        <v/>
      </c>
      <c r="AP28" s="641">
        <f>IF('Data Export'!$D28="","",'Project Summary'!$C$11)</f>
        <v>0</v>
      </c>
      <c r="AQ28" s="652" t="str">
        <f>IF('Data Export'!$D28="","",'Look Up Tables'!H134)</f>
        <v xml:space="preserve"> </v>
      </c>
      <c r="AR28" s="652" t="str">
        <f>IF('Data Export'!$D28="","",'Look Up Tables'!H134)</f>
        <v xml:space="preserve"> </v>
      </c>
    </row>
    <row r="29" spans="1:44" x14ac:dyDescent="0.2">
      <c r="A29" s="618" t="str">
        <f>'Fan Control'!$B$3</f>
        <v>Evaporator Fan Controllers</v>
      </c>
      <c r="B29" s="614" t="s">
        <v>26</v>
      </c>
      <c r="C29" s="614">
        <v>27</v>
      </c>
      <c r="D29" s="630">
        <f>IF('Fan Control'!Q14&gt;0,'Fan Control'!K14,"")</f>
        <v>0</v>
      </c>
      <c r="E29" s="630" t="str">
        <f>IF($D29="","",'Look Up Tables'!$AS$52)</f>
        <v>EvapFanCntrl</v>
      </c>
      <c r="F29" s="636" t="str">
        <f>IF('Data Export'!$D29="","", 'Fan Control'!Q14)</f>
        <v/>
      </c>
      <c r="G29" s="641">
        <f>IF('Data Export'!D29="","", 'Project Summary'!$C$6)</f>
        <v>0</v>
      </c>
      <c r="H29" s="635" t="str">
        <f>IF('Data Export'!$D29="","",'Fan Control'!L14)</f>
        <v/>
      </c>
      <c r="I29" s="644" t="str">
        <f>IF('Data Export'!$D29="","",'Fan Control'!M14)</f>
        <v/>
      </c>
      <c r="J29" s="630">
        <f>IF('Data Export'!$D29="","", 'Project Summary'!$J$1)</f>
        <v>5.01</v>
      </c>
      <c r="K29" s="630">
        <f>IF('Data Export'!$D29="","",'Fan Control'!D14)</f>
        <v>0</v>
      </c>
      <c r="L29" s="630">
        <f>IF('Data Export'!$D29="","",'Fan Control'!E14)</f>
        <v>0</v>
      </c>
      <c r="M29" s="630">
        <f>IF('Data Export'!$D29="","", 'Project Summary'!$C$13)</f>
        <v>0</v>
      </c>
      <c r="N29" s="614" t="str">
        <f>IF('Data Export'!$D29="","","")</f>
        <v/>
      </c>
      <c r="O29" s="614" t="str">
        <f>IF('Data Export'!$D29="","","")</f>
        <v/>
      </c>
      <c r="P29" s="630">
        <f>IF('Data Export'!$D29="","",IF('Fan Control'!G14="Refrigeration","Refrigerator",'Fan Control'!G14))</f>
        <v>0</v>
      </c>
      <c r="Q29" s="632">
        <f>IF('Data Export'!$D29="","",'Fan Control'!H14)</f>
        <v>0</v>
      </c>
      <c r="R29" s="630">
        <f>IF('Data Export'!$D29="","",'Fan Control'!J14)</f>
        <v>0</v>
      </c>
      <c r="S29" s="614">
        <f>IF('Data Export'!$D29="","",ROUND('Fan Control'!H14,2))</f>
        <v>0</v>
      </c>
      <c r="T29" s="614" t="str">
        <f>IF('Data Export'!$D29="","","")</f>
        <v/>
      </c>
      <c r="U29" s="614" t="str">
        <f>IF('Data Export'!$D29="","","")</f>
        <v/>
      </c>
      <c r="V29" s="630">
        <f>IF('Data Export'!$D29="","",'Fan Control'!I14)</f>
        <v>0</v>
      </c>
      <c r="W29" s="614" t="str">
        <f>IF('Data Export'!$D29="","","")</f>
        <v/>
      </c>
      <c r="X29" s="614" t="str">
        <f>IF('Data Export'!$D29="","","")</f>
        <v/>
      </c>
      <c r="Y29" s="614" t="str">
        <f>IF('Data Export'!$D29="","","")</f>
        <v/>
      </c>
      <c r="Z29" s="614" t="str">
        <f>IF('Data Export'!$D29="","","")</f>
        <v/>
      </c>
      <c r="AA29" s="614" t="str">
        <f>IF('Data Export'!$D29="","","")</f>
        <v/>
      </c>
      <c r="AB29" s="614" t="str">
        <f>IF('Data Export'!$D29="","","")</f>
        <v/>
      </c>
      <c r="AC29" s="614" t="str">
        <f>IF('Data Export'!$D29="","","")</f>
        <v/>
      </c>
      <c r="AD29" s="614" t="str">
        <f>IF('Data Export'!$D29="","","")</f>
        <v/>
      </c>
      <c r="AE29" s="614" t="str">
        <f>IF('Data Export'!$D29="","","")</f>
        <v/>
      </c>
      <c r="AF29" s="614" t="str">
        <f>IF('Data Export'!$D29="","","")</f>
        <v/>
      </c>
      <c r="AG29" s="614" t="str">
        <f>IF('Data Export'!$D29="","","")</f>
        <v/>
      </c>
      <c r="AH29" s="614" t="str">
        <f>IF('Data Export'!$D29="","","")</f>
        <v/>
      </c>
      <c r="AI29" s="614" t="str">
        <f>IF('Data Export'!$D29="","","")</f>
        <v/>
      </c>
      <c r="AJ29" s="614" t="str">
        <f>IF('Data Export'!$D29="","","")</f>
        <v/>
      </c>
      <c r="AK29" s="614" t="str">
        <f>IF('Data Export'!$D29="","","")</f>
        <v/>
      </c>
      <c r="AL29" s="614"/>
      <c r="AM29" s="632" t="str">
        <f>IF('Data Export'!$D29="","",'Fan Control'!O14)</f>
        <v/>
      </c>
      <c r="AN29" s="632" t="str">
        <f>IF('Data Export'!$D29="","",'Fan Control'!N14)</f>
        <v/>
      </c>
      <c r="AO29" s="636" t="str">
        <f>IF('Data Export'!$D29="","", IFERROR(ROUND($F29/$D29, 2), ""))</f>
        <v/>
      </c>
      <c r="AP29" s="641">
        <f>IF('Data Export'!$D29="","",'Project Summary'!$C$11)</f>
        <v>0</v>
      </c>
      <c r="AQ29" s="652" t="str">
        <f>IF('Data Export'!$D29="","",'Look Up Tables'!H135)</f>
        <v xml:space="preserve"> </v>
      </c>
      <c r="AR29" s="652" t="str">
        <f>IF('Data Export'!$D29="","",'Look Up Tables'!H135)</f>
        <v xml:space="preserve"> </v>
      </c>
    </row>
    <row r="30" spans="1:44" x14ac:dyDescent="0.2">
      <c r="A30" s="618" t="str">
        <f>'Fan Control'!$B$3</f>
        <v>Evaporator Fan Controllers</v>
      </c>
      <c r="B30" s="614" t="s">
        <v>26</v>
      </c>
      <c r="C30" s="614">
        <v>28</v>
      </c>
      <c r="D30" s="630">
        <f>IF('Fan Control'!Q15&gt;0,'Fan Control'!K15,"")</f>
        <v>0</v>
      </c>
      <c r="E30" s="630" t="str">
        <f>IF($D30="","",'Look Up Tables'!$AS$52)</f>
        <v>EvapFanCntrl</v>
      </c>
      <c r="F30" s="636" t="str">
        <f>IF('Data Export'!$D30="","", 'Fan Control'!Q15)</f>
        <v/>
      </c>
      <c r="G30" s="641">
        <f>IF('Data Export'!D30="","", 'Project Summary'!$C$6)</f>
        <v>0</v>
      </c>
      <c r="H30" s="635" t="str">
        <f>IF('Data Export'!$D30="","",'Fan Control'!L15)</f>
        <v/>
      </c>
      <c r="I30" s="644" t="str">
        <f>IF('Data Export'!$D30="","",'Fan Control'!M15)</f>
        <v/>
      </c>
      <c r="J30" s="630">
        <f>IF('Data Export'!$D30="","", 'Project Summary'!$J$1)</f>
        <v>5.01</v>
      </c>
      <c r="K30" s="630">
        <f>IF('Data Export'!$D30="","",'Fan Control'!D15)</f>
        <v>0</v>
      </c>
      <c r="L30" s="630">
        <f>IF('Data Export'!$D30="","",'Fan Control'!E15)</f>
        <v>0</v>
      </c>
      <c r="M30" s="630">
        <f>IF('Data Export'!$D30="","", 'Project Summary'!$C$13)</f>
        <v>0</v>
      </c>
      <c r="N30" s="614" t="str">
        <f>IF('Data Export'!$D30="","","")</f>
        <v/>
      </c>
      <c r="O30" s="614" t="str">
        <f>IF('Data Export'!$D30="","","")</f>
        <v/>
      </c>
      <c r="P30" s="630">
        <f>IF('Data Export'!$D30="","",IF('Fan Control'!G15="Refrigeration","Refrigerator",'Fan Control'!G15))</f>
        <v>0</v>
      </c>
      <c r="Q30" s="632">
        <f>IF('Data Export'!$D30="","",'Fan Control'!H15)</f>
        <v>0</v>
      </c>
      <c r="R30" s="630">
        <f>IF('Data Export'!$D30="","",'Fan Control'!J15)</f>
        <v>0</v>
      </c>
      <c r="S30" s="614">
        <f>IF('Data Export'!$D30="","",ROUND('Fan Control'!H15,2))</f>
        <v>0</v>
      </c>
      <c r="T30" s="614" t="str">
        <f>IF('Data Export'!$D30="","","")</f>
        <v/>
      </c>
      <c r="U30" s="614" t="str">
        <f>IF('Data Export'!$D30="","","")</f>
        <v/>
      </c>
      <c r="V30" s="630">
        <f>IF('Data Export'!$D30="","",'Fan Control'!I15)</f>
        <v>0</v>
      </c>
      <c r="W30" s="614" t="str">
        <f>IF('Data Export'!$D30="","","")</f>
        <v/>
      </c>
      <c r="X30" s="614" t="str">
        <f>IF('Data Export'!$D30="","","")</f>
        <v/>
      </c>
      <c r="Y30" s="614" t="str">
        <f>IF('Data Export'!$D30="","","")</f>
        <v/>
      </c>
      <c r="Z30" s="614" t="str">
        <f>IF('Data Export'!$D30="","","")</f>
        <v/>
      </c>
      <c r="AA30" s="614" t="str">
        <f>IF('Data Export'!$D30="","","")</f>
        <v/>
      </c>
      <c r="AB30" s="614" t="str">
        <f>IF('Data Export'!$D30="","","")</f>
        <v/>
      </c>
      <c r="AC30" s="614" t="str">
        <f>IF('Data Export'!$D30="","","")</f>
        <v/>
      </c>
      <c r="AD30" s="614" t="str">
        <f>IF('Data Export'!$D30="","","")</f>
        <v/>
      </c>
      <c r="AE30" s="614" t="str">
        <f>IF('Data Export'!$D30="","","")</f>
        <v/>
      </c>
      <c r="AF30" s="614" t="str">
        <f>IF('Data Export'!$D30="","","")</f>
        <v/>
      </c>
      <c r="AG30" s="614" t="str">
        <f>IF('Data Export'!$D30="","","")</f>
        <v/>
      </c>
      <c r="AH30" s="614" t="str">
        <f>IF('Data Export'!$D30="","","")</f>
        <v/>
      </c>
      <c r="AI30" s="614" t="str">
        <f>IF('Data Export'!$D30="","","")</f>
        <v/>
      </c>
      <c r="AJ30" s="614" t="str">
        <f>IF('Data Export'!$D30="","","")</f>
        <v/>
      </c>
      <c r="AK30" s="614" t="str">
        <f>IF('Data Export'!$D30="","","")</f>
        <v/>
      </c>
      <c r="AL30" s="614"/>
      <c r="AM30" s="632" t="str">
        <f>IF('Data Export'!$D30="","",'Fan Control'!O15)</f>
        <v/>
      </c>
      <c r="AN30" s="632" t="str">
        <f>IF('Data Export'!$D30="","",'Fan Control'!N15)</f>
        <v/>
      </c>
      <c r="AO30" s="636" t="str">
        <f>IF('Data Export'!$D30="","", IFERROR(ROUND($F30/$D30, 2), ""))</f>
        <v/>
      </c>
      <c r="AP30" s="641">
        <f>IF('Data Export'!$D30="","",'Project Summary'!$C$11)</f>
        <v>0</v>
      </c>
      <c r="AQ30" s="652" t="str">
        <f>IF('Data Export'!$D30="","",'Look Up Tables'!H136)</f>
        <v xml:space="preserve"> </v>
      </c>
      <c r="AR30" s="652" t="str">
        <f>IF('Data Export'!$D30="","",'Look Up Tables'!H136)</f>
        <v xml:space="preserve"> </v>
      </c>
    </row>
    <row r="31" spans="1:44" x14ac:dyDescent="0.2">
      <c r="A31" s="618" t="str">
        <f>'Fan Control'!$B$3</f>
        <v>Evaporator Fan Controllers</v>
      </c>
      <c r="B31" s="614" t="s">
        <v>26</v>
      </c>
      <c r="C31" s="614">
        <v>29</v>
      </c>
      <c r="D31" s="630">
        <f>IF('Fan Control'!Q16&gt;0,'Fan Control'!K16,"")</f>
        <v>0</v>
      </c>
      <c r="E31" s="630" t="str">
        <f>IF($D31="","",'Look Up Tables'!$AS$52)</f>
        <v>EvapFanCntrl</v>
      </c>
      <c r="F31" s="636" t="str">
        <f>IF('Data Export'!$D31="","", 'Fan Control'!Q16)</f>
        <v/>
      </c>
      <c r="G31" s="641">
        <f>IF('Data Export'!D31="","", 'Project Summary'!$C$6)</f>
        <v>0</v>
      </c>
      <c r="H31" s="635" t="str">
        <f>IF('Data Export'!$D31="","",'Fan Control'!L16)</f>
        <v/>
      </c>
      <c r="I31" s="644" t="str">
        <f>IF('Data Export'!$D31="","",'Fan Control'!M16)</f>
        <v/>
      </c>
      <c r="J31" s="630">
        <f>IF('Data Export'!$D31="","", 'Project Summary'!$J$1)</f>
        <v>5.01</v>
      </c>
      <c r="K31" s="630">
        <f>IF('Data Export'!$D31="","",'Fan Control'!D16)</f>
        <v>0</v>
      </c>
      <c r="L31" s="630">
        <f>IF('Data Export'!$D31="","",'Fan Control'!E16)</f>
        <v>0</v>
      </c>
      <c r="M31" s="630">
        <f>IF('Data Export'!$D31="","", 'Project Summary'!$C$13)</f>
        <v>0</v>
      </c>
      <c r="N31" s="614" t="str">
        <f>IF('Data Export'!$D31="","","")</f>
        <v/>
      </c>
      <c r="O31" s="614" t="str">
        <f>IF('Data Export'!$D31="","","")</f>
        <v/>
      </c>
      <c r="P31" s="630">
        <f>IF('Data Export'!$D31="","",IF('Fan Control'!G16="Refrigeration","Refrigerator",'Fan Control'!G16))</f>
        <v>0</v>
      </c>
      <c r="Q31" s="632">
        <f>IF('Data Export'!$D31="","",'Fan Control'!H16)</f>
        <v>0</v>
      </c>
      <c r="R31" s="630">
        <f>IF('Data Export'!$D31="","",'Fan Control'!J16)</f>
        <v>0</v>
      </c>
      <c r="S31" s="614">
        <f>IF('Data Export'!$D31="","",ROUND('Fan Control'!H16,2))</f>
        <v>0</v>
      </c>
      <c r="T31" s="614" t="str">
        <f>IF('Data Export'!$D31="","","")</f>
        <v/>
      </c>
      <c r="U31" s="614" t="str">
        <f>IF('Data Export'!$D31="","","")</f>
        <v/>
      </c>
      <c r="V31" s="630">
        <f>IF('Data Export'!$D31="","",'Fan Control'!I16)</f>
        <v>0</v>
      </c>
      <c r="W31" s="614" t="str">
        <f>IF('Data Export'!$D31="","","")</f>
        <v/>
      </c>
      <c r="X31" s="614" t="str">
        <f>IF('Data Export'!$D31="","","")</f>
        <v/>
      </c>
      <c r="Y31" s="614" t="str">
        <f>IF('Data Export'!$D31="","","")</f>
        <v/>
      </c>
      <c r="Z31" s="614" t="str">
        <f>IF('Data Export'!$D31="","","")</f>
        <v/>
      </c>
      <c r="AA31" s="614" t="str">
        <f>IF('Data Export'!$D31="","","")</f>
        <v/>
      </c>
      <c r="AB31" s="614" t="str">
        <f>IF('Data Export'!$D31="","","")</f>
        <v/>
      </c>
      <c r="AC31" s="614" t="str">
        <f>IF('Data Export'!$D31="","","")</f>
        <v/>
      </c>
      <c r="AD31" s="614" t="str">
        <f>IF('Data Export'!$D31="","","")</f>
        <v/>
      </c>
      <c r="AE31" s="614" t="str">
        <f>IF('Data Export'!$D31="","","")</f>
        <v/>
      </c>
      <c r="AF31" s="614" t="str">
        <f>IF('Data Export'!$D31="","","")</f>
        <v/>
      </c>
      <c r="AG31" s="614" t="str">
        <f>IF('Data Export'!$D31="","","")</f>
        <v/>
      </c>
      <c r="AH31" s="614" t="str">
        <f>IF('Data Export'!$D31="","","")</f>
        <v/>
      </c>
      <c r="AI31" s="614" t="str">
        <f>IF('Data Export'!$D31="","","")</f>
        <v/>
      </c>
      <c r="AJ31" s="614" t="str">
        <f>IF('Data Export'!$D31="","","")</f>
        <v/>
      </c>
      <c r="AK31" s="614" t="str">
        <f>IF('Data Export'!$D31="","","")</f>
        <v/>
      </c>
      <c r="AL31" s="614"/>
      <c r="AM31" s="632" t="str">
        <f>IF('Data Export'!$D31="","",'Fan Control'!O16)</f>
        <v/>
      </c>
      <c r="AN31" s="632" t="str">
        <f>IF('Data Export'!$D31="","",'Fan Control'!N16)</f>
        <v/>
      </c>
      <c r="AO31" s="636" t="str">
        <f>IF('Data Export'!$D31="","", IFERROR(ROUND($F31/$D31, 2), ""))</f>
        <v/>
      </c>
      <c r="AP31" s="641">
        <f>IF('Data Export'!$D31="","",'Project Summary'!$C$11)</f>
        <v>0</v>
      </c>
      <c r="AQ31" s="652" t="str">
        <f>IF('Data Export'!$D31="","",'Look Up Tables'!H137)</f>
        <v xml:space="preserve"> </v>
      </c>
      <c r="AR31" s="652" t="str">
        <f>IF('Data Export'!$D31="","",'Look Up Tables'!H137)</f>
        <v xml:space="preserve"> </v>
      </c>
    </row>
    <row r="32" spans="1:44" ht="15" thickBot="1" x14ac:dyDescent="0.25">
      <c r="A32" s="625" t="str">
        <f>'Fan Control'!$B$3</f>
        <v>Evaporator Fan Controllers</v>
      </c>
      <c r="B32" s="626" t="s">
        <v>26</v>
      </c>
      <c r="C32" s="626">
        <v>30</v>
      </c>
      <c r="D32" s="631">
        <f>IF('Fan Control'!Q17&gt;0,'Fan Control'!K17,"")</f>
        <v>0</v>
      </c>
      <c r="E32" s="631" t="str">
        <f>IF($D32="","",'Look Up Tables'!$AS$52)</f>
        <v>EvapFanCntrl</v>
      </c>
      <c r="F32" s="638" t="str">
        <f>IF('Data Export'!$D32="","", 'Fan Control'!Q17)</f>
        <v/>
      </c>
      <c r="G32" s="642">
        <f>IF('Data Export'!D32="","", 'Project Summary'!$C$6)</f>
        <v>0</v>
      </c>
      <c r="H32" s="639" t="str">
        <f>IF('Data Export'!$D32="","",'Fan Control'!L17)</f>
        <v/>
      </c>
      <c r="I32" s="659" t="str">
        <f>IF('Data Export'!$D32="","",'Fan Control'!M17)</f>
        <v/>
      </c>
      <c r="J32" s="631">
        <f>IF('Data Export'!$D32="","", 'Project Summary'!$J$1)</f>
        <v>5.01</v>
      </c>
      <c r="K32" s="631">
        <f>IF('Data Export'!$D32="","",'Fan Control'!D17)</f>
        <v>0</v>
      </c>
      <c r="L32" s="631">
        <f>IF('Data Export'!$D32="","",'Fan Control'!E17)</f>
        <v>0</v>
      </c>
      <c r="M32" s="631">
        <f>IF('Data Export'!$D32="","", 'Project Summary'!$C$13)</f>
        <v>0</v>
      </c>
      <c r="N32" s="626" t="str">
        <f>IF('Data Export'!$D32="","","")</f>
        <v/>
      </c>
      <c r="O32" s="626" t="str">
        <f>IF('Data Export'!$D32="","","")</f>
        <v/>
      </c>
      <c r="P32" s="631">
        <f>IF('Data Export'!$D32="","",IF('Fan Control'!G17="Refrigeration","Refrigerator",'Fan Control'!G17))</f>
        <v>0</v>
      </c>
      <c r="Q32" s="646">
        <f>IF('Data Export'!$D32="","",'Fan Control'!H17)</f>
        <v>0</v>
      </c>
      <c r="R32" s="631">
        <f>IF('Data Export'!$D32="","",'Fan Control'!J17)</f>
        <v>0</v>
      </c>
      <c r="S32" s="626">
        <f>IF('Data Export'!$D32="","",ROUND('Fan Control'!H17,2))</f>
        <v>0</v>
      </c>
      <c r="T32" s="626" t="str">
        <f>IF('Data Export'!$D32="","","")</f>
        <v/>
      </c>
      <c r="U32" s="626" t="str">
        <f>IF('Data Export'!$D32="","","")</f>
        <v/>
      </c>
      <c r="V32" s="631">
        <f>IF('Data Export'!$D32="","",'Fan Control'!I17)</f>
        <v>0</v>
      </c>
      <c r="W32" s="626" t="str">
        <f>IF('Data Export'!$D32="","","")</f>
        <v/>
      </c>
      <c r="X32" s="626" t="str">
        <f>IF('Data Export'!$D32="","","")</f>
        <v/>
      </c>
      <c r="Y32" s="626" t="str">
        <f>IF('Data Export'!$D32="","","")</f>
        <v/>
      </c>
      <c r="Z32" s="626" t="str">
        <f>IF('Data Export'!$D32="","","")</f>
        <v/>
      </c>
      <c r="AA32" s="626" t="str">
        <f>IF('Data Export'!$D32="","","")</f>
        <v/>
      </c>
      <c r="AB32" s="626" t="str">
        <f>IF('Data Export'!$D32="","","")</f>
        <v/>
      </c>
      <c r="AC32" s="626" t="str">
        <f>IF('Data Export'!$D32="","","")</f>
        <v/>
      </c>
      <c r="AD32" s="626" t="str">
        <f>IF('Data Export'!$D32="","","")</f>
        <v/>
      </c>
      <c r="AE32" s="626" t="str">
        <f>IF('Data Export'!$D32="","","")</f>
        <v/>
      </c>
      <c r="AF32" s="626" t="str">
        <f>IF('Data Export'!$D32="","","")</f>
        <v/>
      </c>
      <c r="AG32" s="626" t="str">
        <f>IF('Data Export'!$D32="","","")</f>
        <v/>
      </c>
      <c r="AH32" s="626" t="str">
        <f>IF('Data Export'!$D32="","","")</f>
        <v/>
      </c>
      <c r="AI32" s="626" t="str">
        <f>IF('Data Export'!$D32="","","")</f>
        <v/>
      </c>
      <c r="AJ32" s="626" t="str">
        <f>IF('Data Export'!$D32="","","")</f>
        <v/>
      </c>
      <c r="AK32" s="626" t="str">
        <f>IF('Data Export'!$D32="","","")</f>
        <v/>
      </c>
      <c r="AL32" s="626"/>
      <c r="AM32" s="646" t="str">
        <f>IF('Data Export'!$D32="","",'Fan Control'!O17)</f>
        <v/>
      </c>
      <c r="AN32" s="646" t="str">
        <f>IF('Data Export'!$D32="","",'Fan Control'!N17)</f>
        <v/>
      </c>
      <c r="AO32" s="638" t="str">
        <f>IF('Data Export'!$D32="","", IFERROR(ROUND($F32/$D32, 2), ""))</f>
        <v/>
      </c>
      <c r="AP32" s="642">
        <f>IF('Data Export'!$D32="","",'Project Summary'!$C$11)</f>
        <v>0</v>
      </c>
      <c r="AQ32" s="654" t="str">
        <f>IF('Data Export'!$D32="","",'Look Up Tables'!H138)</f>
        <v xml:space="preserve"> </v>
      </c>
      <c r="AR32" s="654" t="str">
        <f>IF('Data Export'!$D32="","",'Look Up Tables'!H138)</f>
        <v xml:space="preserve"> </v>
      </c>
    </row>
    <row r="33" spans="1:44" ht="15" thickTop="1" x14ac:dyDescent="0.2">
      <c r="A33" s="620" t="str">
        <f>'Float Control'!$B$3</f>
        <v>Floating Head Pressure Controls</v>
      </c>
      <c r="B33" s="621" t="s">
        <v>31</v>
      </c>
      <c r="C33" s="621">
        <v>31</v>
      </c>
      <c r="D33" s="632">
        <f>IF('Float Control'!V8&gt;0,'Float Control'!J8,"")</f>
        <v>0</v>
      </c>
      <c r="E33" s="632" t="str">
        <f>IF($D33="","",'Look Up Tables'!$AS$54)</f>
        <v>FloatHeadPresCntrlTon</v>
      </c>
      <c r="F33" s="637" t="str">
        <f>IF('Data Export'!$D33="","", 'Float Control'!V8)</f>
        <v/>
      </c>
      <c r="G33" s="643">
        <f>IF('Data Export'!D33="","", 'Project Summary'!$C$6)</f>
        <v>0</v>
      </c>
      <c r="H33" s="640" t="str">
        <f>IF('Data Export'!$D33="","",'Float Control'!Q8)</f>
        <v/>
      </c>
      <c r="I33" s="658" t="str">
        <f>IF('Data Export'!$D33="","",'Float Control'!R8)</f>
        <v/>
      </c>
      <c r="J33" s="632">
        <f>IF('Data Export'!$D33="","", 'Project Summary'!$J$1)</f>
        <v>5.01</v>
      </c>
      <c r="K33" s="632">
        <f>IF('Data Export'!$D33="","",'Float Control'!D8)</f>
        <v>0</v>
      </c>
      <c r="L33" s="632">
        <f>IF('Data Export'!$D33="","",'Float Control'!E8)</f>
        <v>0</v>
      </c>
      <c r="M33" s="632">
        <f>IF('Data Export'!$D33="","", 'Project Summary'!$C$13)</f>
        <v>0</v>
      </c>
      <c r="N33" s="621" t="str">
        <f>IF('Data Export'!$D33="","","")</f>
        <v/>
      </c>
      <c r="O33" s="621" t="str">
        <f>IF('Data Export'!$D33="","","")</f>
        <v/>
      </c>
      <c r="P33" s="632" t="str">
        <f>IF('Data Export'!$D33="","",'Float Control'!L8)</f>
        <v>Unknown</v>
      </c>
      <c r="Q33" s="621" t="str">
        <f>IF('Data Export'!$D33="","","")</f>
        <v/>
      </c>
      <c r="R33" s="621" t="str">
        <f>IF('Data Export'!$D33="","","")</f>
        <v/>
      </c>
      <c r="S33" s="632">
        <f>IF('Data Export'!$D33="","",'Float Control'!I8)</f>
        <v>0</v>
      </c>
      <c r="T33" s="621" t="str">
        <f>IF('Data Export'!$D33="","","")</f>
        <v/>
      </c>
      <c r="U33" s="621" t="str">
        <f>IF('Data Export'!$D33="","","")</f>
        <v/>
      </c>
      <c r="V33" s="621" t="str">
        <f>IF('Data Export'!$D33="","","")</f>
        <v/>
      </c>
      <c r="W33" s="632">
        <f>IF('Data Export'!$D33="","",'Float Control'!G8)</f>
        <v>0</v>
      </c>
      <c r="X33" s="640">
        <f>IF('Data Export'!$D33="","",'Float Control'!H8)</f>
        <v>0</v>
      </c>
      <c r="Y33" s="621"/>
      <c r="Z33" s="645">
        <f>IF('Data Export'!$D33="","",'Float Control'!O8)</f>
        <v>0</v>
      </c>
      <c r="AA33" s="621"/>
      <c r="AB33" s="621"/>
      <c r="AC33" s="621"/>
      <c r="AD33" s="621"/>
      <c r="AE33" s="621"/>
      <c r="AF33" s="621"/>
      <c r="AG33" s="621"/>
      <c r="AH33" s="621"/>
      <c r="AI33" s="632" t="str">
        <f>IF('Data Export'!$D33="","",'Float Control'!L8)</f>
        <v>Unknown</v>
      </c>
      <c r="AJ33" s="621"/>
      <c r="AK33" s="621"/>
      <c r="AL33" s="621"/>
      <c r="AM33" s="658" t="str">
        <f>IF('Data Export'!$D33="","",'Float Control'!T8)</f>
        <v/>
      </c>
      <c r="AN33" s="658" t="str">
        <f>IF('Data Export'!$D33="","",'Float Control'!S8)</f>
        <v/>
      </c>
      <c r="AO33" s="637" t="str">
        <f>IF('Data Export'!$D33="","", IFERROR(ROUND($F33/$D33, 2), ""))</f>
        <v/>
      </c>
      <c r="AP33" s="643">
        <f>IF('Data Export'!$D33="","",'Project Summary'!$C$11)</f>
        <v>0</v>
      </c>
      <c r="AQ33" s="653">
        <f>IF('Data Export'!$D33="","",0)</f>
        <v>0</v>
      </c>
      <c r="AR33" s="653">
        <f>IF('Data Export'!$D33="","",'Look Up Tables'!$C$166)</f>
        <v>2.7399999999999999E-5</v>
      </c>
    </row>
    <row r="34" spans="1:44" x14ac:dyDescent="0.2">
      <c r="A34" s="618" t="str">
        <f>'Float Control'!$B$3</f>
        <v>Floating Head Pressure Controls</v>
      </c>
      <c r="B34" s="614" t="s">
        <v>31</v>
      </c>
      <c r="C34" s="614">
        <v>32</v>
      </c>
      <c r="D34" s="630">
        <f>IF('Float Control'!V9&gt;0,'Float Control'!J9,"")</f>
        <v>0</v>
      </c>
      <c r="E34" s="630" t="str">
        <f>IF($D34="","",'Look Up Tables'!$AS$54)</f>
        <v>FloatHeadPresCntrlTon</v>
      </c>
      <c r="F34" s="636" t="str">
        <f>IF('Data Export'!$D34="","", 'Float Control'!V9)</f>
        <v/>
      </c>
      <c r="G34" s="641">
        <f>IF('Data Export'!D34="","", 'Project Summary'!$C$6)</f>
        <v>0</v>
      </c>
      <c r="H34" s="635" t="str">
        <f>IF('Data Export'!$D34="","",'Float Control'!Q9)</f>
        <v/>
      </c>
      <c r="I34" s="644" t="str">
        <f>IF('Data Export'!$D34="","",'Float Control'!R9)</f>
        <v/>
      </c>
      <c r="J34" s="630">
        <f>IF('Data Export'!$D34="","", 'Project Summary'!$J$1)</f>
        <v>5.01</v>
      </c>
      <c r="K34" s="630">
        <f>IF('Data Export'!$D34="","",'Float Control'!D9)</f>
        <v>0</v>
      </c>
      <c r="L34" s="630">
        <f>IF('Data Export'!$D34="","",'Float Control'!E9)</f>
        <v>0</v>
      </c>
      <c r="M34" s="630">
        <f>IF('Data Export'!$D34="","", 'Project Summary'!$C$13)</f>
        <v>0</v>
      </c>
      <c r="N34" s="614"/>
      <c r="O34" s="614"/>
      <c r="P34" s="632" t="str">
        <f>IF('Data Export'!$D34="","",'Float Control'!L9)</f>
        <v>Unknown</v>
      </c>
      <c r="Q34" s="614"/>
      <c r="R34" s="614"/>
      <c r="S34" s="630">
        <f>IF('Data Export'!$D34="","",'Float Control'!I9)</f>
        <v>0</v>
      </c>
      <c r="T34" s="614"/>
      <c r="U34" s="614"/>
      <c r="V34" s="614"/>
      <c r="W34" s="630">
        <f>IF('Data Export'!$D34="","",'Float Control'!G9)</f>
        <v>0</v>
      </c>
      <c r="X34" s="635">
        <f>IF('Data Export'!$D34="","",'Float Control'!H9)</f>
        <v>0</v>
      </c>
      <c r="Y34" s="614"/>
      <c r="Z34" s="632">
        <f>IF('Data Export'!$D34="","",'Float Control'!O9)</f>
        <v>0</v>
      </c>
      <c r="AA34" s="614"/>
      <c r="AB34" s="614"/>
      <c r="AC34" s="614"/>
      <c r="AD34" s="614"/>
      <c r="AE34" s="614"/>
      <c r="AF34" s="614"/>
      <c r="AG34" s="614"/>
      <c r="AH34" s="614"/>
      <c r="AI34" s="630" t="str">
        <f>IF('Data Export'!$D34="","",'Float Control'!L9)</f>
        <v>Unknown</v>
      </c>
      <c r="AJ34" s="614"/>
      <c r="AK34" s="614"/>
      <c r="AL34" s="614"/>
      <c r="AM34" s="644" t="str">
        <f>IF('Data Export'!$D34="","",'Float Control'!T9)</f>
        <v/>
      </c>
      <c r="AN34" s="644" t="str">
        <f>IF('Data Export'!$D34="","",'Float Control'!S9)</f>
        <v/>
      </c>
      <c r="AO34" s="636" t="str">
        <f>IF('Data Export'!$D34="","", IFERROR(ROUND($F34/$D34, 2), ""))</f>
        <v/>
      </c>
      <c r="AP34" s="641">
        <f>IF('Data Export'!$D34="","",'Project Summary'!$C$11)</f>
        <v>0</v>
      </c>
      <c r="AQ34" s="652">
        <f>IF('Data Export'!$D34="","",0)</f>
        <v>0</v>
      </c>
      <c r="AR34" s="652">
        <f>IF('Data Export'!$D34="","",'Look Up Tables'!$C$166)</f>
        <v>2.7399999999999999E-5</v>
      </c>
    </row>
    <row r="35" spans="1:44" x14ac:dyDescent="0.2">
      <c r="A35" s="618" t="str">
        <f>'Float Control'!$B$3</f>
        <v>Floating Head Pressure Controls</v>
      </c>
      <c r="B35" s="614" t="s">
        <v>31</v>
      </c>
      <c r="C35" s="614">
        <v>33</v>
      </c>
      <c r="D35" s="630">
        <f>IF('Float Control'!V10&gt;0,'Float Control'!J10,"")</f>
        <v>0</v>
      </c>
      <c r="E35" s="630" t="str">
        <f>IF($D35="","",'Look Up Tables'!$AS$54)</f>
        <v>FloatHeadPresCntrlTon</v>
      </c>
      <c r="F35" s="636" t="str">
        <f>IF('Data Export'!$D35="","", 'Float Control'!V10)</f>
        <v/>
      </c>
      <c r="G35" s="641">
        <f>IF('Data Export'!D35="","", 'Project Summary'!$C$6)</f>
        <v>0</v>
      </c>
      <c r="H35" s="635" t="str">
        <f>IF('Data Export'!$D35="","",'Float Control'!Q10)</f>
        <v/>
      </c>
      <c r="I35" s="644" t="str">
        <f>IF('Data Export'!$D35="","",'Float Control'!R10)</f>
        <v/>
      </c>
      <c r="J35" s="630">
        <f>IF('Data Export'!$D35="","", 'Project Summary'!$J$1)</f>
        <v>5.01</v>
      </c>
      <c r="K35" s="630">
        <f>IF('Data Export'!$D35="","",'Float Control'!D10)</f>
        <v>0</v>
      </c>
      <c r="L35" s="630">
        <f>IF('Data Export'!$D35="","",'Float Control'!E10)</f>
        <v>0</v>
      </c>
      <c r="M35" s="630">
        <f>IF('Data Export'!$D35="","", 'Project Summary'!$C$13)</f>
        <v>0</v>
      </c>
      <c r="N35" s="614"/>
      <c r="O35" s="614"/>
      <c r="P35" s="632" t="str">
        <f>IF('Data Export'!$D35="","",'Float Control'!L10)</f>
        <v>Unknown</v>
      </c>
      <c r="Q35" s="614"/>
      <c r="R35" s="614"/>
      <c r="S35" s="630">
        <f>IF('Data Export'!$D35="","",'Float Control'!I10)</f>
        <v>0</v>
      </c>
      <c r="T35" s="614"/>
      <c r="U35" s="614"/>
      <c r="V35" s="614"/>
      <c r="W35" s="630">
        <f>IF('Data Export'!$D35="","",'Float Control'!G10)</f>
        <v>0</v>
      </c>
      <c r="X35" s="635">
        <f>IF('Data Export'!$D35="","",'Float Control'!H10)</f>
        <v>0</v>
      </c>
      <c r="Y35" s="614"/>
      <c r="Z35" s="632">
        <f>IF('Data Export'!$D35="","",'Float Control'!O10)</f>
        <v>0</v>
      </c>
      <c r="AA35" s="614"/>
      <c r="AB35" s="614"/>
      <c r="AC35" s="614"/>
      <c r="AD35" s="614"/>
      <c r="AE35" s="614"/>
      <c r="AF35" s="614"/>
      <c r="AG35" s="614"/>
      <c r="AH35" s="614"/>
      <c r="AI35" s="630" t="str">
        <f>IF('Data Export'!$D35="","",'Float Control'!L10)</f>
        <v>Unknown</v>
      </c>
      <c r="AJ35" s="614"/>
      <c r="AK35" s="614"/>
      <c r="AL35" s="614"/>
      <c r="AM35" s="644" t="str">
        <f>IF('Data Export'!$D35="","",'Float Control'!T10)</f>
        <v/>
      </c>
      <c r="AN35" s="644" t="str">
        <f>IF('Data Export'!$D35="","",'Float Control'!S10)</f>
        <v/>
      </c>
      <c r="AO35" s="636" t="str">
        <f>IF('Data Export'!$D35="","", IFERROR(ROUND($F35/$D35, 2), ""))</f>
        <v/>
      </c>
      <c r="AP35" s="641">
        <f>IF('Data Export'!$D35="","",'Project Summary'!$C$11)</f>
        <v>0</v>
      </c>
      <c r="AQ35" s="652">
        <f>IF('Data Export'!$D35="","",0)</f>
        <v>0</v>
      </c>
      <c r="AR35" s="652">
        <f>IF('Data Export'!$D35="","",'Look Up Tables'!$C$166)</f>
        <v>2.7399999999999999E-5</v>
      </c>
    </row>
    <row r="36" spans="1:44" x14ac:dyDescent="0.2">
      <c r="A36" s="618" t="str">
        <f>'Float Control'!$B$3</f>
        <v>Floating Head Pressure Controls</v>
      </c>
      <c r="B36" s="614" t="s">
        <v>31</v>
      </c>
      <c r="C36" s="614">
        <v>34</v>
      </c>
      <c r="D36" s="630">
        <f>IF('Float Control'!V11&gt;0,'Float Control'!J11,"")</f>
        <v>0</v>
      </c>
      <c r="E36" s="630" t="str">
        <f>IF($D36="","",'Look Up Tables'!$AS$54)</f>
        <v>FloatHeadPresCntrlTon</v>
      </c>
      <c r="F36" s="636" t="str">
        <f>IF('Data Export'!$D36="","", 'Float Control'!V11)</f>
        <v/>
      </c>
      <c r="G36" s="641">
        <f>IF('Data Export'!D36="","", 'Project Summary'!$C$6)</f>
        <v>0</v>
      </c>
      <c r="H36" s="635" t="str">
        <f>IF('Data Export'!$D36="","",'Float Control'!Q11)</f>
        <v/>
      </c>
      <c r="I36" s="644" t="str">
        <f>IF('Data Export'!$D36="","",'Float Control'!R11)</f>
        <v/>
      </c>
      <c r="J36" s="630">
        <f>IF('Data Export'!$D36="","", 'Project Summary'!$J$1)</f>
        <v>5.01</v>
      </c>
      <c r="K36" s="630">
        <f>IF('Data Export'!$D36="","",'Float Control'!D11)</f>
        <v>0</v>
      </c>
      <c r="L36" s="630">
        <f>IF('Data Export'!$D36="","",'Float Control'!E11)</f>
        <v>0</v>
      </c>
      <c r="M36" s="630">
        <f>IF('Data Export'!$D36="","", 'Project Summary'!$C$13)</f>
        <v>0</v>
      </c>
      <c r="N36" s="614"/>
      <c r="O36" s="614"/>
      <c r="P36" s="632" t="str">
        <f>IF('Data Export'!$D36="","",'Float Control'!L11)</f>
        <v>Unknown</v>
      </c>
      <c r="Q36" s="614"/>
      <c r="R36" s="614"/>
      <c r="S36" s="630">
        <f>IF('Data Export'!$D36="","",'Float Control'!I11)</f>
        <v>0</v>
      </c>
      <c r="T36" s="614"/>
      <c r="U36" s="614"/>
      <c r="V36" s="614"/>
      <c r="W36" s="630">
        <f>IF('Data Export'!$D36="","",'Float Control'!G11)</f>
        <v>0</v>
      </c>
      <c r="X36" s="635">
        <f>IF('Data Export'!$D36="","",'Float Control'!H11)</f>
        <v>0</v>
      </c>
      <c r="Y36" s="614"/>
      <c r="Z36" s="632">
        <f>IF('Data Export'!$D36="","",'Float Control'!O11)</f>
        <v>0</v>
      </c>
      <c r="AA36" s="614"/>
      <c r="AB36" s="614"/>
      <c r="AC36" s="614"/>
      <c r="AD36" s="614"/>
      <c r="AE36" s="614"/>
      <c r="AF36" s="614"/>
      <c r="AG36" s="614"/>
      <c r="AH36" s="614"/>
      <c r="AI36" s="630" t="str">
        <f>IF('Data Export'!$D36="","",'Float Control'!L11)</f>
        <v>Unknown</v>
      </c>
      <c r="AJ36" s="614"/>
      <c r="AK36" s="614"/>
      <c r="AL36" s="614"/>
      <c r="AM36" s="644" t="str">
        <f>IF('Data Export'!$D36="","",'Float Control'!T11)</f>
        <v/>
      </c>
      <c r="AN36" s="644" t="str">
        <f>IF('Data Export'!$D36="","",'Float Control'!S11)</f>
        <v/>
      </c>
      <c r="AO36" s="636" t="str">
        <f>IF('Data Export'!$D36="","", IFERROR(ROUND($F36/$D36, 2), ""))</f>
        <v/>
      </c>
      <c r="AP36" s="641">
        <f>IF('Data Export'!$D36="","",'Project Summary'!$C$11)</f>
        <v>0</v>
      </c>
      <c r="AQ36" s="652">
        <f>IF('Data Export'!$D36="","",0)</f>
        <v>0</v>
      </c>
      <c r="AR36" s="652">
        <f>IF('Data Export'!$D36="","",'Look Up Tables'!$C$166)</f>
        <v>2.7399999999999999E-5</v>
      </c>
    </row>
    <row r="37" spans="1:44" x14ac:dyDescent="0.2">
      <c r="A37" s="618" t="str">
        <f>'Float Control'!$B$3</f>
        <v>Floating Head Pressure Controls</v>
      </c>
      <c r="B37" s="614" t="s">
        <v>31</v>
      </c>
      <c r="C37" s="614">
        <v>35</v>
      </c>
      <c r="D37" s="630">
        <f>IF('Float Control'!V12&gt;0,'Float Control'!J12,"")</f>
        <v>0</v>
      </c>
      <c r="E37" s="630" t="str">
        <f>IF($D37="","",'Look Up Tables'!$AS$54)</f>
        <v>FloatHeadPresCntrlTon</v>
      </c>
      <c r="F37" s="636" t="str">
        <f>IF('Data Export'!$D37="","", 'Float Control'!V12)</f>
        <v/>
      </c>
      <c r="G37" s="641">
        <f>IF('Data Export'!D37="","", 'Project Summary'!$C$6)</f>
        <v>0</v>
      </c>
      <c r="H37" s="635" t="str">
        <f>IF('Data Export'!$D37="","",'Float Control'!Q12)</f>
        <v/>
      </c>
      <c r="I37" s="644" t="str">
        <f>IF('Data Export'!$D37="","",'Float Control'!R12)</f>
        <v/>
      </c>
      <c r="J37" s="630">
        <f>IF('Data Export'!$D37="","", 'Project Summary'!$J$1)</f>
        <v>5.01</v>
      </c>
      <c r="K37" s="630">
        <f>IF('Data Export'!$D37="","",'Float Control'!D12)</f>
        <v>0</v>
      </c>
      <c r="L37" s="630">
        <f>IF('Data Export'!$D37="","",'Float Control'!E12)</f>
        <v>0</v>
      </c>
      <c r="M37" s="630">
        <f>IF('Data Export'!$D37="","", 'Project Summary'!$C$13)</f>
        <v>0</v>
      </c>
      <c r="N37" s="614"/>
      <c r="O37" s="614"/>
      <c r="P37" s="632" t="str">
        <f>IF('Data Export'!$D37="","",'Float Control'!L12)</f>
        <v>Unknown</v>
      </c>
      <c r="Q37" s="614"/>
      <c r="R37" s="614"/>
      <c r="S37" s="630">
        <f>IF('Data Export'!$D37="","",'Float Control'!I12)</f>
        <v>0</v>
      </c>
      <c r="T37" s="614"/>
      <c r="U37" s="614"/>
      <c r="V37" s="614"/>
      <c r="W37" s="630">
        <f>IF('Data Export'!$D37="","",'Float Control'!G12)</f>
        <v>0</v>
      </c>
      <c r="X37" s="635">
        <f>IF('Data Export'!$D37="","",'Float Control'!H12)</f>
        <v>0</v>
      </c>
      <c r="Y37" s="614"/>
      <c r="Z37" s="632">
        <f>IF('Data Export'!$D37="","",'Float Control'!O12)</f>
        <v>0</v>
      </c>
      <c r="AA37" s="614"/>
      <c r="AB37" s="614"/>
      <c r="AC37" s="614"/>
      <c r="AD37" s="614"/>
      <c r="AE37" s="614"/>
      <c r="AF37" s="614"/>
      <c r="AG37" s="614"/>
      <c r="AH37" s="614"/>
      <c r="AI37" s="630" t="str">
        <f>IF('Data Export'!$D37="","",'Float Control'!L12)</f>
        <v>Unknown</v>
      </c>
      <c r="AJ37" s="614"/>
      <c r="AK37" s="614"/>
      <c r="AL37" s="614"/>
      <c r="AM37" s="644" t="str">
        <f>IF('Data Export'!$D37="","",'Float Control'!T12)</f>
        <v/>
      </c>
      <c r="AN37" s="644" t="str">
        <f>IF('Data Export'!$D37="","",'Float Control'!S12)</f>
        <v/>
      </c>
      <c r="AO37" s="636" t="str">
        <f>IF('Data Export'!$D37="","", IFERROR(ROUND($F37/$D37, 2), ""))</f>
        <v/>
      </c>
      <c r="AP37" s="641">
        <f>IF('Data Export'!$D37="","",'Project Summary'!$C$11)</f>
        <v>0</v>
      </c>
      <c r="AQ37" s="652">
        <f>IF('Data Export'!$D37="","",0)</f>
        <v>0</v>
      </c>
      <c r="AR37" s="652">
        <f>IF('Data Export'!$D37="","",'Look Up Tables'!$C$166)</f>
        <v>2.7399999999999999E-5</v>
      </c>
    </row>
    <row r="38" spans="1:44" x14ac:dyDescent="0.2">
      <c r="A38" s="618" t="str">
        <f>'Float Control'!$B$3</f>
        <v>Floating Head Pressure Controls</v>
      </c>
      <c r="B38" s="614" t="s">
        <v>31</v>
      </c>
      <c r="C38" s="614">
        <v>36</v>
      </c>
      <c r="D38" s="630">
        <f>IF('Float Control'!V13&gt;0,'Float Control'!J13,"")</f>
        <v>0</v>
      </c>
      <c r="E38" s="630" t="str">
        <f>IF($D38="","",'Look Up Tables'!$AS$54)</f>
        <v>FloatHeadPresCntrlTon</v>
      </c>
      <c r="F38" s="636" t="str">
        <f>IF('Data Export'!$D38="","", 'Float Control'!V13)</f>
        <v/>
      </c>
      <c r="G38" s="641">
        <f>IF('Data Export'!D38="","", 'Project Summary'!$C$6)</f>
        <v>0</v>
      </c>
      <c r="H38" s="635" t="str">
        <f>IF('Data Export'!$D38="","",'Float Control'!Q13)</f>
        <v/>
      </c>
      <c r="I38" s="644" t="str">
        <f>IF('Data Export'!$D38="","",'Float Control'!R13)</f>
        <v/>
      </c>
      <c r="J38" s="630">
        <f>IF('Data Export'!$D38="","", 'Project Summary'!$J$1)</f>
        <v>5.01</v>
      </c>
      <c r="K38" s="630">
        <f>IF('Data Export'!$D38="","",'Float Control'!D13)</f>
        <v>0</v>
      </c>
      <c r="L38" s="630">
        <f>IF('Data Export'!$D38="","",'Float Control'!E13)</f>
        <v>0</v>
      </c>
      <c r="M38" s="630">
        <f>IF('Data Export'!$D38="","", 'Project Summary'!$C$13)</f>
        <v>0</v>
      </c>
      <c r="N38" s="614"/>
      <c r="O38" s="614"/>
      <c r="P38" s="632" t="str">
        <f>IF('Data Export'!$D38="","",'Float Control'!L13)</f>
        <v>Unknown</v>
      </c>
      <c r="Q38" s="614"/>
      <c r="R38" s="614"/>
      <c r="S38" s="630">
        <f>IF('Data Export'!$D38="","",'Float Control'!I13)</f>
        <v>0</v>
      </c>
      <c r="T38" s="614"/>
      <c r="U38" s="614"/>
      <c r="V38" s="614"/>
      <c r="W38" s="630">
        <f>IF('Data Export'!$D38="","",'Float Control'!G13)</f>
        <v>0</v>
      </c>
      <c r="X38" s="635">
        <f>IF('Data Export'!$D38="","",'Float Control'!H13)</f>
        <v>0</v>
      </c>
      <c r="Y38" s="614"/>
      <c r="Z38" s="632">
        <f>IF('Data Export'!$D38="","",'Float Control'!O13)</f>
        <v>0</v>
      </c>
      <c r="AA38" s="614"/>
      <c r="AB38" s="614"/>
      <c r="AC38" s="614"/>
      <c r="AD38" s="614"/>
      <c r="AE38" s="614"/>
      <c r="AF38" s="614"/>
      <c r="AG38" s="614"/>
      <c r="AH38" s="614"/>
      <c r="AI38" s="630" t="str">
        <f>IF('Data Export'!$D38="","",'Float Control'!L13)</f>
        <v>Unknown</v>
      </c>
      <c r="AJ38" s="614"/>
      <c r="AK38" s="614"/>
      <c r="AL38" s="614"/>
      <c r="AM38" s="644" t="str">
        <f>IF('Data Export'!$D38="","",'Float Control'!T13)</f>
        <v/>
      </c>
      <c r="AN38" s="644" t="str">
        <f>IF('Data Export'!$D38="","",'Float Control'!S13)</f>
        <v/>
      </c>
      <c r="AO38" s="636" t="str">
        <f>IF('Data Export'!$D38="","", IFERROR(ROUND($F38/$D38, 2), ""))</f>
        <v/>
      </c>
      <c r="AP38" s="641">
        <f>IF('Data Export'!$D38="","",'Project Summary'!$C$11)</f>
        <v>0</v>
      </c>
      <c r="AQ38" s="652">
        <f>IF('Data Export'!$D38="","",0)</f>
        <v>0</v>
      </c>
      <c r="AR38" s="652">
        <f>IF('Data Export'!$D38="","",'Look Up Tables'!$C$166)</f>
        <v>2.7399999999999999E-5</v>
      </c>
    </row>
    <row r="39" spans="1:44" x14ac:dyDescent="0.2">
      <c r="A39" s="618" t="str">
        <f>'Float Control'!$B$3</f>
        <v>Floating Head Pressure Controls</v>
      </c>
      <c r="B39" s="614" t="s">
        <v>31</v>
      </c>
      <c r="C39" s="614">
        <v>37</v>
      </c>
      <c r="D39" s="630">
        <f>IF('Float Control'!V14&gt;0,'Float Control'!J14,"")</f>
        <v>0</v>
      </c>
      <c r="E39" s="630" t="str">
        <f>IF($D39="","",'Look Up Tables'!$AS$54)</f>
        <v>FloatHeadPresCntrlTon</v>
      </c>
      <c r="F39" s="636" t="str">
        <f>IF('Data Export'!$D39="","", 'Float Control'!V14)</f>
        <v/>
      </c>
      <c r="G39" s="641">
        <f>IF('Data Export'!D39="","", 'Project Summary'!$C$6)</f>
        <v>0</v>
      </c>
      <c r="H39" s="635" t="str">
        <f>IF('Data Export'!$D39="","",'Float Control'!Q14)</f>
        <v/>
      </c>
      <c r="I39" s="644" t="str">
        <f>IF('Data Export'!$D39="","",'Float Control'!R14)</f>
        <v/>
      </c>
      <c r="J39" s="630">
        <f>IF('Data Export'!$D39="","", 'Project Summary'!$J$1)</f>
        <v>5.01</v>
      </c>
      <c r="K39" s="630">
        <f>IF('Data Export'!$D39="","",'Float Control'!D14)</f>
        <v>0</v>
      </c>
      <c r="L39" s="630">
        <f>IF('Data Export'!$D39="","",'Float Control'!E14)</f>
        <v>0</v>
      </c>
      <c r="M39" s="630">
        <f>IF('Data Export'!$D39="","", 'Project Summary'!$C$13)</f>
        <v>0</v>
      </c>
      <c r="N39" s="614"/>
      <c r="O39" s="614"/>
      <c r="P39" s="632" t="str">
        <f>IF('Data Export'!$D39="","",'Float Control'!L14)</f>
        <v>Unknown</v>
      </c>
      <c r="Q39" s="614"/>
      <c r="R39" s="614"/>
      <c r="S39" s="630">
        <f>IF('Data Export'!$D39="","",'Float Control'!I14)</f>
        <v>0</v>
      </c>
      <c r="T39" s="614"/>
      <c r="U39" s="614"/>
      <c r="V39" s="614"/>
      <c r="W39" s="630">
        <f>IF('Data Export'!$D39="","",'Float Control'!G14)</f>
        <v>0</v>
      </c>
      <c r="X39" s="635">
        <f>IF('Data Export'!$D39="","",'Float Control'!H14)</f>
        <v>0</v>
      </c>
      <c r="Y39" s="614"/>
      <c r="Z39" s="632">
        <f>IF('Data Export'!$D39="","",'Float Control'!O14)</f>
        <v>0</v>
      </c>
      <c r="AA39" s="614"/>
      <c r="AB39" s="614"/>
      <c r="AC39" s="614"/>
      <c r="AD39" s="614"/>
      <c r="AE39" s="614"/>
      <c r="AF39" s="614"/>
      <c r="AG39" s="614"/>
      <c r="AH39" s="614"/>
      <c r="AI39" s="630" t="str">
        <f>IF('Data Export'!$D39="","",'Float Control'!L14)</f>
        <v>Unknown</v>
      </c>
      <c r="AJ39" s="614"/>
      <c r="AK39" s="614"/>
      <c r="AL39" s="614"/>
      <c r="AM39" s="644" t="str">
        <f>IF('Data Export'!$D39="","",'Float Control'!T14)</f>
        <v/>
      </c>
      <c r="AN39" s="644" t="str">
        <f>IF('Data Export'!$D39="","",'Float Control'!S14)</f>
        <v/>
      </c>
      <c r="AO39" s="636" t="str">
        <f>IF('Data Export'!$D39="","", IFERROR(ROUND($F39/$D39, 2), ""))</f>
        <v/>
      </c>
      <c r="AP39" s="641">
        <f>IF('Data Export'!$D39="","",'Project Summary'!$C$11)</f>
        <v>0</v>
      </c>
      <c r="AQ39" s="652">
        <f>IF('Data Export'!$D39="","",0)</f>
        <v>0</v>
      </c>
      <c r="AR39" s="652">
        <f>IF('Data Export'!$D39="","",'Look Up Tables'!$C$166)</f>
        <v>2.7399999999999999E-5</v>
      </c>
    </row>
    <row r="40" spans="1:44" x14ac:dyDescent="0.2">
      <c r="A40" s="618" t="str">
        <f>'Float Control'!$B$3</f>
        <v>Floating Head Pressure Controls</v>
      </c>
      <c r="B40" s="614" t="s">
        <v>31</v>
      </c>
      <c r="C40" s="614">
        <v>38</v>
      </c>
      <c r="D40" s="630">
        <f>IF('Float Control'!V15&gt;0,'Float Control'!J15,"")</f>
        <v>0</v>
      </c>
      <c r="E40" s="630" t="str">
        <f>IF($D40="","",'Look Up Tables'!$AS$54)</f>
        <v>FloatHeadPresCntrlTon</v>
      </c>
      <c r="F40" s="636" t="str">
        <f>IF('Data Export'!$D40="","", 'Float Control'!V15)</f>
        <v/>
      </c>
      <c r="G40" s="641">
        <f>IF('Data Export'!D40="","", 'Project Summary'!$C$6)</f>
        <v>0</v>
      </c>
      <c r="H40" s="635" t="str">
        <f>IF('Data Export'!$D40="","",'Float Control'!Q15)</f>
        <v/>
      </c>
      <c r="I40" s="644" t="str">
        <f>IF('Data Export'!$D40="","",'Float Control'!R15)</f>
        <v/>
      </c>
      <c r="J40" s="630">
        <f>IF('Data Export'!$D40="","", 'Project Summary'!$J$1)</f>
        <v>5.01</v>
      </c>
      <c r="K40" s="630">
        <f>IF('Data Export'!$D40="","",'Float Control'!D15)</f>
        <v>0</v>
      </c>
      <c r="L40" s="630">
        <f>IF('Data Export'!$D40="","",'Float Control'!E15)</f>
        <v>0</v>
      </c>
      <c r="M40" s="630">
        <f>IF('Data Export'!$D40="","", 'Project Summary'!$C$13)</f>
        <v>0</v>
      </c>
      <c r="N40" s="614"/>
      <c r="O40" s="614"/>
      <c r="P40" s="632" t="str">
        <f>IF('Data Export'!$D40="","",'Float Control'!L15)</f>
        <v>Unknown</v>
      </c>
      <c r="Q40" s="614"/>
      <c r="R40" s="614"/>
      <c r="S40" s="630">
        <f>IF('Data Export'!$D40="","",'Float Control'!I15)</f>
        <v>0</v>
      </c>
      <c r="T40" s="614"/>
      <c r="U40" s="614"/>
      <c r="V40" s="614"/>
      <c r="W40" s="630">
        <f>IF('Data Export'!$D40="","",'Float Control'!G15)</f>
        <v>0</v>
      </c>
      <c r="X40" s="635">
        <f>IF('Data Export'!$D40="","",'Float Control'!H15)</f>
        <v>0</v>
      </c>
      <c r="Y40" s="614"/>
      <c r="Z40" s="632">
        <f>IF('Data Export'!$D40="","",'Float Control'!O15)</f>
        <v>0</v>
      </c>
      <c r="AA40" s="614"/>
      <c r="AB40" s="614"/>
      <c r="AC40" s="614"/>
      <c r="AD40" s="614"/>
      <c r="AE40" s="614"/>
      <c r="AF40" s="614"/>
      <c r="AG40" s="614"/>
      <c r="AH40" s="614"/>
      <c r="AI40" s="630" t="str">
        <f>IF('Data Export'!$D40="","",'Float Control'!L15)</f>
        <v>Unknown</v>
      </c>
      <c r="AJ40" s="614"/>
      <c r="AK40" s="614"/>
      <c r="AL40" s="614"/>
      <c r="AM40" s="644" t="str">
        <f>IF('Data Export'!$D40="","",'Float Control'!T15)</f>
        <v/>
      </c>
      <c r="AN40" s="644" t="str">
        <f>IF('Data Export'!$D40="","",'Float Control'!S15)</f>
        <v/>
      </c>
      <c r="AO40" s="636" t="str">
        <f>IF('Data Export'!$D40="","", IFERROR(ROUND($F40/$D40, 2), ""))</f>
        <v/>
      </c>
      <c r="AP40" s="641">
        <f>IF('Data Export'!$D40="","",'Project Summary'!$C$11)</f>
        <v>0</v>
      </c>
      <c r="AQ40" s="652">
        <f>IF('Data Export'!$D40="","",0)</f>
        <v>0</v>
      </c>
      <c r="AR40" s="652">
        <f>IF('Data Export'!$D40="","",'Look Up Tables'!$C$166)</f>
        <v>2.7399999999999999E-5</v>
      </c>
    </row>
    <row r="41" spans="1:44" x14ac:dyDescent="0.2">
      <c r="A41" s="618" t="str">
        <f>'Float Control'!$B$3</f>
        <v>Floating Head Pressure Controls</v>
      </c>
      <c r="B41" s="614" t="s">
        <v>31</v>
      </c>
      <c r="C41" s="614">
        <v>39</v>
      </c>
      <c r="D41" s="630">
        <f>IF('Float Control'!V16&gt;0,'Float Control'!J16,"")</f>
        <v>0</v>
      </c>
      <c r="E41" s="630" t="str">
        <f>IF($D41="","",'Look Up Tables'!$AS$54)</f>
        <v>FloatHeadPresCntrlTon</v>
      </c>
      <c r="F41" s="636" t="str">
        <f>IF('Data Export'!$D41="","", 'Float Control'!V16)</f>
        <v/>
      </c>
      <c r="G41" s="641">
        <f>IF('Data Export'!D41="","", 'Project Summary'!$C$6)</f>
        <v>0</v>
      </c>
      <c r="H41" s="635" t="str">
        <f>IF('Data Export'!$D41="","",'Float Control'!Q16)</f>
        <v/>
      </c>
      <c r="I41" s="644" t="str">
        <f>IF('Data Export'!$D41="","",'Float Control'!R16)</f>
        <v/>
      </c>
      <c r="J41" s="630">
        <f>IF('Data Export'!$D41="","", 'Project Summary'!$J$1)</f>
        <v>5.01</v>
      </c>
      <c r="K41" s="630">
        <f>IF('Data Export'!$D41="","",'Float Control'!D16)</f>
        <v>0</v>
      </c>
      <c r="L41" s="630">
        <f>IF('Data Export'!$D41="","",'Float Control'!E16)</f>
        <v>0</v>
      </c>
      <c r="M41" s="630">
        <f>IF('Data Export'!$D41="","", 'Project Summary'!$C$13)</f>
        <v>0</v>
      </c>
      <c r="N41" s="614"/>
      <c r="O41" s="614"/>
      <c r="P41" s="632" t="str">
        <f>IF('Data Export'!$D41="","",'Float Control'!L16)</f>
        <v>Unknown</v>
      </c>
      <c r="Q41" s="614"/>
      <c r="R41" s="614"/>
      <c r="S41" s="630">
        <f>IF('Data Export'!$D41="","",'Float Control'!I16)</f>
        <v>0</v>
      </c>
      <c r="T41" s="614"/>
      <c r="U41" s="614"/>
      <c r="V41" s="614"/>
      <c r="W41" s="630">
        <f>IF('Data Export'!$D41="","",'Float Control'!G16)</f>
        <v>0</v>
      </c>
      <c r="X41" s="635">
        <f>IF('Data Export'!$D41="","",'Float Control'!H16)</f>
        <v>0</v>
      </c>
      <c r="Y41" s="614"/>
      <c r="Z41" s="632">
        <f>IF('Data Export'!$D41="","",'Float Control'!O16)</f>
        <v>0</v>
      </c>
      <c r="AA41" s="614"/>
      <c r="AB41" s="614"/>
      <c r="AC41" s="614"/>
      <c r="AD41" s="614"/>
      <c r="AE41" s="614"/>
      <c r="AF41" s="614"/>
      <c r="AG41" s="614"/>
      <c r="AH41" s="614"/>
      <c r="AI41" s="630" t="str">
        <f>IF('Data Export'!$D41="","",'Float Control'!L16)</f>
        <v>Unknown</v>
      </c>
      <c r="AJ41" s="614"/>
      <c r="AK41" s="614"/>
      <c r="AL41" s="614"/>
      <c r="AM41" s="644" t="str">
        <f>IF('Data Export'!$D41="","",'Float Control'!T16)</f>
        <v/>
      </c>
      <c r="AN41" s="644" t="str">
        <f>IF('Data Export'!$D41="","",'Float Control'!S16)</f>
        <v/>
      </c>
      <c r="AO41" s="636" t="str">
        <f>IF('Data Export'!$D41="","", IFERROR(ROUND($F41/$D41, 2), ""))</f>
        <v/>
      </c>
      <c r="AP41" s="641">
        <f>IF('Data Export'!$D41="","",'Project Summary'!$C$11)</f>
        <v>0</v>
      </c>
      <c r="AQ41" s="652">
        <f>IF('Data Export'!$D41="","",0)</f>
        <v>0</v>
      </c>
      <c r="AR41" s="652">
        <f>IF('Data Export'!$D41="","",'Look Up Tables'!$C$166)</f>
        <v>2.7399999999999999E-5</v>
      </c>
    </row>
    <row r="42" spans="1:44" ht="15" thickBot="1" x14ac:dyDescent="0.25">
      <c r="A42" s="625" t="str">
        <f>'Float Control'!$B$3</f>
        <v>Floating Head Pressure Controls</v>
      </c>
      <c r="B42" s="626" t="s">
        <v>31</v>
      </c>
      <c r="C42" s="626">
        <v>40</v>
      </c>
      <c r="D42" s="631">
        <f>IF('Float Control'!V17&gt;0,'Float Control'!J17,"")</f>
        <v>0</v>
      </c>
      <c r="E42" s="631" t="str">
        <f>IF($D42="","",'Look Up Tables'!$AS$54)</f>
        <v>FloatHeadPresCntrlTon</v>
      </c>
      <c r="F42" s="638" t="str">
        <f>IF('Data Export'!$D42="","", 'Float Control'!V17)</f>
        <v/>
      </c>
      <c r="G42" s="642">
        <f>IF('Data Export'!D42="","", 'Project Summary'!$C$6)</f>
        <v>0</v>
      </c>
      <c r="H42" s="639" t="str">
        <f>IF('Data Export'!$D42="","",'Float Control'!Q17)</f>
        <v/>
      </c>
      <c r="I42" s="659" t="str">
        <f>IF('Data Export'!$D42="","",'Float Control'!R17)</f>
        <v/>
      </c>
      <c r="J42" s="631">
        <f>IF('Data Export'!$D42="","", 'Project Summary'!$J$1)</f>
        <v>5.01</v>
      </c>
      <c r="K42" s="631">
        <f>IF('Data Export'!$D42="","",'Float Control'!D17)</f>
        <v>0</v>
      </c>
      <c r="L42" s="631">
        <f>IF('Data Export'!$D42="","",'Float Control'!E17)</f>
        <v>0</v>
      </c>
      <c r="M42" s="631">
        <f>IF('Data Export'!$D42="","", 'Project Summary'!$C$13)</f>
        <v>0</v>
      </c>
      <c r="N42" s="626"/>
      <c r="O42" s="626"/>
      <c r="P42" s="631" t="str">
        <f>IF('Data Export'!$D42="","",'Float Control'!L17)</f>
        <v>Unknown</v>
      </c>
      <c r="Q42" s="626"/>
      <c r="R42" s="626"/>
      <c r="S42" s="631">
        <f>IF('Data Export'!$D42="","",'Float Control'!I17)</f>
        <v>0</v>
      </c>
      <c r="T42" s="626"/>
      <c r="U42" s="626"/>
      <c r="V42" s="626"/>
      <c r="W42" s="631">
        <f>IF('Data Export'!$D42="","",'Float Control'!G17)</f>
        <v>0</v>
      </c>
      <c r="X42" s="639">
        <f>IF('Data Export'!$D42="","",'Float Control'!H17)</f>
        <v>0</v>
      </c>
      <c r="Y42" s="626"/>
      <c r="Z42" s="646">
        <f>IF('Data Export'!$D42="","",'Float Control'!O17)</f>
        <v>0</v>
      </c>
      <c r="AA42" s="626"/>
      <c r="AB42" s="626"/>
      <c r="AC42" s="626"/>
      <c r="AD42" s="626"/>
      <c r="AE42" s="626"/>
      <c r="AF42" s="626"/>
      <c r="AG42" s="626"/>
      <c r="AH42" s="626"/>
      <c r="AI42" s="631" t="str">
        <f>IF('Data Export'!$D42="","",'Float Control'!L17)</f>
        <v>Unknown</v>
      </c>
      <c r="AJ42" s="626"/>
      <c r="AK42" s="626"/>
      <c r="AL42" s="626"/>
      <c r="AM42" s="659" t="str">
        <f>IF('Data Export'!$D42="","",'Float Control'!T17)</f>
        <v/>
      </c>
      <c r="AN42" s="659" t="str">
        <f>IF('Data Export'!$D42="","",'Float Control'!S17)</f>
        <v/>
      </c>
      <c r="AO42" s="638" t="str">
        <f>IF('Data Export'!$D42="","", IFERROR(ROUND($F42/$D42, 2), ""))</f>
        <v/>
      </c>
      <c r="AP42" s="642">
        <f>IF('Data Export'!$D42="","",'Project Summary'!$C$11)</f>
        <v>0</v>
      </c>
      <c r="AQ42" s="654">
        <f>IF('Data Export'!$D42="","",0)</f>
        <v>0</v>
      </c>
      <c r="AR42" s="654">
        <f>IF('Data Export'!$D42="","",'Look Up Tables'!$C$166)</f>
        <v>2.7399999999999999E-5</v>
      </c>
    </row>
    <row r="43" spans="1:44" ht="15" thickTop="1" x14ac:dyDescent="0.2">
      <c r="A43" s="620" t="str">
        <f>'Anti Sweat'!$B$3</f>
        <v>Anti Sweat Heater Controls</v>
      </c>
      <c r="B43" s="621" t="s">
        <v>317</v>
      </c>
      <c r="C43" s="621">
        <v>41</v>
      </c>
      <c r="D43" s="632">
        <f>IF('Anti Sweat'!U8&gt;0,'Anti Sweat'!I8,"")</f>
        <v>0</v>
      </c>
      <c r="E43" s="632" t="str">
        <f>IF($D43="","",'Anti Sweat'!S8)</f>
        <v/>
      </c>
      <c r="F43" s="637" t="str">
        <f>IF('Data Export'!$D43="","",'Anti Sweat'!U8)</f>
        <v/>
      </c>
      <c r="G43" s="643">
        <f>IF('Data Export'!D43="","", 'Project Summary'!$C$6)</f>
        <v>0</v>
      </c>
      <c r="H43" s="640" t="str">
        <f>IF('Data Export'!$D43="","", 'Anti Sweat'!M8)</f>
        <v/>
      </c>
      <c r="I43" s="644" t="str">
        <f>IF('Data Export'!$D43="","", 'Anti Sweat'!N8)</f>
        <v/>
      </c>
      <c r="J43" s="632">
        <f>IF('Data Export'!$D43="","", 'Project Summary'!$J$1)</f>
        <v>5.01</v>
      </c>
      <c r="K43" s="632">
        <f>IF('Data Export'!$D43="","", 'Anti Sweat'!D8)</f>
        <v>0</v>
      </c>
      <c r="L43" s="632">
        <f>IF('Data Export'!$D43="","", 'Anti Sweat'!E8)</f>
        <v>0</v>
      </c>
      <c r="M43" s="632">
        <f>IF('Data Export'!$D43="","", 'Project Summary'!$C$13)</f>
        <v>0</v>
      </c>
      <c r="N43" s="621" t="str">
        <f>IF('Data Export'!$D43="","", "")</f>
        <v/>
      </c>
      <c r="O43" s="632">
        <f>IF('Data Export'!$D43="","", 'Anti Sweat'!I8)</f>
        <v>0</v>
      </c>
      <c r="P43" s="662">
        <f>IF('Data Export'!$D43="","", IF('Anti Sweat'!G8="Refrigeration","Refrigerator",'Anti Sweat'!G8))</f>
        <v>0</v>
      </c>
      <c r="Q43" s="621" t="str">
        <f>IF('Data Export'!$D43="","","")</f>
        <v/>
      </c>
      <c r="R43" s="621" t="str">
        <f>IF('Data Export'!$D43="","","")</f>
        <v/>
      </c>
      <c r="S43" s="621" t="str">
        <f>IF('Data Export'!$D43="","","")</f>
        <v/>
      </c>
      <c r="T43" s="621" t="str">
        <f>IF('Data Export'!$D43="","","")</f>
        <v/>
      </c>
      <c r="U43" s="621" t="str">
        <f>IF('Data Export'!$D43="","","")</f>
        <v/>
      </c>
      <c r="V43" s="632">
        <f>IF('Data Export'!$D43="","",'Anti Sweat'!H8)</f>
        <v>0</v>
      </c>
      <c r="W43" s="621" t="str">
        <f>IF('Data Export'!$D43="","","")</f>
        <v/>
      </c>
      <c r="X43" s="621" t="str">
        <f>IF('Data Export'!$D43="","","")</f>
        <v/>
      </c>
      <c r="Y43" s="621" t="str">
        <f>IF('Data Export'!$D43="","","")</f>
        <v/>
      </c>
      <c r="Z43" s="621" t="str">
        <f>IF('Data Export'!$D43="","","")</f>
        <v/>
      </c>
      <c r="AA43" s="621" t="str">
        <f>IF('Data Export'!$D43="","","")</f>
        <v/>
      </c>
      <c r="AB43" s="621" t="str">
        <f>IF('Data Export'!$D43="","","")</f>
        <v/>
      </c>
      <c r="AC43" s="621" t="str">
        <f>IF('Data Export'!$D43="","","")</f>
        <v/>
      </c>
      <c r="AD43" s="621" t="str">
        <f>IF('Data Export'!$D43="","","")</f>
        <v/>
      </c>
      <c r="AE43" s="621" t="str">
        <f>IF('Data Export'!$D43="","","")</f>
        <v/>
      </c>
      <c r="AF43" s="621" t="str">
        <f>IF('Data Export'!$D43="","","")</f>
        <v/>
      </c>
      <c r="AG43" s="621" t="str">
        <f>IF('Data Export'!$D43="","","")</f>
        <v/>
      </c>
      <c r="AH43" s="621" t="str">
        <f>IF('Data Export'!$D43="","","")</f>
        <v/>
      </c>
      <c r="AI43" s="632" t="str">
        <f>IF('Data Export'!$D43="","",IF('Anti Sweat'!G8='Look Up Tables'!$D$3,"Low Temperature",IF('Anti Sweat'!G8='Look Up Tables'!$D$4,"Medium Temperature","Unknown")))</f>
        <v>Unknown</v>
      </c>
      <c r="AJ43" s="621" t="str">
        <f>IF('Data Export'!$D43="","","")</f>
        <v/>
      </c>
      <c r="AK43" s="621" t="str">
        <f>IF('Data Export'!$D43="","","")</f>
        <v/>
      </c>
      <c r="AL43" s="621"/>
      <c r="AM43" s="658" t="str">
        <f>IF('Data Export'!$D43="","", 'Anti Sweat'!P8)</f>
        <v/>
      </c>
      <c r="AN43" s="658" t="str">
        <f>IF('Data Export'!$D43="","", 'Anti Sweat'!O8)</f>
        <v/>
      </c>
      <c r="AO43" s="637" t="str">
        <f>IF('Data Export'!$D43="","", IFERROR(ROUND($F43/$D43, 2), ""))</f>
        <v/>
      </c>
      <c r="AP43" s="643">
        <f>IF('Data Export'!$D43="","",'Project Summary'!$C$11)</f>
        <v>0</v>
      </c>
      <c r="AQ43" s="653">
        <f>IF('Data Export'!$D43="","", 'Look Up Tables'!$C$167)</f>
        <v>3.4600000000000001E-5</v>
      </c>
      <c r="AR43" s="653">
        <f>IF('Data Export'!$D43="","", 'Look Up Tables'!$C$166)</f>
        <v>2.7399999999999999E-5</v>
      </c>
    </row>
    <row r="44" spans="1:44" x14ac:dyDescent="0.2">
      <c r="A44" s="618" t="str">
        <f>'Anti Sweat'!$B$3</f>
        <v>Anti Sweat Heater Controls</v>
      </c>
      <c r="B44" s="614" t="s">
        <v>317</v>
      </c>
      <c r="C44" s="614">
        <v>42</v>
      </c>
      <c r="D44" s="630">
        <f>IF('Anti Sweat'!U9&gt;0,'Anti Sweat'!I9,"")</f>
        <v>0</v>
      </c>
      <c r="E44" s="630" t="str">
        <f>IF($D44="","",'Anti Sweat'!S9)</f>
        <v/>
      </c>
      <c r="F44" s="636" t="str">
        <f>IF('Data Export'!$D44="","",'Anti Sweat'!U9)</f>
        <v/>
      </c>
      <c r="G44" s="641">
        <f>IF('Data Export'!D44="","", 'Project Summary'!$C$6)</f>
        <v>0</v>
      </c>
      <c r="H44" s="635" t="str">
        <f>IF('Data Export'!$D44="","", 'Anti Sweat'!M9)</f>
        <v/>
      </c>
      <c r="I44" s="644" t="str">
        <f>IF('Data Export'!$D44="","", 'Anti Sweat'!N9)</f>
        <v/>
      </c>
      <c r="J44" s="630">
        <f>IF('Data Export'!$D44="","", 'Project Summary'!$J$1)</f>
        <v>5.01</v>
      </c>
      <c r="K44" s="630">
        <f>IF('Data Export'!$D44="","", 'Anti Sweat'!D9)</f>
        <v>0</v>
      </c>
      <c r="L44" s="630">
        <f>IF('Data Export'!$D44="","", 'Anti Sweat'!E9)</f>
        <v>0</v>
      </c>
      <c r="M44" s="630">
        <f>IF('Data Export'!$D44="","", 'Project Summary'!$C$13)</f>
        <v>0</v>
      </c>
      <c r="N44" s="614" t="str">
        <f>IF('Data Export'!$D44="","", "")</f>
        <v/>
      </c>
      <c r="O44" s="630">
        <f>IF('Data Export'!$D44="","", 'Anti Sweat'!I9)</f>
        <v>0</v>
      </c>
      <c r="P44" s="660">
        <f>IF('Data Export'!$D44="","", IF('Anti Sweat'!G9="Refrigeration","Refrigerator",'Anti Sweat'!G9))</f>
        <v>0</v>
      </c>
      <c r="Q44" s="614" t="str">
        <f>IF('Data Export'!$D44="","","")</f>
        <v/>
      </c>
      <c r="R44" s="614" t="str">
        <f>IF('Data Export'!$D44="","","")</f>
        <v/>
      </c>
      <c r="S44" s="614" t="str">
        <f>IF('Data Export'!$D44="","","")</f>
        <v/>
      </c>
      <c r="T44" s="614" t="str">
        <f>IF('Data Export'!$D44="","","")</f>
        <v/>
      </c>
      <c r="U44" s="614" t="str">
        <f>IF('Data Export'!$D44="","","")</f>
        <v/>
      </c>
      <c r="V44" s="630">
        <f>IF('Data Export'!$D44="","",'Anti Sweat'!H9)</f>
        <v>0</v>
      </c>
      <c r="W44" s="614" t="str">
        <f>IF('Data Export'!$D44="","","")</f>
        <v/>
      </c>
      <c r="X44" s="614" t="str">
        <f>IF('Data Export'!$D44="","","")</f>
        <v/>
      </c>
      <c r="Y44" s="614" t="str">
        <f>IF('Data Export'!$D44="","","")</f>
        <v/>
      </c>
      <c r="Z44" s="614" t="str">
        <f>IF('Data Export'!$D44="","","")</f>
        <v/>
      </c>
      <c r="AA44" s="614" t="str">
        <f>IF('Data Export'!$D44="","","")</f>
        <v/>
      </c>
      <c r="AB44" s="614" t="str">
        <f>IF('Data Export'!$D44="","","")</f>
        <v/>
      </c>
      <c r="AC44" s="614" t="str">
        <f>IF('Data Export'!$D44="","","")</f>
        <v/>
      </c>
      <c r="AD44" s="614" t="str">
        <f>IF('Data Export'!$D44="","","")</f>
        <v/>
      </c>
      <c r="AE44" s="614" t="str">
        <f>IF('Data Export'!$D44="","","")</f>
        <v/>
      </c>
      <c r="AF44" s="614" t="str">
        <f>IF('Data Export'!$D44="","","")</f>
        <v/>
      </c>
      <c r="AG44" s="614" t="str">
        <f>IF('Data Export'!$D44="","","")</f>
        <v/>
      </c>
      <c r="AH44" s="614" t="str">
        <f>IF('Data Export'!$D44="","","")</f>
        <v/>
      </c>
      <c r="AI44" s="630" t="str">
        <f>IF('Data Export'!$D44="","",IF('Anti Sweat'!G9='Look Up Tables'!$D$3,"Low Temperature",IF('Anti Sweat'!G9='Look Up Tables'!$D$4,"Medium Temperature","Unknown")))</f>
        <v>Unknown</v>
      </c>
      <c r="AJ44" s="614" t="str">
        <f>IF('Data Export'!$D44="","","")</f>
        <v/>
      </c>
      <c r="AK44" s="614" t="str">
        <f>IF('Data Export'!$D44="","","")</f>
        <v/>
      </c>
      <c r="AL44" s="614"/>
      <c r="AM44" s="644" t="str">
        <f>IF('Data Export'!$D44="","", 'Anti Sweat'!P9)</f>
        <v/>
      </c>
      <c r="AN44" s="644" t="str">
        <f>IF('Data Export'!$D44="","", 'Anti Sweat'!O9)</f>
        <v/>
      </c>
      <c r="AO44" s="636" t="str">
        <f>IF('Data Export'!$D44="","", IFERROR(ROUND($F44/$D44, 2), ""))</f>
        <v/>
      </c>
      <c r="AP44" s="641">
        <f>IF('Data Export'!$D44="","",'Project Summary'!$C$11)</f>
        <v>0</v>
      </c>
      <c r="AQ44" s="652">
        <f>IF('Data Export'!$D44="","", 'Look Up Tables'!$C$167)</f>
        <v>3.4600000000000001E-5</v>
      </c>
      <c r="AR44" s="652">
        <f>IF('Data Export'!$D44="","", 'Look Up Tables'!$C$166)</f>
        <v>2.7399999999999999E-5</v>
      </c>
    </row>
    <row r="45" spans="1:44" x14ac:dyDescent="0.2">
      <c r="A45" s="618" t="str">
        <f>'Anti Sweat'!$B$3</f>
        <v>Anti Sweat Heater Controls</v>
      </c>
      <c r="B45" s="614" t="s">
        <v>317</v>
      </c>
      <c r="C45" s="614">
        <v>43</v>
      </c>
      <c r="D45" s="630">
        <f>IF('Anti Sweat'!U10&gt;0,'Anti Sweat'!I10,"")</f>
        <v>0</v>
      </c>
      <c r="E45" s="630" t="str">
        <f>IF($D45="","",'Anti Sweat'!S10)</f>
        <v/>
      </c>
      <c r="F45" s="636" t="str">
        <f>IF('Data Export'!$D45="","",'Anti Sweat'!U10)</f>
        <v/>
      </c>
      <c r="G45" s="641">
        <f>IF('Data Export'!D45="","", 'Project Summary'!$C$6)</f>
        <v>0</v>
      </c>
      <c r="H45" s="635" t="str">
        <f>IF('Data Export'!$D45="","", 'Anti Sweat'!M10)</f>
        <v/>
      </c>
      <c r="I45" s="644" t="str">
        <f>IF('Data Export'!$D45="","", 'Anti Sweat'!N10)</f>
        <v/>
      </c>
      <c r="J45" s="630">
        <f>IF('Data Export'!$D45="","", 'Project Summary'!$J$1)</f>
        <v>5.01</v>
      </c>
      <c r="K45" s="630">
        <f>IF('Data Export'!$D45="","", 'Anti Sweat'!D10)</f>
        <v>0</v>
      </c>
      <c r="L45" s="630">
        <f>IF('Data Export'!$D45="","", 'Anti Sweat'!E10)</f>
        <v>0</v>
      </c>
      <c r="M45" s="630">
        <f>IF('Data Export'!$D45="","", 'Project Summary'!$C$13)</f>
        <v>0</v>
      </c>
      <c r="N45" s="614" t="str">
        <f>IF('Data Export'!$D45="","", "")</f>
        <v/>
      </c>
      <c r="O45" s="630">
        <f>IF('Data Export'!$D45="","", 'Anti Sweat'!I10)</f>
        <v>0</v>
      </c>
      <c r="P45" s="660">
        <f>IF('Data Export'!$D45="","", IF('Anti Sweat'!G10="Refrigeration","Refrigerator",'Anti Sweat'!G10))</f>
        <v>0</v>
      </c>
      <c r="Q45" s="614" t="str">
        <f>IF('Data Export'!$D45="","","")</f>
        <v/>
      </c>
      <c r="R45" s="614" t="str">
        <f>IF('Data Export'!$D45="","","")</f>
        <v/>
      </c>
      <c r="S45" s="614" t="str">
        <f>IF('Data Export'!$D45="","","")</f>
        <v/>
      </c>
      <c r="T45" s="614" t="str">
        <f>IF('Data Export'!$D45="","","")</f>
        <v/>
      </c>
      <c r="U45" s="614" t="str">
        <f>IF('Data Export'!$D45="","","")</f>
        <v/>
      </c>
      <c r="V45" s="630">
        <f>IF('Data Export'!$D45="","",'Anti Sweat'!H10)</f>
        <v>0</v>
      </c>
      <c r="W45" s="614" t="str">
        <f>IF('Data Export'!$D45="","","")</f>
        <v/>
      </c>
      <c r="X45" s="614" t="str">
        <f>IF('Data Export'!$D45="","","")</f>
        <v/>
      </c>
      <c r="Y45" s="614" t="str">
        <f>IF('Data Export'!$D45="","","")</f>
        <v/>
      </c>
      <c r="Z45" s="614" t="str">
        <f>IF('Data Export'!$D45="","","")</f>
        <v/>
      </c>
      <c r="AA45" s="614" t="str">
        <f>IF('Data Export'!$D45="","","")</f>
        <v/>
      </c>
      <c r="AB45" s="614" t="str">
        <f>IF('Data Export'!$D45="","","")</f>
        <v/>
      </c>
      <c r="AC45" s="614" t="str">
        <f>IF('Data Export'!$D45="","","")</f>
        <v/>
      </c>
      <c r="AD45" s="614" t="str">
        <f>IF('Data Export'!$D45="","","")</f>
        <v/>
      </c>
      <c r="AE45" s="614" t="str">
        <f>IF('Data Export'!$D45="","","")</f>
        <v/>
      </c>
      <c r="AF45" s="614" t="str">
        <f>IF('Data Export'!$D45="","","")</f>
        <v/>
      </c>
      <c r="AG45" s="614" t="str">
        <f>IF('Data Export'!$D45="","","")</f>
        <v/>
      </c>
      <c r="AH45" s="614" t="str">
        <f>IF('Data Export'!$D45="","","")</f>
        <v/>
      </c>
      <c r="AI45" s="630" t="str">
        <f>IF('Data Export'!$D45="","",IF('Anti Sweat'!G10='Look Up Tables'!$D$3,"Low Temperature",IF('Anti Sweat'!G10='Look Up Tables'!$D$4,"Medium Temperature","Unknown")))</f>
        <v>Unknown</v>
      </c>
      <c r="AJ45" s="614" t="str">
        <f>IF('Data Export'!$D45="","","")</f>
        <v/>
      </c>
      <c r="AK45" s="614" t="str">
        <f>IF('Data Export'!$D45="","","")</f>
        <v/>
      </c>
      <c r="AL45" s="614"/>
      <c r="AM45" s="644" t="str">
        <f>IF('Data Export'!$D45="","", 'Anti Sweat'!P10)</f>
        <v/>
      </c>
      <c r="AN45" s="644" t="str">
        <f>IF('Data Export'!$D45="","", 'Anti Sweat'!O10)</f>
        <v/>
      </c>
      <c r="AO45" s="636" t="str">
        <f>IF('Data Export'!$D45="","", IFERROR(ROUND($F45/$D45, 2), ""))</f>
        <v/>
      </c>
      <c r="AP45" s="641">
        <f>IF('Data Export'!$D45="","",'Project Summary'!$C$11)</f>
        <v>0</v>
      </c>
      <c r="AQ45" s="652">
        <f>IF('Data Export'!$D45="","", 'Look Up Tables'!$C$167)</f>
        <v>3.4600000000000001E-5</v>
      </c>
      <c r="AR45" s="652">
        <f>IF('Data Export'!$D45="","", 'Look Up Tables'!$C$166)</f>
        <v>2.7399999999999999E-5</v>
      </c>
    </row>
    <row r="46" spans="1:44" x14ac:dyDescent="0.2">
      <c r="A46" s="618" t="str">
        <f>'Anti Sweat'!$B$3</f>
        <v>Anti Sweat Heater Controls</v>
      </c>
      <c r="B46" s="614" t="s">
        <v>317</v>
      </c>
      <c r="C46" s="614">
        <v>44</v>
      </c>
      <c r="D46" s="630">
        <f>IF('Anti Sweat'!U11&gt;0,'Anti Sweat'!I11,"")</f>
        <v>0</v>
      </c>
      <c r="E46" s="630" t="str">
        <f>IF($D46="","",'Anti Sweat'!S11)</f>
        <v/>
      </c>
      <c r="F46" s="636" t="str">
        <f>IF('Data Export'!$D46="","",'Anti Sweat'!U11)</f>
        <v/>
      </c>
      <c r="G46" s="641">
        <f>IF('Data Export'!D46="","", 'Project Summary'!$C$6)</f>
        <v>0</v>
      </c>
      <c r="H46" s="635" t="str">
        <f>IF('Data Export'!$D46="","", 'Anti Sweat'!M11)</f>
        <v/>
      </c>
      <c r="I46" s="644" t="str">
        <f>IF('Data Export'!$D46="","", 'Anti Sweat'!N11)</f>
        <v/>
      </c>
      <c r="J46" s="630">
        <f>IF('Data Export'!$D46="","", 'Project Summary'!$J$1)</f>
        <v>5.01</v>
      </c>
      <c r="K46" s="630">
        <f>IF('Data Export'!$D46="","", 'Anti Sweat'!D11)</f>
        <v>0</v>
      </c>
      <c r="L46" s="630">
        <f>IF('Data Export'!$D46="","", 'Anti Sweat'!E11)</f>
        <v>0</v>
      </c>
      <c r="M46" s="630">
        <f>IF('Data Export'!$D46="","", 'Project Summary'!$C$13)</f>
        <v>0</v>
      </c>
      <c r="N46" s="614" t="str">
        <f>IF('Data Export'!$D46="","", "")</f>
        <v/>
      </c>
      <c r="O46" s="630">
        <f>IF('Data Export'!$D46="","", 'Anti Sweat'!I11)</f>
        <v>0</v>
      </c>
      <c r="P46" s="660">
        <f>IF('Data Export'!$D46="","", IF('Anti Sweat'!G11="Refrigeration","Refrigerator",'Anti Sweat'!G11))</f>
        <v>0</v>
      </c>
      <c r="Q46" s="614" t="str">
        <f>IF('Data Export'!$D46="","","")</f>
        <v/>
      </c>
      <c r="R46" s="614" t="str">
        <f>IF('Data Export'!$D46="","","")</f>
        <v/>
      </c>
      <c r="S46" s="614" t="str">
        <f>IF('Data Export'!$D46="","","")</f>
        <v/>
      </c>
      <c r="T46" s="614" t="str">
        <f>IF('Data Export'!$D46="","","")</f>
        <v/>
      </c>
      <c r="U46" s="614" t="str">
        <f>IF('Data Export'!$D46="","","")</f>
        <v/>
      </c>
      <c r="V46" s="630">
        <f>IF('Data Export'!$D46="","",'Anti Sweat'!H11)</f>
        <v>0</v>
      </c>
      <c r="W46" s="614" t="str">
        <f>IF('Data Export'!$D46="","","")</f>
        <v/>
      </c>
      <c r="X46" s="614" t="str">
        <f>IF('Data Export'!$D46="","","")</f>
        <v/>
      </c>
      <c r="Y46" s="614" t="str">
        <f>IF('Data Export'!$D46="","","")</f>
        <v/>
      </c>
      <c r="Z46" s="614" t="str">
        <f>IF('Data Export'!$D46="","","")</f>
        <v/>
      </c>
      <c r="AA46" s="614" t="str">
        <f>IF('Data Export'!$D46="","","")</f>
        <v/>
      </c>
      <c r="AB46" s="614" t="str">
        <f>IF('Data Export'!$D46="","","")</f>
        <v/>
      </c>
      <c r="AC46" s="614" t="str">
        <f>IF('Data Export'!$D46="","","")</f>
        <v/>
      </c>
      <c r="AD46" s="614" t="str">
        <f>IF('Data Export'!$D46="","","")</f>
        <v/>
      </c>
      <c r="AE46" s="614" t="str">
        <f>IF('Data Export'!$D46="","","")</f>
        <v/>
      </c>
      <c r="AF46" s="614" t="str">
        <f>IF('Data Export'!$D46="","","")</f>
        <v/>
      </c>
      <c r="AG46" s="614" t="str">
        <f>IF('Data Export'!$D46="","","")</f>
        <v/>
      </c>
      <c r="AH46" s="614" t="str">
        <f>IF('Data Export'!$D46="","","")</f>
        <v/>
      </c>
      <c r="AI46" s="630" t="str">
        <f>IF('Data Export'!$D46="","",IF('Anti Sweat'!G11='Look Up Tables'!$D$3,"Low Temperature",IF('Anti Sweat'!G11='Look Up Tables'!$D$4,"Medium Temperature","Unknown")))</f>
        <v>Unknown</v>
      </c>
      <c r="AJ46" s="614" t="str">
        <f>IF('Data Export'!$D46="","","")</f>
        <v/>
      </c>
      <c r="AK46" s="614" t="str">
        <f>IF('Data Export'!$D46="","","")</f>
        <v/>
      </c>
      <c r="AL46" s="614"/>
      <c r="AM46" s="644" t="str">
        <f>IF('Data Export'!$D46="","", 'Anti Sweat'!P11)</f>
        <v/>
      </c>
      <c r="AN46" s="644" t="str">
        <f>IF('Data Export'!$D46="","", 'Anti Sweat'!O11)</f>
        <v/>
      </c>
      <c r="AO46" s="636" t="str">
        <f>IF('Data Export'!$D46="","", IFERROR(ROUND($F46/$D46, 2), ""))</f>
        <v/>
      </c>
      <c r="AP46" s="641">
        <f>IF('Data Export'!$D46="","",'Project Summary'!$C$11)</f>
        <v>0</v>
      </c>
      <c r="AQ46" s="652">
        <f>IF('Data Export'!$D46="","", 'Look Up Tables'!$C$167)</f>
        <v>3.4600000000000001E-5</v>
      </c>
      <c r="AR46" s="652">
        <f>IF('Data Export'!$D46="","", 'Look Up Tables'!$C$166)</f>
        <v>2.7399999999999999E-5</v>
      </c>
    </row>
    <row r="47" spans="1:44" x14ac:dyDescent="0.2">
      <c r="A47" s="618" t="str">
        <f>'Anti Sweat'!$B$3</f>
        <v>Anti Sweat Heater Controls</v>
      </c>
      <c r="B47" s="614" t="s">
        <v>317</v>
      </c>
      <c r="C47" s="614">
        <v>45</v>
      </c>
      <c r="D47" s="630">
        <f>IF('Anti Sweat'!U12&gt;0,'Anti Sweat'!I12,"")</f>
        <v>0</v>
      </c>
      <c r="E47" s="630" t="str">
        <f>IF($D47="","",'Anti Sweat'!S12)</f>
        <v/>
      </c>
      <c r="F47" s="636" t="str">
        <f>IF('Data Export'!$D47="","",'Anti Sweat'!U12)</f>
        <v/>
      </c>
      <c r="G47" s="641">
        <f>IF('Data Export'!D47="","", 'Project Summary'!$C$6)</f>
        <v>0</v>
      </c>
      <c r="H47" s="635" t="str">
        <f>IF('Data Export'!$D47="","", 'Anti Sweat'!M12)</f>
        <v/>
      </c>
      <c r="I47" s="644" t="str">
        <f>IF('Data Export'!$D47="","", 'Anti Sweat'!N12)</f>
        <v/>
      </c>
      <c r="J47" s="630">
        <f>IF('Data Export'!$D47="","", 'Project Summary'!$J$1)</f>
        <v>5.01</v>
      </c>
      <c r="K47" s="630">
        <f>IF('Data Export'!$D47="","", 'Anti Sweat'!D12)</f>
        <v>0</v>
      </c>
      <c r="L47" s="630">
        <f>IF('Data Export'!$D47="","", 'Anti Sweat'!E12)</f>
        <v>0</v>
      </c>
      <c r="M47" s="630">
        <f>IF('Data Export'!$D47="","", 'Project Summary'!$C$13)</f>
        <v>0</v>
      </c>
      <c r="N47" s="614" t="str">
        <f>IF('Data Export'!$D47="","", "")</f>
        <v/>
      </c>
      <c r="O47" s="630">
        <f>IF('Data Export'!$D47="","", 'Anti Sweat'!I12)</f>
        <v>0</v>
      </c>
      <c r="P47" s="660">
        <f>IF('Data Export'!$D47="","", IF('Anti Sweat'!G12="Refrigeration","Refrigerator",'Anti Sweat'!G12))</f>
        <v>0</v>
      </c>
      <c r="Q47" s="614" t="str">
        <f>IF('Data Export'!$D47="","","")</f>
        <v/>
      </c>
      <c r="R47" s="614" t="str">
        <f>IF('Data Export'!$D47="","","")</f>
        <v/>
      </c>
      <c r="S47" s="614" t="str">
        <f>IF('Data Export'!$D47="","","")</f>
        <v/>
      </c>
      <c r="T47" s="614" t="str">
        <f>IF('Data Export'!$D47="","","")</f>
        <v/>
      </c>
      <c r="U47" s="614" t="str">
        <f>IF('Data Export'!$D47="","","")</f>
        <v/>
      </c>
      <c r="V47" s="630">
        <f>IF('Data Export'!$D47="","",'Anti Sweat'!H12)</f>
        <v>0</v>
      </c>
      <c r="W47" s="614" t="str">
        <f>IF('Data Export'!$D47="","","")</f>
        <v/>
      </c>
      <c r="X47" s="614" t="str">
        <f>IF('Data Export'!$D47="","","")</f>
        <v/>
      </c>
      <c r="Y47" s="614" t="str">
        <f>IF('Data Export'!$D47="","","")</f>
        <v/>
      </c>
      <c r="Z47" s="614" t="str">
        <f>IF('Data Export'!$D47="","","")</f>
        <v/>
      </c>
      <c r="AA47" s="614" t="str">
        <f>IF('Data Export'!$D47="","","")</f>
        <v/>
      </c>
      <c r="AB47" s="614" t="str">
        <f>IF('Data Export'!$D47="","","")</f>
        <v/>
      </c>
      <c r="AC47" s="614" t="str">
        <f>IF('Data Export'!$D47="","","")</f>
        <v/>
      </c>
      <c r="AD47" s="614" t="str">
        <f>IF('Data Export'!$D47="","","")</f>
        <v/>
      </c>
      <c r="AE47" s="614" t="str">
        <f>IF('Data Export'!$D47="","","")</f>
        <v/>
      </c>
      <c r="AF47" s="614" t="str">
        <f>IF('Data Export'!$D47="","","")</f>
        <v/>
      </c>
      <c r="AG47" s="614" t="str">
        <f>IF('Data Export'!$D47="","","")</f>
        <v/>
      </c>
      <c r="AH47" s="614" t="str">
        <f>IF('Data Export'!$D47="","","")</f>
        <v/>
      </c>
      <c r="AI47" s="630" t="str">
        <f>IF('Data Export'!$D47="","",IF('Anti Sweat'!G12='Look Up Tables'!$D$3,"Low Temperature",IF('Anti Sweat'!G12='Look Up Tables'!$D$4,"Medium Temperature","Unknown")))</f>
        <v>Unknown</v>
      </c>
      <c r="AJ47" s="614" t="str">
        <f>IF('Data Export'!$D47="","","")</f>
        <v/>
      </c>
      <c r="AK47" s="614" t="str">
        <f>IF('Data Export'!$D47="","","")</f>
        <v/>
      </c>
      <c r="AL47" s="614"/>
      <c r="AM47" s="644" t="str">
        <f>IF('Data Export'!$D47="","", 'Anti Sweat'!P12)</f>
        <v/>
      </c>
      <c r="AN47" s="644" t="str">
        <f>IF('Data Export'!$D47="","", 'Anti Sweat'!O12)</f>
        <v/>
      </c>
      <c r="AO47" s="636" t="str">
        <f>IF('Data Export'!$D47="","", IFERROR(ROUND($F47/$D47, 2), ""))</f>
        <v/>
      </c>
      <c r="AP47" s="641">
        <f>IF('Data Export'!$D47="","",'Project Summary'!$C$11)</f>
        <v>0</v>
      </c>
      <c r="AQ47" s="652">
        <f>IF('Data Export'!$D47="","", 'Look Up Tables'!$C$167)</f>
        <v>3.4600000000000001E-5</v>
      </c>
      <c r="AR47" s="652">
        <f>IF('Data Export'!$D47="","", 'Look Up Tables'!$C$166)</f>
        <v>2.7399999999999999E-5</v>
      </c>
    </row>
    <row r="48" spans="1:44" x14ac:dyDescent="0.2">
      <c r="A48" s="618" t="str">
        <f>'Anti Sweat'!$B$3</f>
        <v>Anti Sweat Heater Controls</v>
      </c>
      <c r="B48" s="614" t="s">
        <v>317</v>
      </c>
      <c r="C48" s="614">
        <v>46</v>
      </c>
      <c r="D48" s="630">
        <f>IF('Anti Sweat'!U13&gt;0,'Anti Sweat'!I13,"")</f>
        <v>0</v>
      </c>
      <c r="E48" s="630" t="str">
        <f>IF($D48="","",'Anti Sweat'!S13)</f>
        <v/>
      </c>
      <c r="F48" s="636" t="str">
        <f>IF('Data Export'!$D48="","",'Anti Sweat'!U13)</f>
        <v/>
      </c>
      <c r="G48" s="641">
        <f>IF('Data Export'!D48="","", 'Project Summary'!$C$6)</f>
        <v>0</v>
      </c>
      <c r="H48" s="635" t="str">
        <f>IF('Data Export'!$D48="","", 'Anti Sweat'!M13)</f>
        <v/>
      </c>
      <c r="I48" s="644" t="str">
        <f>IF('Data Export'!$D48="","", 'Anti Sweat'!N13)</f>
        <v/>
      </c>
      <c r="J48" s="630">
        <f>IF('Data Export'!$D48="","", 'Project Summary'!$J$1)</f>
        <v>5.01</v>
      </c>
      <c r="K48" s="630">
        <f>IF('Data Export'!$D48="","", 'Anti Sweat'!D13)</f>
        <v>0</v>
      </c>
      <c r="L48" s="630">
        <f>IF('Data Export'!$D48="","", 'Anti Sweat'!E13)</f>
        <v>0</v>
      </c>
      <c r="M48" s="630">
        <f>IF('Data Export'!$D48="","", 'Project Summary'!$C$13)</f>
        <v>0</v>
      </c>
      <c r="N48" s="614" t="str">
        <f>IF('Data Export'!$D48="","", "")</f>
        <v/>
      </c>
      <c r="O48" s="630">
        <f>IF('Data Export'!$D48="","", 'Anti Sweat'!I13)</f>
        <v>0</v>
      </c>
      <c r="P48" s="660">
        <f>IF('Data Export'!$D48="","", IF('Anti Sweat'!G13="Refrigeration","Refrigerator",'Anti Sweat'!G13))</f>
        <v>0</v>
      </c>
      <c r="Q48" s="614" t="str">
        <f>IF('Data Export'!$D48="","","")</f>
        <v/>
      </c>
      <c r="R48" s="614" t="str">
        <f>IF('Data Export'!$D48="","","")</f>
        <v/>
      </c>
      <c r="S48" s="614" t="str">
        <f>IF('Data Export'!$D48="","","")</f>
        <v/>
      </c>
      <c r="T48" s="614" t="str">
        <f>IF('Data Export'!$D48="","","")</f>
        <v/>
      </c>
      <c r="U48" s="614" t="str">
        <f>IF('Data Export'!$D48="","","")</f>
        <v/>
      </c>
      <c r="V48" s="630">
        <f>IF('Data Export'!$D48="","",'Anti Sweat'!H13)</f>
        <v>0</v>
      </c>
      <c r="W48" s="614" t="str">
        <f>IF('Data Export'!$D48="","","")</f>
        <v/>
      </c>
      <c r="X48" s="614" t="str">
        <f>IF('Data Export'!$D48="","","")</f>
        <v/>
      </c>
      <c r="Y48" s="614" t="str">
        <f>IF('Data Export'!$D48="","","")</f>
        <v/>
      </c>
      <c r="Z48" s="614" t="str">
        <f>IF('Data Export'!$D48="","","")</f>
        <v/>
      </c>
      <c r="AA48" s="614" t="str">
        <f>IF('Data Export'!$D48="","","")</f>
        <v/>
      </c>
      <c r="AB48" s="614" t="str">
        <f>IF('Data Export'!$D48="","","")</f>
        <v/>
      </c>
      <c r="AC48" s="614" t="str">
        <f>IF('Data Export'!$D48="","","")</f>
        <v/>
      </c>
      <c r="AD48" s="614" t="str">
        <f>IF('Data Export'!$D48="","","")</f>
        <v/>
      </c>
      <c r="AE48" s="614" t="str">
        <f>IF('Data Export'!$D48="","","")</f>
        <v/>
      </c>
      <c r="AF48" s="614" t="str">
        <f>IF('Data Export'!$D48="","","")</f>
        <v/>
      </c>
      <c r="AG48" s="614" t="str">
        <f>IF('Data Export'!$D48="","","")</f>
        <v/>
      </c>
      <c r="AH48" s="614" t="str">
        <f>IF('Data Export'!$D48="","","")</f>
        <v/>
      </c>
      <c r="AI48" s="630" t="str">
        <f>IF('Data Export'!$D48="","",IF('Anti Sweat'!G13='Look Up Tables'!$D$3,"Low Temperature",IF('Anti Sweat'!G13='Look Up Tables'!$D$4,"Medium Temperature","Unknown")))</f>
        <v>Unknown</v>
      </c>
      <c r="AJ48" s="614" t="str">
        <f>IF('Data Export'!$D48="","","")</f>
        <v/>
      </c>
      <c r="AK48" s="614" t="str">
        <f>IF('Data Export'!$D48="","","")</f>
        <v/>
      </c>
      <c r="AL48" s="614"/>
      <c r="AM48" s="644" t="str">
        <f>IF('Data Export'!$D48="","", 'Anti Sweat'!P13)</f>
        <v/>
      </c>
      <c r="AN48" s="644" t="str">
        <f>IF('Data Export'!$D48="","", 'Anti Sweat'!O13)</f>
        <v/>
      </c>
      <c r="AO48" s="636" t="str">
        <f>IF('Data Export'!$D48="","", IFERROR(ROUND($F48/$D48, 2), ""))</f>
        <v/>
      </c>
      <c r="AP48" s="641">
        <f>IF('Data Export'!$D48="","",'Project Summary'!$C$11)</f>
        <v>0</v>
      </c>
      <c r="AQ48" s="652">
        <f>IF('Data Export'!$D48="","", 'Look Up Tables'!$C$167)</f>
        <v>3.4600000000000001E-5</v>
      </c>
      <c r="AR48" s="652">
        <f>IF('Data Export'!$D48="","", 'Look Up Tables'!$C$166)</f>
        <v>2.7399999999999999E-5</v>
      </c>
    </row>
    <row r="49" spans="1:44" x14ac:dyDescent="0.2">
      <c r="A49" s="618" t="str">
        <f>'Anti Sweat'!$B$3</f>
        <v>Anti Sweat Heater Controls</v>
      </c>
      <c r="B49" s="614" t="s">
        <v>317</v>
      </c>
      <c r="C49" s="614">
        <v>47</v>
      </c>
      <c r="D49" s="630">
        <f>IF('Anti Sweat'!U14&gt;0,'Anti Sweat'!I14,"")</f>
        <v>0</v>
      </c>
      <c r="E49" s="630" t="str">
        <f>IF($D49="","",'Anti Sweat'!S14)</f>
        <v/>
      </c>
      <c r="F49" s="636" t="str">
        <f>IF('Data Export'!$D49="","",'Anti Sweat'!U14)</f>
        <v/>
      </c>
      <c r="G49" s="641">
        <f>IF('Data Export'!D49="","", 'Project Summary'!$C$6)</f>
        <v>0</v>
      </c>
      <c r="H49" s="635" t="str">
        <f>IF('Data Export'!$D49="","", 'Anti Sweat'!M14)</f>
        <v/>
      </c>
      <c r="I49" s="644" t="str">
        <f>IF('Data Export'!$D49="","", 'Anti Sweat'!N14)</f>
        <v/>
      </c>
      <c r="J49" s="630">
        <f>IF('Data Export'!$D49="","", 'Project Summary'!$J$1)</f>
        <v>5.01</v>
      </c>
      <c r="K49" s="630">
        <f>IF('Data Export'!$D49="","", 'Anti Sweat'!D14)</f>
        <v>0</v>
      </c>
      <c r="L49" s="630">
        <f>IF('Data Export'!$D49="","", 'Anti Sweat'!E14)</f>
        <v>0</v>
      </c>
      <c r="M49" s="630">
        <f>IF('Data Export'!$D49="","", 'Project Summary'!$C$13)</f>
        <v>0</v>
      </c>
      <c r="N49" s="614" t="str">
        <f>IF('Data Export'!$D49="","", "")</f>
        <v/>
      </c>
      <c r="O49" s="630">
        <f>IF('Data Export'!$D49="","", 'Anti Sweat'!I14)</f>
        <v>0</v>
      </c>
      <c r="P49" s="660">
        <f>IF('Data Export'!$D49="","", IF('Anti Sweat'!G14="Refrigeration","Refrigerator",'Anti Sweat'!G14))</f>
        <v>0</v>
      </c>
      <c r="Q49" s="614" t="str">
        <f>IF('Data Export'!$D49="","","")</f>
        <v/>
      </c>
      <c r="R49" s="614" t="str">
        <f>IF('Data Export'!$D49="","","")</f>
        <v/>
      </c>
      <c r="S49" s="614" t="str">
        <f>IF('Data Export'!$D49="","","")</f>
        <v/>
      </c>
      <c r="T49" s="614" t="str">
        <f>IF('Data Export'!$D49="","","")</f>
        <v/>
      </c>
      <c r="U49" s="614" t="str">
        <f>IF('Data Export'!$D49="","","")</f>
        <v/>
      </c>
      <c r="V49" s="630">
        <f>IF('Data Export'!$D49="","",'Anti Sweat'!H14)</f>
        <v>0</v>
      </c>
      <c r="W49" s="614" t="str">
        <f>IF('Data Export'!$D49="","","")</f>
        <v/>
      </c>
      <c r="X49" s="614" t="str">
        <f>IF('Data Export'!$D49="","","")</f>
        <v/>
      </c>
      <c r="Y49" s="614" t="str">
        <f>IF('Data Export'!$D49="","","")</f>
        <v/>
      </c>
      <c r="Z49" s="614" t="str">
        <f>IF('Data Export'!$D49="","","")</f>
        <v/>
      </c>
      <c r="AA49" s="614" t="str">
        <f>IF('Data Export'!$D49="","","")</f>
        <v/>
      </c>
      <c r="AB49" s="614" t="str">
        <f>IF('Data Export'!$D49="","","")</f>
        <v/>
      </c>
      <c r="AC49" s="614" t="str">
        <f>IF('Data Export'!$D49="","","")</f>
        <v/>
      </c>
      <c r="AD49" s="614" t="str">
        <f>IF('Data Export'!$D49="","","")</f>
        <v/>
      </c>
      <c r="AE49" s="614" t="str">
        <f>IF('Data Export'!$D49="","","")</f>
        <v/>
      </c>
      <c r="AF49" s="614" t="str">
        <f>IF('Data Export'!$D49="","","")</f>
        <v/>
      </c>
      <c r="AG49" s="614" t="str">
        <f>IF('Data Export'!$D49="","","")</f>
        <v/>
      </c>
      <c r="AH49" s="614" t="str">
        <f>IF('Data Export'!$D49="","","")</f>
        <v/>
      </c>
      <c r="AI49" s="630" t="str">
        <f>IF('Data Export'!$D49="","",IF('Anti Sweat'!G14='Look Up Tables'!$D$3,"Low Temperature",IF('Anti Sweat'!G14='Look Up Tables'!$D$4,"Medium Temperature","Unknown")))</f>
        <v>Unknown</v>
      </c>
      <c r="AJ49" s="614" t="str">
        <f>IF('Data Export'!$D49="","","")</f>
        <v/>
      </c>
      <c r="AK49" s="614" t="str">
        <f>IF('Data Export'!$D49="","","")</f>
        <v/>
      </c>
      <c r="AL49" s="614"/>
      <c r="AM49" s="644" t="str">
        <f>IF('Data Export'!$D49="","", 'Anti Sweat'!P14)</f>
        <v/>
      </c>
      <c r="AN49" s="644" t="str">
        <f>IF('Data Export'!$D49="","", 'Anti Sweat'!O14)</f>
        <v/>
      </c>
      <c r="AO49" s="636" t="str">
        <f>IF('Data Export'!$D49="","", IFERROR(ROUND($F49/$D49, 2), ""))</f>
        <v/>
      </c>
      <c r="AP49" s="641">
        <f>IF('Data Export'!$D49="","",'Project Summary'!$C$11)</f>
        <v>0</v>
      </c>
      <c r="AQ49" s="652">
        <f>IF('Data Export'!$D49="","", 'Look Up Tables'!$C$167)</f>
        <v>3.4600000000000001E-5</v>
      </c>
      <c r="AR49" s="652">
        <f>IF('Data Export'!$D49="","", 'Look Up Tables'!$C$166)</f>
        <v>2.7399999999999999E-5</v>
      </c>
    </row>
    <row r="50" spans="1:44" x14ac:dyDescent="0.2">
      <c r="A50" s="618" t="str">
        <f>'Anti Sweat'!$B$3</f>
        <v>Anti Sweat Heater Controls</v>
      </c>
      <c r="B50" s="614" t="s">
        <v>317</v>
      </c>
      <c r="C50" s="614">
        <v>48</v>
      </c>
      <c r="D50" s="630">
        <f>IF('Anti Sweat'!U15&gt;0,'Anti Sweat'!I15,"")</f>
        <v>0</v>
      </c>
      <c r="E50" s="630" t="str">
        <f>IF($D50="","",'Anti Sweat'!S15)</f>
        <v/>
      </c>
      <c r="F50" s="636" t="str">
        <f>IF('Data Export'!$D50="","",'Anti Sweat'!U15)</f>
        <v/>
      </c>
      <c r="G50" s="641">
        <f>IF('Data Export'!D50="","", 'Project Summary'!$C$6)</f>
        <v>0</v>
      </c>
      <c r="H50" s="635" t="str">
        <f>IF('Data Export'!$D50="","", 'Anti Sweat'!M15)</f>
        <v/>
      </c>
      <c r="I50" s="644" t="str">
        <f>IF('Data Export'!$D50="","", 'Anti Sweat'!N15)</f>
        <v/>
      </c>
      <c r="J50" s="630">
        <f>IF('Data Export'!$D50="","", 'Project Summary'!$J$1)</f>
        <v>5.01</v>
      </c>
      <c r="K50" s="630">
        <f>IF('Data Export'!$D50="","", 'Anti Sweat'!D15)</f>
        <v>0</v>
      </c>
      <c r="L50" s="630">
        <f>IF('Data Export'!$D50="","", 'Anti Sweat'!E15)</f>
        <v>0</v>
      </c>
      <c r="M50" s="630">
        <f>IF('Data Export'!$D50="","", 'Project Summary'!$C$13)</f>
        <v>0</v>
      </c>
      <c r="N50" s="614" t="str">
        <f>IF('Data Export'!$D50="","", "")</f>
        <v/>
      </c>
      <c r="O50" s="630">
        <f>IF('Data Export'!$D50="","", 'Anti Sweat'!I15)</f>
        <v>0</v>
      </c>
      <c r="P50" s="660">
        <f>IF('Data Export'!$D50="","", IF('Anti Sweat'!G15="Refrigeration","Refrigerator",'Anti Sweat'!G15))</f>
        <v>0</v>
      </c>
      <c r="Q50" s="614" t="str">
        <f>IF('Data Export'!$D50="","","")</f>
        <v/>
      </c>
      <c r="R50" s="614" t="str">
        <f>IF('Data Export'!$D50="","","")</f>
        <v/>
      </c>
      <c r="S50" s="614" t="str">
        <f>IF('Data Export'!$D50="","","")</f>
        <v/>
      </c>
      <c r="T50" s="614" t="str">
        <f>IF('Data Export'!$D50="","","")</f>
        <v/>
      </c>
      <c r="U50" s="614" t="str">
        <f>IF('Data Export'!$D50="","","")</f>
        <v/>
      </c>
      <c r="V50" s="630">
        <f>IF('Data Export'!$D50="","",'Anti Sweat'!H15)</f>
        <v>0</v>
      </c>
      <c r="W50" s="614" t="str">
        <f>IF('Data Export'!$D50="","","")</f>
        <v/>
      </c>
      <c r="X50" s="614" t="str">
        <f>IF('Data Export'!$D50="","","")</f>
        <v/>
      </c>
      <c r="Y50" s="614" t="str">
        <f>IF('Data Export'!$D50="","","")</f>
        <v/>
      </c>
      <c r="Z50" s="614" t="str">
        <f>IF('Data Export'!$D50="","","")</f>
        <v/>
      </c>
      <c r="AA50" s="614" t="str">
        <f>IF('Data Export'!$D50="","","")</f>
        <v/>
      </c>
      <c r="AB50" s="614" t="str">
        <f>IF('Data Export'!$D50="","","")</f>
        <v/>
      </c>
      <c r="AC50" s="614" t="str">
        <f>IF('Data Export'!$D50="","","")</f>
        <v/>
      </c>
      <c r="AD50" s="614" t="str">
        <f>IF('Data Export'!$D50="","","")</f>
        <v/>
      </c>
      <c r="AE50" s="614" t="str">
        <f>IF('Data Export'!$D50="","","")</f>
        <v/>
      </c>
      <c r="AF50" s="614" t="str">
        <f>IF('Data Export'!$D50="","","")</f>
        <v/>
      </c>
      <c r="AG50" s="614" t="str">
        <f>IF('Data Export'!$D50="","","")</f>
        <v/>
      </c>
      <c r="AH50" s="614" t="str">
        <f>IF('Data Export'!$D50="","","")</f>
        <v/>
      </c>
      <c r="AI50" s="630" t="str">
        <f>IF('Data Export'!$D50="","",IF('Anti Sweat'!G15='Look Up Tables'!$D$3,"Low Temperature",IF('Anti Sweat'!G15='Look Up Tables'!$D$4,"Medium Temperature","Unknown")))</f>
        <v>Unknown</v>
      </c>
      <c r="AJ50" s="614" t="str">
        <f>IF('Data Export'!$D50="","","")</f>
        <v/>
      </c>
      <c r="AK50" s="614" t="str">
        <f>IF('Data Export'!$D50="","","")</f>
        <v/>
      </c>
      <c r="AL50" s="614"/>
      <c r="AM50" s="644" t="str">
        <f>IF('Data Export'!$D50="","", 'Anti Sweat'!P15)</f>
        <v/>
      </c>
      <c r="AN50" s="644" t="str">
        <f>IF('Data Export'!$D50="","", 'Anti Sweat'!O15)</f>
        <v/>
      </c>
      <c r="AO50" s="636" t="str">
        <f>IF('Data Export'!$D50="","", IFERROR(ROUND($F50/$D50, 2), ""))</f>
        <v/>
      </c>
      <c r="AP50" s="641">
        <f>IF('Data Export'!$D50="","",'Project Summary'!$C$11)</f>
        <v>0</v>
      </c>
      <c r="AQ50" s="652">
        <f>IF('Data Export'!$D50="","", 'Look Up Tables'!$C$167)</f>
        <v>3.4600000000000001E-5</v>
      </c>
      <c r="AR50" s="652">
        <f>IF('Data Export'!$D50="","", 'Look Up Tables'!$C$166)</f>
        <v>2.7399999999999999E-5</v>
      </c>
    </row>
    <row r="51" spans="1:44" x14ac:dyDescent="0.2">
      <c r="A51" s="618" t="str">
        <f>'Anti Sweat'!$B$3</f>
        <v>Anti Sweat Heater Controls</v>
      </c>
      <c r="B51" s="614" t="s">
        <v>317</v>
      </c>
      <c r="C51" s="614">
        <v>49</v>
      </c>
      <c r="D51" s="630">
        <f>IF('Anti Sweat'!U16&gt;0,'Anti Sweat'!I16,"")</f>
        <v>0</v>
      </c>
      <c r="E51" s="630" t="str">
        <f>IF($D51="","",'Anti Sweat'!S16)</f>
        <v/>
      </c>
      <c r="F51" s="636" t="str">
        <f>IF('Data Export'!$D51="","",'Anti Sweat'!U16)</f>
        <v/>
      </c>
      <c r="G51" s="641">
        <f>IF('Data Export'!D51="","", 'Project Summary'!$C$6)</f>
        <v>0</v>
      </c>
      <c r="H51" s="635" t="str">
        <f>IF('Data Export'!$D51="","", 'Anti Sweat'!M16)</f>
        <v/>
      </c>
      <c r="I51" s="644" t="str">
        <f>IF('Data Export'!$D51="","", 'Anti Sweat'!N16)</f>
        <v/>
      </c>
      <c r="J51" s="630">
        <f>IF('Data Export'!$D51="","", 'Project Summary'!$J$1)</f>
        <v>5.01</v>
      </c>
      <c r="K51" s="630">
        <f>IF('Data Export'!$D51="","", 'Anti Sweat'!D16)</f>
        <v>0</v>
      </c>
      <c r="L51" s="630">
        <f>IF('Data Export'!$D51="","", 'Anti Sweat'!E16)</f>
        <v>0</v>
      </c>
      <c r="M51" s="630">
        <f>IF('Data Export'!$D51="","", 'Project Summary'!$C$13)</f>
        <v>0</v>
      </c>
      <c r="N51" s="614" t="str">
        <f>IF('Data Export'!$D51="","", "")</f>
        <v/>
      </c>
      <c r="O51" s="630">
        <f>IF('Data Export'!$D51="","", 'Anti Sweat'!I16)</f>
        <v>0</v>
      </c>
      <c r="P51" s="660">
        <f>IF('Data Export'!$D51="","", IF('Anti Sweat'!G16="Refrigeration","Refrigerator",'Anti Sweat'!G16))</f>
        <v>0</v>
      </c>
      <c r="Q51" s="614" t="str">
        <f>IF('Data Export'!$D51="","","")</f>
        <v/>
      </c>
      <c r="R51" s="614" t="str">
        <f>IF('Data Export'!$D51="","","")</f>
        <v/>
      </c>
      <c r="S51" s="614" t="str">
        <f>IF('Data Export'!$D51="","","")</f>
        <v/>
      </c>
      <c r="T51" s="614" t="str">
        <f>IF('Data Export'!$D51="","","")</f>
        <v/>
      </c>
      <c r="U51" s="614" t="str">
        <f>IF('Data Export'!$D51="","","")</f>
        <v/>
      </c>
      <c r="V51" s="630">
        <f>IF('Data Export'!$D51="","",'Anti Sweat'!H16)</f>
        <v>0</v>
      </c>
      <c r="W51" s="614" t="str">
        <f>IF('Data Export'!$D51="","","")</f>
        <v/>
      </c>
      <c r="X51" s="614" t="str">
        <f>IF('Data Export'!$D51="","","")</f>
        <v/>
      </c>
      <c r="Y51" s="614" t="str">
        <f>IF('Data Export'!$D51="","","")</f>
        <v/>
      </c>
      <c r="Z51" s="614" t="str">
        <f>IF('Data Export'!$D51="","","")</f>
        <v/>
      </c>
      <c r="AA51" s="614" t="str">
        <f>IF('Data Export'!$D51="","","")</f>
        <v/>
      </c>
      <c r="AB51" s="614" t="str">
        <f>IF('Data Export'!$D51="","","")</f>
        <v/>
      </c>
      <c r="AC51" s="614" t="str">
        <f>IF('Data Export'!$D51="","","")</f>
        <v/>
      </c>
      <c r="AD51" s="614" t="str">
        <f>IF('Data Export'!$D51="","","")</f>
        <v/>
      </c>
      <c r="AE51" s="614" t="str">
        <f>IF('Data Export'!$D51="","","")</f>
        <v/>
      </c>
      <c r="AF51" s="614" t="str">
        <f>IF('Data Export'!$D51="","","")</f>
        <v/>
      </c>
      <c r="AG51" s="614" t="str">
        <f>IF('Data Export'!$D51="","","")</f>
        <v/>
      </c>
      <c r="AH51" s="614" t="str">
        <f>IF('Data Export'!$D51="","","")</f>
        <v/>
      </c>
      <c r="AI51" s="630" t="str">
        <f>IF('Data Export'!$D51="","",IF('Anti Sweat'!G16='Look Up Tables'!$D$3,"Low Temperature",IF('Anti Sweat'!G16='Look Up Tables'!$D$4,"Medium Temperature","Unknown")))</f>
        <v>Unknown</v>
      </c>
      <c r="AJ51" s="614" t="str">
        <f>IF('Data Export'!$D51="","","")</f>
        <v/>
      </c>
      <c r="AK51" s="614" t="str">
        <f>IF('Data Export'!$D51="","","")</f>
        <v/>
      </c>
      <c r="AL51" s="614"/>
      <c r="AM51" s="644" t="str">
        <f>IF('Data Export'!$D51="","", 'Anti Sweat'!P16)</f>
        <v/>
      </c>
      <c r="AN51" s="644" t="str">
        <f>IF('Data Export'!$D51="","", 'Anti Sweat'!O16)</f>
        <v/>
      </c>
      <c r="AO51" s="636" t="str">
        <f>IF('Data Export'!$D51="","", IFERROR(ROUND($F51/$D51, 2), ""))</f>
        <v/>
      </c>
      <c r="AP51" s="641">
        <f>IF('Data Export'!$D51="","",'Project Summary'!$C$11)</f>
        <v>0</v>
      </c>
      <c r="AQ51" s="652">
        <f>IF('Data Export'!$D51="","", 'Look Up Tables'!$C$167)</f>
        <v>3.4600000000000001E-5</v>
      </c>
      <c r="AR51" s="652">
        <f>IF('Data Export'!$D51="","", 'Look Up Tables'!$C$166)</f>
        <v>2.7399999999999999E-5</v>
      </c>
    </row>
    <row r="52" spans="1:44" ht="15" thickBot="1" x14ac:dyDescent="0.25">
      <c r="A52" s="625" t="str">
        <f>'Anti Sweat'!$B$3</f>
        <v>Anti Sweat Heater Controls</v>
      </c>
      <c r="B52" s="626" t="s">
        <v>317</v>
      </c>
      <c r="C52" s="626">
        <v>50</v>
      </c>
      <c r="D52" s="631">
        <f>IF('Anti Sweat'!U17&gt;0,'Anti Sweat'!I17,"")</f>
        <v>0</v>
      </c>
      <c r="E52" s="631" t="str">
        <f>IF($D52="","",'Anti Sweat'!S17)</f>
        <v/>
      </c>
      <c r="F52" s="638" t="str">
        <f>IF('Data Export'!$D52="","",'Anti Sweat'!U17)</f>
        <v/>
      </c>
      <c r="G52" s="642">
        <f>IF('Data Export'!D52="","", 'Project Summary'!$C$6)</f>
        <v>0</v>
      </c>
      <c r="H52" s="639" t="str">
        <f>IF('Data Export'!$D52="","", 'Anti Sweat'!M17)</f>
        <v/>
      </c>
      <c r="I52" s="634" t="str">
        <f>IF('Data Export'!$D52="","", 'Anti Sweat'!N17)</f>
        <v/>
      </c>
      <c r="J52" s="631">
        <f>IF('Data Export'!$D52="","", 'Project Summary'!$J$1)</f>
        <v>5.01</v>
      </c>
      <c r="K52" s="631">
        <f>IF('Data Export'!$D52="","", 'Anti Sweat'!D17)</f>
        <v>0</v>
      </c>
      <c r="L52" s="631">
        <f>IF('Data Export'!$D52="","", 'Anti Sweat'!E17)</f>
        <v>0</v>
      </c>
      <c r="M52" s="631">
        <f>IF('Data Export'!$D52="","", 'Project Summary'!$C$13)</f>
        <v>0</v>
      </c>
      <c r="N52" s="626" t="str">
        <f>IF('Data Export'!$D52="","", "")</f>
        <v/>
      </c>
      <c r="O52" s="631">
        <f>IF('Data Export'!$D52="","", 'Anti Sweat'!I17)</f>
        <v>0</v>
      </c>
      <c r="P52" s="661">
        <f>IF('Data Export'!$D52="","", IF('Anti Sweat'!G17="Refrigeration","Refrigerator",'Anti Sweat'!G17))</f>
        <v>0</v>
      </c>
      <c r="Q52" s="626" t="str">
        <f>IF('Data Export'!$D52="","", "")</f>
        <v/>
      </c>
      <c r="R52" s="626" t="str">
        <f>IF('Data Export'!$D52="","", "")</f>
        <v/>
      </c>
      <c r="S52" s="626" t="str">
        <f>IF('Data Export'!$D52="","", "")</f>
        <v/>
      </c>
      <c r="T52" s="626" t="str">
        <f>IF('Data Export'!$D52="","", "")</f>
        <v/>
      </c>
      <c r="U52" s="626" t="str">
        <f>IF('Data Export'!$D52="","", "")</f>
        <v/>
      </c>
      <c r="V52" s="631">
        <f>IF('Data Export'!$D52="","",'Anti Sweat'!H17)</f>
        <v>0</v>
      </c>
      <c r="W52" s="626" t="str">
        <f>IF('Data Export'!$D52="","", "")</f>
        <v/>
      </c>
      <c r="X52" s="626" t="str">
        <f>IF('Data Export'!$D52="","", "")</f>
        <v/>
      </c>
      <c r="Y52" s="626" t="str">
        <f>IF('Data Export'!$D52="","", "")</f>
        <v/>
      </c>
      <c r="Z52" s="626" t="str">
        <f>IF('Data Export'!$D52="","", "")</f>
        <v/>
      </c>
      <c r="AA52" s="626" t="str">
        <f>IF('Data Export'!$D52="","", "")</f>
        <v/>
      </c>
      <c r="AB52" s="626" t="str">
        <f>IF('Data Export'!$D52="","", "")</f>
        <v/>
      </c>
      <c r="AC52" s="626" t="str">
        <f>IF('Data Export'!$D52="","", "")</f>
        <v/>
      </c>
      <c r="AD52" s="626" t="str">
        <f>IF('Data Export'!$D52="","", "")</f>
        <v/>
      </c>
      <c r="AE52" s="626" t="str">
        <f>IF('Data Export'!$D52="","", "")</f>
        <v/>
      </c>
      <c r="AF52" s="626" t="str">
        <f>IF('Data Export'!$D52="","", "")</f>
        <v/>
      </c>
      <c r="AG52" s="626" t="str">
        <f>IF('Data Export'!$D52="","", "")</f>
        <v/>
      </c>
      <c r="AH52" s="626" t="str">
        <f>IF('Data Export'!$D52="","", "")</f>
        <v/>
      </c>
      <c r="AI52" s="631" t="str">
        <f>IF('Data Export'!$D52="","",IF('Anti Sweat'!G17='Look Up Tables'!$D$3,"Low Temperature",IF('Anti Sweat'!G17='Look Up Tables'!$D$4,"Medium Temperature","Unknown")))</f>
        <v>Unknown</v>
      </c>
      <c r="AJ52" s="626" t="str">
        <f>IF('Data Export'!$D52="","", "")</f>
        <v/>
      </c>
      <c r="AK52" s="626" t="str">
        <f>IF('Data Export'!$D52="","", "")</f>
        <v/>
      </c>
      <c r="AL52" s="626"/>
      <c r="AM52" s="659" t="str">
        <f>IF('Data Export'!$D52="","", 'Anti Sweat'!P17)</f>
        <v/>
      </c>
      <c r="AN52" s="659" t="str">
        <f>IF('Data Export'!$D52="","", 'Anti Sweat'!O17)</f>
        <v/>
      </c>
      <c r="AO52" s="638" t="str">
        <f>IF('Data Export'!$D52="","", IFERROR(ROUND($F52/$D52, 2), ""))</f>
        <v/>
      </c>
      <c r="AP52" s="642">
        <f>IF('Data Export'!$D52="","",'Project Summary'!$C$11)</f>
        <v>0</v>
      </c>
      <c r="AQ52" s="654">
        <f>IF('Data Export'!$D52="","", 'Look Up Tables'!$C$167)</f>
        <v>3.4600000000000001E-5</v>
      </c>
      <c r="AR52" s="654">
        <f>IF('Data Export'!$D52="","", 'Look Up Tables'!$C$166)</f>
        <v>2.7399999999999999E-5</v>
      </c>
    </row>
    <row r="53" spans="1:44" ht="15" thickTop="1" x14ac:dyDescent="0.2">
      <c r="A53" s="620" t="str">
        <f>'Coil Defrost'!$B$3</f>
        <v>Evaporator Coil Defrost Control</v>
      </c>
      <c r="B53" s="621" t="s">
        <v>33</v>
      </c>
      <c r="C53" s="621">
        <v>51</v>
      </c>
      <c r="D53" s="632">
        <f>IF('Coil Defrost'!Q8&gt;0,'Coil Defrost'!H8,"")</f>
        <v>0</v>
      </c>
      <c r="E53" s="632" t="str">
        <f>IF($D53="","",IF('Coil Defrost'!G8="Freezer",'Look Up Tables'!$AS$56,'Look Up Tables'!$AS$55))</f>
        <v>EvapCoilDefCntrlCool</v>
      </c>
      <c r="F53" s="637" t="str">
        <f>IF('Data Export'!$D53="","",'Coil Defrost'!Q8)</f>
        <v/>
      </c>
      <c r="G53" s="643">
        <f>IF('Data Export'!D53="","", 'Project Summary'!$C$6)</f>
        <v>0</v>
      </c>
      <c r="H53" s="640" t="str">
        <f>IF('Data Export'!$D53="","",'Coil Defrost'!L8)</f>
        <v/>
      </c>
      <c r="I53" s="658" t="str">
        <f>IF('Data Export'!$D53="","", 'Coil Defrost'!M8)</f>
        <v/>
      </c>
      <c r="J53" s="632">
        <f>IF('Data Export'!$D53="","", 'Project Summary'!$J$1)</f>
        <v>5.01</v>
      </c>
      <c r="K53" s="632">
        <f>IF('Data Export'!$D53="","", 'Coil Defrost'!D8)</f>
        <v>0</v>
      </c>
      <c r="L53" s="632">
        <f>IF('Data Export'!$D53="","", 'Coil Defrost'!E8)</f>
        <v>0</v>
      </c>
      <c r="M53" s="632">
        <f>IF('Data Export'!$D53="","", 'Project Summary'!$C$13)</f>
        <v>0</v>
      </c>
      <c r="N53" s="621" t="str">
        <f>IF('Data Export'!$D53="","", "")</f>
        <v/>
      </c>
      <c r="O53" s="621" t="str">
        <f>IF('Data Export'!$D53="","", "")</f>
        <v/>
      </c>
      <c r="P53" s="632">
        <f>IF('Data Export'!$D53="","", IF('Coil Defrost'!G8="Refrigeration","Refrigerator",'Coil Defrost'!G8))</f>
        <v>0</v>
      </c>
      <c r="Q53" s="621" t="str">
        <f>IF('Data Export'!$D53="","", "")</f>
        <v/>
      </c>
      <c r="R53" s="621" t="str">
        <f>IF('Data Export'!$D53="","", "")</f>
        <v/>
      </c>
      <c r="S53" s="621" t="str">
        <f>IF('Data Export'!$D53="","", "")</f>
        <v/>
      </c>
      <c r="T53" s="621" t="str">
        <f>IF('Data Export'!$D53="","", "")</f>
        <v/>
      </c>
      <c r="U53" s="621" t="str">
        <f>IF('Data Export'!$D53="","", "")</f>
        <v/>
      </c>
      <c r="V53" s="621" t="str">
        <f>IF('Data Export'!$D53="","", "")</f>
        <v/>
      </c>
      <c r="W53" s="621" t="str">
        <f>IF('Data Export'!$D53="","", "")</f>
        <v/>
      </c>
      <c r="X53" s="621" t="str">
        <f>IF('Data Export'!$D53="","", "")</f>
        <v/>
      </c>
      <c r="Y53" s="621" t="str">
        <f>IF('Data Export'!$D53="","", "")</f>
        <v/>
      </c>
      <c r="Z53" s="621" t="str">
        <f>IF('Data Export'!$D53="","", "")</f>
        <v/>
      </c>
      <c r="AA53" s="621" t="str">
        <f>IF('Data Export'!$D53="","", "")</f>
        <v/>
      </c>
      <c r="AB53" s="621" t="str">
        <f>IF('Data Export'!$D53="","", "")</f>
        <v/>
      </c>
      <c r="AC53" s="621" t="str">
        <f>IF('Data Export'!$D53="","", "")</f>
        <v/>
      </c>
      <c r="AD53" s="621" t="str">
        <f>IF('Data Export'!$D53="","", "")</f>
        <v/>
      </c>
      <c r="AE53" s="621" t="str">
        <f>IF('Data Export'!$D53="","", "")</f>
        <v/>
      </c>
      <c r="AF53" s="621"/>
      <c r="AG53" s="621" t="str">
        <f>IF('Data Export'!$D53="","", "")</f>
        <v/>
      </c>
      <c r="AH53" s="621" t="str">
        <f>IF('Data Export'!$D53="","", "")</f>
        <v/>
      </c>
      <c r="AI53" s="632" t="str">
        <f>IF('Data Export'!$D43="","",IF('Coil Defrost'!G8='Look Up Tables'!$D$3,"Low Temperature",IF('Coil Defrost'!G8='Look Up Tables'!$D$4,"Medium Temperature","Unknown")))</f>
        <v>Unknown</v>
      </c>
      <c r="AJ53" s="621" t="str">
        <f>IF('Data Export'!$D53="","", "")</f>
        <v/>
      </c>
      <c r="AK53" s="621" t="str">
        <f>IF('Data Export'!$D53="","", "")</f>
        <v/>
      </c>
      <c r="AL53" s="621"/>
      <c r="AM53" s="658" t="str">
        <f>IF('Data Export'!$D53="","", 'Coil Defrost'!O8)</f>
        <v/>
      </c>
      <c r="AN53" s="658" t="str">
        <f>IF('Data Export'!$D53="","", 'Coil Defrost'!N8)</f>
        <v/>
      </c>
      <c r="AO53" s="637" t="str">
        <f>IF('Data Export'!$D53="","", IFERROR(ROUND($F53/$D53, 2), ""))</f>
        <v/>
      </c>
      <c r="AP53" s="643">
        <f>IF('Data Export'!$D53="","",'Project Summary'!$C$11)</f>
        <v>0</v>
      </c>
      <c r="AQ53" s="653">
        <f>IF('Data Export'!$D53="","", 'Look Up Tables'!$C$167)</f>
        <v>3.4600000000000001E-5</v>
      </c>
      <c r="AR53" s="653">
        <f>IF('Data Export'!$D53="","", 'Look Up Tables'!$C$166)</f>
        <v>2.7399999999999999E-5</v>
      </c>
    </row>
    <row r="54" spans="1:44" x14ac:dyDescent="0.2">
      <c r="A54" s="618" t="str">
        <f>'Coil Defrost'!$B$3</f>
        <v>Evaporator Coil Defrost Control</v>
      </c>
      <c r="B54" s="614" t="s">
        <v>33</v>
      </c>
      <c r="C54" s="614">
        <v>52</v>
      </c>
      <c r="D54" s="630">
        <f>IF('Coil Defrost'!Q9&gt;0,'Coil Defrost'!H9,"")</f>
        <v>0</v>
      </c>
      <c r="E54" s="630" t="str">
        <f>IF($D54="","",IF('Coil Defrost'!G9="Freezer",'Look Up Tables'!$AS$56,'Look Up Tables'!$AS$55))</f>
        <v>EvapCoilDefCntrlCool</v>
      </c>
      <c r="F54" s="636" t="str">
        <f>IF('Data Export'!$D54="","",'Coil Defrost'!Q9)</f>
        <v/>
      </c>
      <c r="G54" s="641">
        <f>IF('Data Export'!D54="","", 'Project Summary'!$C$6)</f>
        <v>0</v>
      </c>
      <c r="H54" s="635" t="str">
        <f>IF('Data Export'!$D54="","",'Coil Defrost'!L9)</f>
        <v/>
      </c>
      <c r="I54" s="644" t="str">
        <f>IF('Data Export'!$D54="","", 'Coil Defrost'!M9)</f>
        <v/>
      </c>
      <c r="J54" s="630">
        <f>IF('Data Export'!$D54="","", 'Project Summary'!$J$1)</f>
        <v>5.01</v>
      </c>
      <c r="K54" s="630">
        <f>IF('Data Export'!$D54="","", 'Coil Defrost'!D9)</f>
        <v>0</v>
      </c>
      <c r="L54" s="630">
        <f>IF('Data Export'!$D54="","", 'Coil Defrost'!E9)</f>
        <v>0</v>
      </c>
      <c r="M54" s="630">
        <f>IF('Data Export'!$D54="","", 'Project Summary'!$C$13)</f>
        <v>0</v>
      </c>
      <c r="N54" s="614" t="str">
        <f>IF('Data Export'!$D54="","", "")</f>
        <v/>
      </c>
      <c r="O54" s="614" t="str">
        <f>IF('Data Export'!$D54="","", "")</f>
        <v/>
      </c>
      <c r="P54" s="630">
        <f>IF('Data Export'!$D54="","", IF('Coil Defrost'!G9="Refrigeration","Refrigerator",'Coil Defrost'!G9))</f>
        <v>0</v>
      </c>
      <c r="Q54" s="614" t="str">
        <f>IF('Data Export'!$D54="","", "")</f>
        <v/>
      </c>
      <c r="R54" s="614" t="str">
        <f>IF('Data Export'!$D54="","", "")</f>
        <v/>
      </c>
      <c r="S54" s="614" t="str">
        <f>IF('Data Export'!$D54="","", "")</f>
        <v/>
      </c>
      <c r="T54" s="614" t="str">
        <f>IF('Data Export'!$D54="","", "")</f>
        <v/>
      </c>
      <c r="U54" s="614" t="str">
        <f>IF('Data Export'!$D54="","", "")</f>
        <v/>
      </c>
      <c r="V54" s="614" t="str">
        <f>IF('Data Export'!$D54="","", "")</f>
        <v/>
      </c>
      <c r="W54" s="614" t="str">
        <f>IF('Data Export'!$D54="","", "")</f>
        <v/>
      </c>
      <c r="X54" s="614" t="str">
        <f>IF('Data Export'!$D54="","", "")</f>
        <v/>
      </c>
      <c r="Y54" s="614" t="str">
        <f>IF('Data Export'!$D54="","", "")</f>
        <v/>
      </c>
      <c r="Z54" s="614" t="str">
        <f>IF('Data Export'!$D54="","", "")</f>
        <v/>
      </c>
      <c r="AA54" s="614" t="str">
        <f>IF('Data Export'!$D54="","", "")</f>
        <v/>
      </c>
      <c r="AB54" s="614" t="str">
        <f>IF('Data Export'!$D54="","", "")</f>
        <v/>
      </c>
      <c r="AC54" s="614" t="str">
        <f>IF('Data Export'!$D54="","", "")</f>
        <v/>
      </c>
      <c r="AD54" s="614" t="str">
        <f>IF('Data Export'!$D54="","", "")</f>
        <v/>
      </c>
      <c r="AE54" s="614" t="str">
        <f>IF('Data Export'!$D54="","", "")</f>
        <v/>
      </c>
      <c r="AF54" s="614"/>
      <c r="AG54" s="614" t="str">
        <f>IF('Data Export'!$D54="","", "")</f>
        <v/>
      </c>
      <c r="AH54" s="614" t="str">
        <f>IF('Data Export'!$D54="","", "")</f>
        <v/>
      </c>
      <c r="AI54" s="630" t="str">
        <f>IF('Data Export'!$D44="","",IF('Coil Defrost'!G9='Look Up Tables'!$D$3,"Low Temperature",IF('Coil Defrost'!G9='Look Up Tables'!$D$4,"Medium Temperature","Unknown")))</f>
        <v>Unknown</v>
      </c>
      <c r="AJ54" s="614" t="str">
        <f>IF('Data Export'!$D54="","", "")</f>
        <v/>
      </c>
      <c r="AK54" s="614" t="str">
        <f>IF('Data Export'!$D54="","", "")</f>
        <v/>
      </c>
      <c r="AL54" s="614"/>
      <c r="AM54" s="644" t="str">
        <f>IF('Data Export'!$D54="","", 'Coil Defrost'!O9)</f>
        <v/>
      </c>
      <c r="AN54" s="644" t="str">
        <f>IF('Data Export'!$D54="","", 'Coil Defrost'!N9)</f>
        <v/>
      </c>
      <c r="AO54" s="636" t="str">
        <f>IF('Data Export'!$D54="","", IFERROR(ROUND($F54/$D54, 2), ""))</f>
        <v/>
      </c>
      <c r="AP54" s="641">
        <f>IF('Data Export'!$D54="","",'Project Summary'!$C$11)</f>
        <v>0</v>
      </c>
      <c r="AQ54" s="652">
        <f>IF('Data Export'!$D54="","", 'Look Up Tables'!$C$167)</f>
        <v>3.4600000000000001E-5</v>
      </c>
      <c r="AR54" s="652">
        <f>IF('Data Export'!$D54="","", 'Look Up Tables'!$C$166)</f>
        <v>2.7399999999999999E-5</v>
      </c>
    </row>
    <row r="55" spans="1:44" x14ac:dyDescent="0.2">
      <c r="A55" s="618" t="str">
        <f>'Coil Defrost'!$B$3</f>
        <v>Evaporator Coil Defrost Control</v>
      </c>
      <c r="B55" s="614" t="s">
        <v>33</v>
      </c>
      <c r="C55" s="614">
        <v>53</v>
      </c>
      <c r="D55" s="630">
        <f>IF('Coil Defrost'!Q10&gt;0,'Coil Defrost'!H10,"")</f>
        <v>0</v>
      </c>
      <c r="E55" s="630" t="str">
        <f>IF($D55="","",IF('Coil Defrost'!G10="Freezer",'Look Up Tables'!$AS$56,'Look Up Tables'!$AS$55))</f>
        <v>EvapCoilDefCntrlCool</v>
      </c>
      <c r="F55" s="636" t="str">
        <f>IF('Data Export'!$D55="","",'Coil Defrost'!Q10)</f>
        <v/>
      </c>
      <c r="G55" s="641">
        <f>IF('Data Export'!D55="","", 'Project Summary'!$C$6)</f>
        <v>0</v>
      </c>
      <c r="H55" s="635" t="str">
        <f>IF('Data Export'!$D55="","",'Coil Defrost'!L10)</f>
        <v/>
      </c>
      <c r="I55" s="644" t="str">
        <f>IF('Data Export'!$D55="","", 'Coil Defrost'!M10)</f>
        <v/>
      </c>
      <c r="J55" s="630">
        <f>IF('Data Export'!$D55="","", 'Project Summary'!$J$1)</f>
        <v>5.01</v>
      </c>
      <c r="K55" s="630">
        <f>IF('Data Export'!$D55="","", 'Coil Defrost'!D10)</f>
        <v>0</v>
      </c>
      <c r="L55" s="630">
        <f>IF('Data Export'!$D55="","", 'Coil Defrost'!E10)</f>
        <v>0</v>
      </c>
      <c r="M55" s="630">
        <f>IF('Data Export'!$D55="","", 'Project Summary'!$C$13)</f>
        <v>0</v>
      </c>
      <c r="N55" s="614" t="str">
        <f>IF('Data Export'!$D55="","", "")</f>
        <v/>
      </c>
      <c r="O55" s="614" t="str">
        <f>IF('Data Export'!$D55="","", "")</f>
        <v/>
      </c>
      <c r="P55" s="630">
        <f>IF('Data Export'!$D55="","", IF('Coil Defrost'!G10="Refrigeration","Refrigerator",'Coil Defrost'!G10))</f>
        <v>0</v>
      </c>
      <c r="Q55" s="614" t="str">
        <f>IF('Data Export'!$D55="","", "")</f>
        <v/>
      </c>
      <c r="R55" s="614" t="str">
        <f>IF('Data Export'!$D55="","", "")</f>
        <v/>
      </c>
      <c r="S55" s="614" t="str">
        <f>IF('Data Export'!$D55="","", "")</f>
        <v/>
      </c>
      <c r="T55" s="614" t="str">
        <f>IF('Data Export'!$D55="","", "")</f>
        <v/>
      </c>
      <c r="U55" s="614" t="str">
        <f>IF('Data Export'!$D55="","", "")</f>
        <v/>
      </c>
      <c r="V55" s="614" t="str">
        <f>IF('Data Export'!$D55="","", "")</f>
        <v/>
      </c>
      <c r="W55" s="614" t="str">
        <f>IF('Data Export'!$D55="","", "")</f>
        <v/>
      </c>
      <c r="X55" s="614" t="str">
        <f>IF('Data Export'!$D55="","", "")</f>
        <v/>
      </c>
      <c r="Y55" s="614" t="str">
        <f>IF('Data Export'!$D55="","", "")</f>
        <v/>
      </c>
      <c r="Z55" s="614" t="str">
        <f>IF('Data Export'!$D55="","", "")</f>
        <v/>
      </c>
      <c r="AA55" s="614" t="str">
        <f>IF('Data Export'!$D55="","", "")</f>
        <v/>
      </c>
      <c r="AB55" s="614" t="str">
        <f>IF('Data Export'!$D55="","", "")</f>
        <v/>
      </c>
      <c r="AC55" s="614" t="str">
        <f>IF('Data Export'!$D55="","", "")</f>
        <v/>
      </c>
      <c r="AD55" s="614" t="str">
        <f>IF('Data Export'!$D55="","", "")</f>
        <v/>
      </c>
      <c r="AE55" s="614" t="str">
        <f>IF('Data Export'!$D55="","", "")</f>
        <v/>
      </c>
      <c r="AF55" s="614"/>
      <c r="AG55" s="614" t="str">
        <f>IF('Data Export'!$D55="","", "")</f>
        <v/>
      </c>
      <c r="AH55" s="614" t="str">
        <f>IF('Data Export'!$D55="","", "")</f>
        <v/>
      </c>
      <c r="AI55" s="630" t="str">
        <f>IF('Data Export'!$D45="","",IF('Coil Defrost'!G10='Look Up Tables'!$D$3,"Low Temperature",IF('Coil Defrost'!G10='Look Up Tables'!$D$4,"Medium Temperature","Unknown")))</f>
        <v>Unknown</v>
      </c>
      <c r="AJ55" s="614" t="str">
        <f>IF('Data Export'!$D55="","", "")</f>
        <v/>
      </c>
      <c r="AK55" s="614" t="str">
        <f>IF('Data Export'!$D55="","", "")</f>
        <v/>
      </c>
      <c r="AL55" s="614"/>
      <c r="AM55" s="644" t="str">
        <f>IF('Data Export'!$D55="","", 'Coil Defrost'!O10)</f>
        <v/>
      </c>
      <c r="AN55" s="644" t="str">
        <f>IF('Data Export'!$D55="","", 'Coil Defrost'!N10)</f>
        <v/>
      </c>
      <c r="AO55" s="636" t="str">
        <f>IF('Data Export'!$D55="","", IFERROR(ROUND($F55/$D55, 2), ""))</f>
        <v/>
      </c>
      <c r="AP55" s="641">
        <f>IF('Data Export'!$D55="","",'Project Summary'!$C$11)</f>
        <v>0</v>
      </c>
      <c r="AQ55" s="652">
        <f>IF('Data Export'!$D55="","", 'Look Up Tables'!$C$167)</f>
        <v>3.4600000000000001E-5</v>
      </c>
      <c r="AR55" s="652">
        <f>IF('Data Export'!$D55="","", 'Look Up Tables'!$C$166)</f>
        <v>2.7399999999999999E-5</v>
      </c>
    </row>
    <row r="56" spans="1:44" x14ac:dyDescent="0.2">
      <c r="A56" s="618" t="str">
        <f>'Coil Defrost'!$B$3</f>
        <v>Evaporator Coil Defrost Control</v>
      </c>
      <c r="B56" s="614" t="s">
        <v>33</v>
      </c>
      <c r="C56" s="614">
        <v>54</v>
      </c>
      <c r="D56" s="630">
        <f>IF('Coil Defrost'!Q11&gt;0,'Coil Defrost'!H11,"")</f>
        <v>0</v>
      </c>
      <c r="E56" s="630" t="str">
        <f>IF($D56="","",IF('Coil Defrost'!G11="Freezer",'Look Up Tables'!$AS$56,'Look Up Tables'!$AS$55))</f>
        <v>EvapCoilDefCntrlCool</v>
      </c>
      <c r="F56" s="636" t="str">
        <f>IF('Data Export'!$D56="","",'Coil Defrost'!Q11)</f>
        <v/>
      </c>
      <c r="G56" s="641">
        <f>IF('Data Export'!D56="","", 'Project Summary'!$C$6)</f>
        <v>0</v>
      </c>
      <c r="H56" s="635" t="str">
        <f>IF('Data Export'!$D56="","",'Coil Defrost'!L11)</f>
        <v/>
      </c>
      <c r="I56" s="644" t="str">
        <f>IF('Data Export'!$D56="","", 'Coil Defrost'!M11)</f>
        <v/>
      </c>
      <c r="J56" s="630">
        <f>IF('Data Export'!$D56="","", 'Project Summary'!$J$1)</f>
        <v>5.01</v>
      </c>
      <c r="K56" s="630">
        <f>IF('Data Export'!$D56="","", 'Coil Defrost'!D11)</f>
        <v>0</v>
      </c>
      <c r="L56" s="630">
        <f>IF('Data Export'!$D56="","", 'Coil Defrost'!E11)</f>
        <v>0</v>
      </c>
      <c r="M56" s="630">
        <f>IF('Data Export'!$D56="","", 'Project Summary'!$C$13)</f>
        <v>0</v>
      </c>
      <c r="N56" s="614" t="str">
        <f>IF('Data Export'!$D56="","", "")</f>
        <v/>
      </c>
      <c r="O56" s="614" t="str">
        <f>IF('Data Export'!$D56="","", "")</f>
        <v/>
      </c>
      <c r="P56" s="630">
        <f>IF('Data Export'!$D56="","", IF('Coil Defrost'!G11="Refrigeration","Refrigerator",'Coil Defrost'!G11))</f>
        <v>0</v>
      </c>
      <c r="Q56" s="614" t="str">
        <f>IF('Data Export'!$D56="","", "")</f>
        <v/>
      </c>
      <c r="R56" s="614" t="str">
        <f>IF('Data Export'!$D56="","", "")</f>
        <v/>
      </c>
      <c r="S56" s="614" t="str">
        <f>IF('Data Export'!$D56="","", "")</f>
        <v/>
      </c>
      <c r="T56" s="614" t="str">
        <f>IF('Data Export'!$D56="","", "")</f>
        <v/>
      </c>
      <c r="U56" s="614" t="str">
        <f>IF('Data Export'!$D56="","", "")</f>
        <v/>
      </c>
      <c r="V56" s="614" t="str">
        <f>IF('Data Export'!$D56="","", "")</f>
        <v/>
      </c>
      <c r="W56" s="614" t="str">
        <f>IF('Data Export'!$D56="","", "")</f>
        <v/>
      </c>
      <c r="X56" s="614" t="str">
        <f>IF('Data Export'!$D56="","", "")</f>
        <v/>
      </c>
      <c r="Y56" s="614" t="str">
        <f>IF('Data Export'!$D56="","", "")</f>
        <v/>
      </c>
      <c r="Z56" s="614" t="str">
        <f>IF('Data Export'!$D56="","", "")</f>
        <v/>
      </c>
      <c r="AA56" s="614" t="str">
        <f>IF('Data Export'!$D56="","", "")</f>
        <v/>
      </c>
      <c r="AB56" s="614" t="str">
        <f>IF('Data Export'!$D56="","", "")</f>
        <v/>
      </c>
      <c r="AC56" s="614" t="str">
        <f>IF('Data Export'!$D56="","", "")</f>
        <v/>
      </c>
      <c r="AD56" s="614" t="str">
        <f>IF('Data Export'!$D56="","", "")</f>
        <v/>
      </c>
      <c r="AE56" s="614" t="str">
        <f>IF('Data Export'!$D56="","", "")</f>
        <v/>
      </c>
      <c r="AF56" s="614"/>
      <c r="AG56" s="614" t="str">
        <f>IF('Data Export'!$D56="","", "")</f>
        <v/>
      </c>
      <c r="AH56" s="614" t="str">
        <f>IF('Data Export'!$D56="","", "")</f>
        <v/>
      </c>
      <c r="AI56" s="630" t="str">
        <f>IF('Data Export'!$D46="","",IF('Coil Defrost'!G11='Look Up Tables'!$D$3,"Low Temperature",IF('Coil Defrost'!G11='Look Up Tables'!$D$4,"Medium Temperature","Unknown")))</f>
        <v>Unknown</v>
      </c>
      <c r="AJ56" s="614" t="str">
        <f>IF('Data Export'!$D56="","", "")</f>
        <v/>
      </c>
      <c r="AK56" s="614" t="str">
        <f>IF('Data Export'!$D56="","", "")</f>
        <v/>
      </c>
      <c r="AL56" s="614"/>
      <c r="AM56" s="644" t="str">
        <f>IF('Data Export'!$D56="","", 'Coil Defrost'!O11)</f>
        <v/>
      </c>
      <c r="AN56" s="644" t="str">
        <f>IF('Data Export'!$D56="","", 'Coil Defrost'!N11)</f>
        <v/>
      </c>
      <c r="AO56" s="636" t="str">
        <f>IF('Data Export'!$D56="","", IFERROR(ROUND($F56/$D56, 2), ""))</f>
        <v/>
      </c>
      <c r="AP56" s="641">
        <f>IF('Data Export'!$D56="","",'Project Summary'!$C$11)</f>
        <v>0</v>
      </c>
      <c r="AQ56" s="652">
        <f>IF('Data Export'!$D56="","", 'Look Up Tables'!$C$167)</f>
        <v>3.4600000000000001E-5</v>
      </c>
      <c r="AR56" s="652">
        <f>IF('Data Export'!$D56="","", 'Look Up Tables'!$C$166)</f>
        <v>2.7399999999999999E-5</v>
      </c>
    </row>
    <row r="57" spans="1:44" x14ac:dyDescent="0.2">
      <c r="A57" s="618" t="str">
        <f>'Coil Defrost'!$B$3</f>
        <v>Evaporator Coil Defrost Control</v>
      </c>
      <c r="B57" s="614" t="s">
        <v>33</v>
      </c>
      <c r="C57" s="614">
        <v>55</v>
      </c>
      <c r="D57" s="630">
        <f>IF('Coil Defrost'!Q12&gt;0,'Coil Defrost'!H12,"")</f>
        <v>0</v>
      </c>
      <c r="E57" s="630" t="str">
        <f>IF($D57="","",IF('Coil Defrost'!G12="Freezer",'Look Up Tables'!$AS$56,'Look Up Tables'!$AS$55))</f>
        <v>EvapCoilDefCntrlCool</v>
      </c>
      <c r="F57" s="636" t="str">
        <f>IF('Data Export'!$D57="","",'Coil Defrost'!Q12)</f>
        <v/>
      </c>
      <c r="G57" s="641">
        <f>IF('Data Export'!D57="","", 'Project Summary'!$C$6)</f>
        <v>0</v>
      </c>
      <c r="H57" s="635" t="str">
        <f>IF('Data Export'!$D57="","",'Coil Defrost'!L12)</f>
        <v/>
      </c>
      <c r="I57" s="644" t="str">
        <f>IF('Data Export'!$D57="","", 'Coil Defrost'!M12)</f>
        <v/>
      </c>
      <c r="J57" s="630">
        <f>IF('Data Export'!$D57="","", 'Project Summary'!$J$1)</f>
        <v>5.01</v>
      </c>
      <c r="K57" s="630">
        <f>IF('Data Export'!$D57="","", 'Coil Defrost'!D12)</f>
        <v>0</v>
      </c>
      <c r="L57" s="630">
        <f>IF('Data Export'!$D57="","", 'Coil Defrost'!E12)</f>
        <v>0</v>
      </c>
      <c r="M57" s="630">
        <f>IF('Data Export'!$D57="","", 'Project Summary'!$C$13)</f>
        <v>0</v>
      </c>
      <c r="N57" s="614" t="str">
        <f>IF('Data Export'!$D57="","", "")</f>
        <v/>
      </c>
      <c r="O57" s="614" t="str">
        <f>IF('Data Export'!$D57="","", "")</f>
        <v/>
      </c>
      <c r="P57" s="630">
        <f>IF('Data Export'!$D57="","", IF('Coil Defrost'!G12="Refrigeration","Refrigerator",'Coil Defrost'!G12))</f>
        <v>0</v>
      </c>
      <c r="Q57" s="614" t="str">
        <f>IF('Data Export'!$D57="","", "")</f>
        <v/>
      </c>
      <c r="R57" s="614" t="str">
        <f>IF('Data Export'!$D57="","", "")</f>
        <v/>
      </c>
      <c r="S57" s="614" t="str">
        <f>IF('Data Export'!$D57="","", "")</f>
        <v/>
      </c>
      <c r="T57" s="614" t="str">
        <f>IF('Data Export'!$D57="","", "")</f>
        <v/>
      </c>
      <c r="U57" s="614" t="str">
        <f>IF('Data Export'!$D57="","", "")</f>
        <v/>
      </c>
      <c r="V57" s="614" t="str">
        <f>IF('Data Export'!$D57="","", "")</f>
        <v/>
      </c>
      <c r="W57" s="614" t="str">
        <f>IF('Data Export'!$D57="","", "")</f>
        <v/>
      </c>
      <c r="X57" s="614" t="str">
        <f>IF('Data Export'!$D57="","", "")</f>
        <v/>
      </c>
      <c r="Y57" s="614" t="str">
        <f>IF('Data Export'!$D57="","", "")</f>
        <v/>
      </c>
      <c r="Z57" s="614" t="str">
        <f>IF('Data Export'!$D57="","", "")</f>
        <v/>
      </c>
      <c r="AA57" s="614" t="str">
        <f>IF('Data Export'!$D57="","", "")</f>
        <v/>
      </c>
      <c r="AB57" s="614" t="str">
        <f>IF('Data Export'!$D57="","", "")</f>
        <v/>
      </c>
      <c r="AC57" s="614" t="str">
        <f>IF('Data Export'!$D57="","", "")</f>
        <v/>
      </c>
      <c r="AD57" s="614" t="str">
        <f>IF('Data Export'!$D57="","", "")</f>
        <v/>
      </c>
      <c r="AE57" s="614" t="str">
        <f>IF('Data Export'!$D57="","", "")</f>
        <v/>
      </c>
      <c r="AF57" s="614"/>
      <c r="AG57" s="614" t="str">
        <f>IF('Data Export'!$D57="","", "")</f>
        <v/>
      </c>
      <c r="AH57" s="614" t="str">
        <f>IF('Data Export'!$D57="","", "")</f>
        <v/>
      </c>
      <c r="AI57" s="630" t="str">
        <f>IF('Data Export'!$D47="","",IF('Coil Defrost'!G12='Look Up Tables'!$D$3,"Low Temperature",IF('Coil Defrost'!G12='Look Up Tables'!$D$4,"Medium Temperature","Unknown")))</f>
        <v>Unknown</v>
      </c>
      <c r="AJ57" s="614" t="str">
        <f>IF('Data Export'!$D57="","", "")</f>
        <v/>
      </c>
      <c r="AK57" s="614" t="str">
        <f>IF('Data Export'!$D57="","", "")</f>
        <v/>
      </c>
      <c r="AL57" s="614"/>
      <c r="AM57" s="644" t="str">
        <f>IF('Data Export'!$D57="","", 'Coil Defrost'!O12)</f>
        <v/>
      </c>
      <c r="AN57" s="644" t="str">
        <f>IF('Data Export'!$D57="","", 'Coil Defrost'!N12)</f>
        <v/>
      </c>
      <c r="AO57" s="636" t="str">
        <f>IF('Data Export'!$D57="","", IFERROR(ROUND($F57/$D57, 2), ""))</f>
        <v/>
      </c>
      <c r="AP57" s="641">
        <f>IF('Data Export'!$D57="","",'Project Summary'!$C$11)</f>
        <v>0</v>
      </c>
      <c r="AQ57" s="652">
        <f>IF('Data Export'!$D57="","", 'Look Up Tables'!$C$167)</f>
        <v>3.4600000000000001E-5</v>
      </c>
      <c r="AR57" s="652">
        <f>IF('Data Export'!$D57="","", 'Look Up Tables'!$C$166)</f>
        <v>2.7399999999999999E-5</v>
      </c>
    </row>
    <row r="58" spans="1:44" x14ac:dyDescent="0.2">
      <c r="A58" s="618" t="str">
        <f>'Coil Defrost'!$B$3</f>
        <v>Evaporator Coil Defrost Control</v>
      </c>
      <c r="B58" s="614" t="s">
        <v>33</v>
      </c>
      <c r="C58" s="614">
        <v>56</v>
      </c>
      <c r="D58" s="630">
        <f>IF('Coil Defrost'!Q13&gt;0,'Coil Defrost'!H13,"")</f>
        <v>0</v>
      </c>
      <c r="E58" s="630" t="str">
        <f>IF($D58="","",IF('Coil Defrost'!G13="Freezer",'Look Up Tables'!$AS$56,'Look Up Tables'!$AS$55))</f>
        <v>EvapCoilDefCntrlCool</v>
      </c>
      <c r="F58" s="636" t="str">
        <f>IF('Data Export'!$D58="","",'Coil Defrost'!Q13)</f>
        <v/>
      </c>
      <c r="G58" s="641">
        <f>IF('Data Export'!D58="","", 'Project Summary'!$C$6)</f>
        <v>0</v>
      </c>
      <c r="H58" s="635" t="str">
        <f>IF('Data Export'!$D58="","",'Coil Defrost'!L13)</f>
        <v/>
      </c>
      <c r="I58" s="644" t="str">
        <f>IF('Data Export'!$D58="","", 'Coil Defrost'!M13)</f>
        <v/>
      </c>
      <c r="J58" s="630">
        <f>IF('Data Export'!$D58="","", 'Project Summary'!$J$1)</f>
        <v>5.01</v>
      </c>
      <c r="K58" s="630">
        <f>IF('Data Export'!$D58="","", 'Coil Defrost'!D13)</f>
        <v>0</v>
      </c>
      <c r="L58" s="630">
        <f>IF('Data Export'!$D58="","", 'Coil Defrost'!E13)</f>
        <v>0</v>
      </c>
      <c r="M58" s="630">
        <f>IF('Data Export'!$D58="","", 'Project Summary'!$C$13)</f>
        <v>0</v>
      </c>
      <c r="N58" s="614" t="str">
        <f>IF('Data Export'!$D58="","", "")</f>
        <v/>
      </c>
      <c r="O58" s="614" t="str">
        <f>IF('Data Export'!$D58="","", "")</f>
        <v/>
      </c>
      <c r="P58" s="630">
        <f>IF('Data Export'!$D58="","", IF('Coil Defrost'!G13="Refrigeration","Refrigerator",'Coil Defrost'!G13))</f>
        <v>0</v>
      </c>
      <c r="Q58" s="614" t="str">
        <f>IF('Data Export'!$D58="","", "")</f>
        <v/>
      </c>
      <c r="R58" s="614" t="str">
        <f>IF('Data Export'!$D58="","", "")</f>
        <v/>
      </c>
      <c r="S58" s="614" t="str">
        <f>IF('Data Export'!$D58="","", "")</f>
        <v/>
      </c>
      <c r="T58" s="614" t="str">
        <f>IF('Data Export'!$D58="","", "")</f>
        <v/>
      </c>
      <c r="U58" s="614" t="str">
        <f>IF('Data Export'!$D58="","", "")</f>
        <v/>
      </c>
      <c r="V58" s="614" t="str">
        <f>IF('Data Export'!$D58="","", "")</f>
        <v/>
      </c>
      <c r="W58" s="614" t="str">
        <f>IF('Data Export'!$D58="","", "")</f>
        <v/>
      </c>
      <c r="X58" s="614" t="str">
        <f>IF('Data Export'!$D58="","", "")</f>
        <v/>
      </c>
      <c r="Y58" s="614" t="str">
        <f>IF('Data Export'!$D58="","", "")</f>
        <v/>
      </c>
      <c r="Z58" s="614" t="str">
        <f>IF('Data Export'!$D58="","", "")</f>
        <v/>
      </c>
      <c r="AA58" s="614" t="str">
        <f>IF('Data Export'!$D58="","", "")</f>
        <v/>
      </c>
      <c r="AB58" s="614" t="str">
        <f>IF('Data Export'!$D58="","", "")</f>
        <v/>
      </c>
      <c r="AC58" s="614" t="str">
        <f>IF('Data Export'!$D58="","", "")</f>
        <v/>
      </c>
      <c r="AD58" s="614" t="str">
        <f>IF('Data Export'!$D58="","", "")</f>
        <v/>
      </c>
      <c r="AE58" s="614" t="str">
        <f>IF('Data Export'!$D58="","", "")</f>
        <v/>
      </c>
      <c r="AF58" s="614"/>
      <c r="AG58" s="614" t="str">
        <f>IF('Data Export'!$D58="","", "")</f>
        <v/>
      </c>
      <c r="AH58" s="614" t="str">
        <f>IF('Data Export'!$D58="","", "")</f>
        <v/>
      </c>
      <c r="AI58" s="630" t="str">
        <f>IF('Data Export'!$D48="","",IF('Coil Defrost'!G13='Look Up Tables'!$D$3,"Low Temperature",IF('Coil Defrost'!G13='Look Up Tables'!$D$4,"Medium Temperature","Unknown")))</f>
        <v>Unknown</v>
      </c>
      <c r="AJ58" s="614" t="str">
        <f>IF('Data Export'!$D58="","", "")</f>
        <v/>
      </c>
      <c r="AK58" s="614" t="str">
        <f>IF('Data Export'!$D58="","", "")</f>
        <v/>
      </c>
      <c r="AL58" s="614"/>
      <c r="AM58" s="644" t="str">
        <f>IF('Data Export'!$D58="","", 'Coil Defrost'!O13)</f>
        <v/>
      </c>
      <c r="AN58" s="644" t="str">
        <f>IF('Data Export'!$D58="","", 'Coil Defrost'!N13)</f>
        <v/>
      </c>
      <c r="AO58" s="636" t="str">
        <f>IF('Data Export'!$D58="","", IFERROR(ROUND($F58/$D58, 2), ""))</f>
        <v/>
      </c>
      <c r="AP58" s="641">
        <f>IF('Data Export'!$D58="","",'Project Summary'!$C$11)</f>
        <v>0</v>
      </c>
      <c r="AQ58" s="652">
        <f>IF('Data Export'!$D58="","", 'Look Up Tables'!$C$167)</f>
        <v>3.4600000000000001E-5</v>
      </c>
      <c r="AR58" s="652">
        <f>IF('Data Export'!$D58="","", 'Look Up Tables'!$C$166)</f>
        <v>2.7399999999999999E-5</v>
      </c>
    </row>
    <row r="59" spans="1:44" x14ac:dyDescent="0.2">
      <c r="A59" s="618" t="str">
        <f>'Coil Defrost'!$B$3</f>
        <v>Evaporator Coil Defrost Control</v>
      </c>
      <c r="B59" s="614" t="s">
        <v>33</v>
      </c>
      <c r="C59" s="614">
        <v>57</v>
      </c>
      <c r="D59" s="630">
        <f>IF('Coil Defrost'!Q14&gt;0,'Coil Defrost'!H14,"")</f>
        <v>0</v>
      </c>
      <c r="E59" s="630" t="str">
        <f>IF($D59="","",IF('Coil Defrost'!G14="Freezer",'Look Up Tables'!$AS$56,'Look Up Tables'!$AS$55))</f>
        <v>EvapCoilDefCntrlCool</v>
      </c>
      <c r="F59" s="636" t="str">
        <f>IF('Data Export'!$D59="","",'Coil Defrost'!Q14)</f>
        <v/>
      </c>
      <c r="G59" s="641">
        <f>IF('Data Export'!D59="","", 'Project Summary'!$C$6)</f>
        <v>0</v>
      </c>
      <c r="H59" s="635" t="str">
        <f>IF('Data Export'!$D59="","",'Coil Defrost'!L14)</f>
        <v/>
      </c>
      <c r="I59" s="644" t="str">
        <f>IF('Data Export'!$D59="","", 'Coil Defrost'!M14)</f>
        <v/>
      </c>
      <c r="J59" s="630">
        <f>IF('Data Export'!$D59="","", 'Project Summary'!$J$1)</f>
        <v>5.01</v>
      </c>
      <c r="K59" s="630">
        <f>IF('Data Export'!$D59="","", 'Coil Defrost'!D14)</f>
        <v>0</v>
      </c>
      <c r="L59" s="630">
        <f>IF('Data Export'!$D59="","", 'Coil Defrost'!E14)</f>
        <v>0</v>
      </c>
      <c r="M59" s="630">
        <f>IF('Data Export'!$D59="","", 'Project Summary'!$C$13)</f>
        <v>0</v>
      </c>
      <c r="N59" s="614" t="str">
        <f>IF('Data Export'!$D59="","", "")</f>
        <v/>
      </c>
      <c r="O59" s="614" t="str">
        <f>IF('Data Export'!$D59="","", "")</f>
        <v/>
      </c>
      <c r="P59" s="630">
        <f>IF('Data Export'!$D59="","", IF('Coil Defrost'!G14="Refrigeration","Refrigerator",'Coil Defrost'!G14))</f>
        <v>0</v>
      </c>
      <c r="Q59" s="614" t="str">
        <f>IF('Data Export'!$D59="","", "")</f>
        <v/>
      </c>
      <c r="R59" s="614" t="str">
        <f>IF('Data Export'!$D59="","", "")</f>
        <v/>
      </c>
      <c r="S59" s="614" t="str">
        <f>IF('Data Export'!$D59="","", "")</f>
        <v/>
      </c>
      <c r="T59" s="614" t="str">
        <f>IF('Data Export'!$D59="","", "")</f>
        <v/>
      </c>
      <c r="U59" s="614" t="str">
        <f>IF('Data Export'!$D59="","", "")</f>
        <v/>
      </c>
      <c r="V59" s="614" t="str">
        <f>IF('Data Export'!$D59="","", "")</f>
        <v/>
      </c>
      <c r="W59" s="614" t="str">
        <f>IF('Data Export'!$D59="","", "")</f>
        <v/>
      </c>
      <c r="X59" s="614" t="str">
        <f>IF('Data Export'!$D59="","", "")</f>
        <v/>
      </c>
      <c r="Y59" s="614" t="str">
        <f>IF('Data Export'!$D59="","", "")</f>
        <v/>
      </c>
      <c r="Z59" s="614" t="str">
        <f>IF('Data Export'!$D59="","", "")</f>
        <v/>
      </c>
      <c r="AA59" s="614" t="str">
        <f>IF('Data Export'!$D59="","", "")</f>
        <v/>
      </c>
      <c r="AB59" s="614" t="str">
        <f>IF('Data Export'!$D59="","", "")</f>
        <v/>
      </c>
      <c r="AC59" s="614" t="str">
        <f>IF('Data Export'!$D59="","", "")</f>
        <v/>
      </c>
      <c r="AD59" s="614" t="str">
        <f>IF('Data Export'!$D59="","", "")</f>
        <v/>
      </c>
      <c r="AE59" s="614" t="str">
        <f>IF('Data Export'!$D59="","", "")</f>
        <v/>
      </c>
      <c r="AF59" s="614"/>
      <c r="AG59" s="614" t="str">
        <f>IF('Data Export'!$D59="","", "")</f>
        <v/>
      </c>
      <c r="AH59" s="614" t="str">
        <f>IF('Data Export'!$D59="","", "")</f>
        <v/>
      </c>
      <c r="AI59" s="630" t="str">
        <f>IF('Data Export'!$D49="","",IF('Coil Defrost'!G14='Look Up Tables'!$D$3,"Low Temperature",IF('Coil Defrost'!G14='Look Up Tables'!$D$4,"Medium Temperature","Unknown")))</f>
        <v>Unknown</v>
      </c>
      <c r="AJ59" s="614" t="str">
        <f>IF('Data Export'!$D59="","", "")</f>
        <v/>
      </c>
      <c r="AK59" s="614" t="str">
        <f>IF('Data Export'!$D59="","", "")</f>
        <v/>
      </c>
      <c r="AL59" s="614"/>
      <c r="AM59" s="644" t="str">
        <f>IF('Data Export'!$D59="","", 'Coil Defrost'!O14)</f>
        <v/>
      </c>
      <c r="AN59" s="644" t="str">
        <f>IF('Data Export'!$D59="","", 'Coil Defrost'!N14)</f>
        <v/>
      </c>
      <c r="AO59" s="636" t="str">
        <f>IF('Data Export'!$D59="","", IFERROR(ROUND($F59/$D59, 2), ""))</f>
        <v/>
      </c>
      <c r="AP59" s="641">
        <f>IF('Data Export'!$D59="","",'Project Summary'!$C$11)</f>
        <v>0</v>
      </c>
      <c r="AQ59" s="652">
        <f>IF('Data Export'!$D59="","", 'Look Up Tables'!$C$167)</f>
        <v>3.4600000000000001E-5</v>
      </c>
      <c r="AR59" s="652">
        <f>IF('Data Export'!$D59="","", 'Look Up Tables'!$C$166)</f>
        <v>2.7399999999999999E-5</v>
      </c>
    </row>
    <row r="60" spans="1:44" x14ac:dyDescent="0.2">
      <c r="A60" s="618" t="str">
        <f>'Coil Defrost'!$B$3</f>
        <v>Evaporator Coil Defrost Control</v>
      </c>
      <c r="B60" s="614" t="s">
        <v>33</v>
      </c>
      <c r="C60" s="614">
        <v>58</v>
      </c>
      <c r="D60" s="630">
        <f>IF('Coil Defrost'!Q15&gt;0,'Coil Defrost'!H15,"")</f>
        <v>0</v>
      </c>
      <c r="E60" s="630" t="str">
        <f>IF($D60="","",IF('Coil Defrost'!G15="Freezer",'Look Up Tables'!$AS$56,'Look Up Tables'!$AS$55))</f>
        <v>EvapCoilDefCntrlCool</v>
      </c>
      <c r="F60" s="636" t="str">
        <f>IF('Data Export'!$D60="","",'Coil Defrost'!Q15)</f>
        <v/>
      </c>
      <c r="G60" s="641">
        <f>IF('Data Export'!D60="","", 'Project Summary'!$C$6)</f>
        <v>0</v>
      </c>
      <c r="H60" s="635" t="str">
        <f>IF('Data Export'!$D60="","",'Coil Defrost'!L15)</f>
        <v/>
      </c>
      <c r="I60" s="644" t="str">
        <f>IF('Data Export'!$D60="","", 'Coil Defrost'!M15)</f>
        <v/>
      </c>
      <c r="J60" s="630">
        <f>IF('Data Export'!$D60="","", 'Project Summary'!$J$1)</f>
        <v>5.01</v>
      </c>
      <c r="K60" s="630">
        <f>IF('Data Export'!$D60="","", 'Coil Defrost'!D15)</f>
        <v>0</v>
      </c>
      <c r="L60" s="630">
        <f>IF('Data Export'!$D60="","", 'Coil Defrost'!E15)</f>
        <v>0</v>
      </c>
      <c r="M60" s="630">
        <f>IF('Data Export'!$D60="","", 'Project Summary'!$C$13)</f>
        <v>0</v>
      </c>
      <c r="N60" s="614" t="str">
        <f>IF('Data Export'!$D60="","", "")</f>
        <v/>
      </c>
      <c r="O60" s="614" t="str">
        <f>IF('Data Export'!$D60="","", "")</f>
        <v/>
      </c>
      <c r="P60" s="630">
        <f>IF('Data Export'!$D60="","", IF('Coil Defrost'!G15="Refrigeration","Refrigerator",'Coil Defrost'!G15))</f>
        <v>0</v>
      </c>
      <c r="Q60" s="614" t="str">
        <f>IF('Data Export'!$D60="","", "")</f>
        <v/>
      </c>
      <c r="R60" s="614" t="str">
        <f>IF('Data Export'!$D60="","", "")</f>
        <v/>
      </c>
      <c r="S60" s="614" t="str">
        <f>IF('Data Export'!$D60="","", "")</f>
        <v/>
      </c>
      <c r="T60" s="614" t="str">
        <f>IF('Data Export'!$D60="","", "")</f>
        <v/>
      </c>
      <c r="U60" s="614" t="str">
        <f>IF('Data Export'!$D60="","", "")</f>
        <v/>
      </c>
      <c r="V60" s="614" t="str">
        <f>IF('Data Export'!$D60="","", "")</f>
        <v/>
      </c>
      <c r="W60" s="614" t="str">
        <f>IF('Data Export'!$D60="","", "")</f>
        <v/>
      </c>
      <c r="X60" s="614" t="str">
        <f>IF('Data Export'!$D60="","", "")</f>
        <v/>
      </c>
      <c r="Y60" s="614" t="str">
        <f>IF('Data Export'!$D60="","", "")</f>
        <v/>
      </c>
      <c r="Z60" s="614" t="str">
        <f>IF('Data Export'!$D60="","", "")</f>
        <v/>
      </c>
      <c r="AA60" s="614" t="str">
        <f>IF('Data Export'!$D60="","", "")</f>
        <v/>
      </c>
      <c r="AB60" s="614" t="str">
        <f>IF('Data Export'!$D60="","", "")</f>
        <v/>
      </c>
      <c r="AC60" s="614" t="str">
        <f>IF('Data Export'!$D60="","", "")</f>
        <v/>
      </c>
      <c r="AD60" s="614" t="str">
        <f>IF('Data Export'!$D60="","", "")</f>
        <v/>
      </c>
      <c r="AE60" s="614" t="str">
        <f>IF('Data Export'!$D60="","", "")</f>
        <v/>
      </c>
      <c r="AF60" s="614"/>
      <c r="AG60" s="614" t="str">
        <f>IF('Data Export'!$D60="","", "")</f>
        <v/>
      </c>
      <c r="AH60" s="614" t="str">
        <f>IF('Data Export'!$D60="","", "")</f>
        <v/>
      </c>
      <c r="AI60" s="630" t="str">
        <f>IF('Data Export'!$D50="","",IF('Coil Defrost'!G15='Look Up Tables'!$D$3,"Low Temperature",IF('Coil Defrost'!G15='Look Up Tables'!$D$4,"Medium Temperature","Unknown")))</f>
        <v>Unknown</v>
      </c>
      <c r="AJ60" s="614" t="str">
        <f>IF('Data Export'!$D60="","", "")</f>
        <v/>
      </c>
      <c r="AK60" s="614" t="str">
        <f>IF('Data Export'!$D60="","", "")</f>
        <v/>
      </c>
      <c r="AL60" s="614"/>
      <c r="AM60" s="644" t="str">
        <f>IF('Data Export'!$D60="","", 'Coil Defrost'!O15)</f>
        <v/>
      </c>
      <c r="AN60" s="644" t="str">
        <f>IF('Data Export'!$D60="","", 'Coil Defrost'!N15)</f>
        <v/>
      </c>
      <c r="AO60" s="636" t="str">
        <f>IF('Data Export'!$D60="","", IFERROR(ROUND($F60/$D60, 2), ""))</f>
        <v/>
      </c>
      <c r="AP60" s="641">
        <f>IF('Data Export'!$D60="","",'Project Summary'!$C$11)</f>
        <v>0</v>
      </c>
      <c r="AQ60" s="652">
        <f>IF('Data Export'!$D60="","", 'Look Up Tables'!$C$167)</f>
        <v>3.4600000000000001E-5</v>
      </c>
      <c r="AR60" s="652">
        <f>IF('Data Export'!$D60="","", 'Look Up Tables'!$C$166)</f>
        <v>2.7399999999999999E-5</v>
      </c>
    </row>
    <row r="61" spans="1:44" x14ac:dyDescent="0.2">
      <c r="A61" s="618" t="str">
        <f>'Coil Defrost'!$B$3</f>
        <v>Evaporator Coil Defrost Control</v>
      </c>
      <c r="B61" s="614" t="s">
        <v>33</v>
      </c>
      <c r="C61" s="614">
        <v>59</v>
      </c>
      <c r="D61" s="630">
        <f>IF('Coil Defrost'!Q16&gt;0,'Coil Defrost'!H16,"")</f>
        <v>0</v>
      </c>
      <c r="E61" s="630" t="str">
        <f>IF($D61="","",IF('Coil Defrost'!G16="Freezer",'Look Up Tables'!$AS$56,'Look Up Tables'!$AS$55))</f>
        <v>EvapCoilDefCntrlCool</v>
      </c>
      <c r="F61" s="636" t="str">
        <f>IF('Data Export'!$D61="","",'Coil Defrost'!Q16)</f>
        <v/>
      </c>
      <c r="G61" s="641">
        <f>IF('Data Export'!D61="","", 'Project Summary'!$C$6)</f>
        <v>0</v>
      </c>
      <c r="H61" s="635" t="str">
        <f>IF('Data Export'!$D61="","",'Coil Defrost'!L16)</f>
        <v/>
      </c>
      <c r="I61" s="644" t="str">
        <f>IF('Data Export'!$D61="","", 'Coil Defrost'!M16)</f>
        <v/>
      </c>
      <c r="J61" s="630">
        <f>IF('Data Export'!$D61="","", 'Project Summary'!$J$1)</f>
        <v>5.01</v>
      </c>
      <c r="K61" s="630">
        <f>IF('Data Export'!$D61="","", 'Coil Defrost'!D16)</f>
        <v>0</v>
      </c>
      <c r="L61" s="630">
        <f>IF('Data Export'!$D61="","", 'Coil Defrost'!E16)</f>
        <v>0</v>
      </c>
      <c r="M61" s="630">
        <f>IF('Data Export'!$D61="","", 'Project Summary'!$C$13)</f>
        <v>0</v>
      </c>
      <c r="N61" s="614" t="str">
        <f>IF('Data Export'!$D61="","", "")</f>
        <v/>
      </c>
      <c r="O61" s="614" t="str">
        <f>IF('Data Export'!$D61="","", "")</f>
        <v/>
      </c>
      <c r="P61" s="630">
        <f>IF('Data Export'!$D61="","", IF('Coil Defrost'!G16="Refrigeration","Refrigerator",'Coil Defrost'!G16))</f>
        <v>0</v>
      </c>
      <c r="Q61" s="614" t="str">
        <f>IF('Data Export'!$D61="","", "")</f>
        <v/>
      </c>
      <c r="R61" s="614" t="str">
        <f>IF('Data Export'!$D61="","", "")</f>
        <v/>
      </c>
      <c r="S61" s="614" t="str">
        <f>IF('Data Export'!$D61="","", "")</f>
        <v/>
      </c>
      <c r="T61" s="614" t="str">
        <f>IF('Data Export'!$D61="","", "")</f>
        <v/>
      </c>
      <c r="U61" s="614" t="str">
        <f>IF('Data Export'!$D61="","", "")</f>
        <v/>
      </c>
      <c r="V61" s="614" t="str">
        <f>IF('Data Export'!$D61="","", "")</f>
        <v/>
      </c>
      <c r="W61" s="614" t="str">
        <f>IF('Data Export'!$D61="","", "")</f>
        <v/>
      </c>
      <c r="X61" s="614" t="str">
        <f>IF('Data Export'!$D61="","", "")</f>
        <v/>
      </c>
      <c r="Y61" s="614" t="str">
        <f>IF('Data Export'!$D61="","", "")</f>
        <v/>
      </c>
      <c r="Z61" s="614" t="str">
        <f>IF('Data Export'!$D61="","", "")</f>
        <v/>
      </c>
      <c r="AA61" s="614" t="str">
        <f>IF('Data Export'!$D61="","", "")</f>
        <v/>
      </c>
      <c r="AB61" s="614" t="str">
        <f>IF('Data Export'!$D61="","", "")</f>
        <v/>
      </c>
      <c r="AC61" s="614" t="str">
        <f>IF('Data Export'!$D61="","", "")</f>
        <v/>
      </c>
      <c r="AD61" s="614" t="str">
        <f>IF('Data Export'!$D61="","", "")</f>
        <v/>
      </c>
      <c r="AE61" s="614" t="str">
        <f>IF('Data Export'!$D61="","", "")</f>
        <v/>
      </c>
      <c r="AF61" s="614"/>
      <c r="AG61" s="614" t="str">
        <f>IF('Data Export'!$D61="","", "")</f>
        <v/>
      </c>
      <c r="AH61" s="614" t="str">
        <f>IF('Data Export'!$D61="","", "")</f>
        <v/>
      </c>
      <c r="AI61" s="630" t="str">
        <f>IF('Data Export'!$D51="","",IF('Coil Defrost'!G16='Look Up Tables'!$D$3,"Low Temperature",IF('Coil Defrost'!G16='Look Up Tables'!$D$4,"Medium Temperature","Unknown")))</f>
        <v>Unknown</v>
      </c>
      <c r="AJ61" s="614" t="str">
        <f>IF('Data Export'!$D61="","", "")</f>
        <v/>
      </c>
      <c r="AK61" s="614" t="str">
        <f>IF('Data Export'!$D61="","", "")</f>
        <v/>
      </c>
      <c r="AL61" s="614"/>
      <c r="AM61" s="644" t="str">
        <f>IF('Data Export'!$D61="","", 'Coil Defrost'!O16)</f>
        <v/>
      </c>
      <c r="AN61" s="644" t="str">
        <f>IF('Data Export'!$D61="","", 'Coil Defrost'!N16)</f>
        <v/>
      </c>
      <c r="AO61" s="636" t="str">
        <f>IF('Data Export'!$D61="","", IFERROR(ROUND($F61/$D61, 2), ""))</f>
        <v/>
      </c>
      <c r="AP61" s="641">
        <f>IF('Data Export'!$D61="","",'Project Summary'!$C$11)</f>
        <v>0</v>
      </c>
      <c r="AQ61" s="652">
        <f>IF('Data Export'!$D61="","", 'Look Up Tables'!$C$167)</f>
        <v>3.4600000000000001E-5</v>
      </c>
      <c r="AR61" s="652">
        <f>IF('Data Export'!$D61="","", 'Look Up Tables'!$C$166)</f>
        <v>2.7399999999999999E-5</v>
      </c>
    </row>
    <row r="62" spans="1:44" ht="15" thickBot="1" x14ac:dyDescent="0.25">
      <c r="A62" s="625" t="str">
        <f>'Coil Defrost'!$B$3</f>
        <v>Evaporator Coil Defrost Control</v>
      </c>
      <c r="B62" s="626" t="s">
        <v>33</v>
      </c>
      <c r="C62" s="626">
        <v>60</v>
      </c>
      <c r="D62" s="631">
        <f>IF('Coil Defrost'!Q17&gt;0,'Coil Defrost'!H17,"")</f>
        <v>0</v>
      </c>
      <c r="E62" s="631" t="str">
        <f>IF($D62="","",IF('Coil Defrost'!G17="Freezer",'Look Up Tables'!$AS$56,'Look Up Tables'!$AS$55))</f>
        <v>EvapCoilDefCntrlCool</v>
      </c>
      <c r="F62" s="638" t="str">
        <f>IF('Data Export'!$D62="","",'Coil Defrost'!Q17)</f>
        <v/>
      </c>
      <c r="G62" s="642">
        <f>IF('Data Export'!D62="","", 'Project Summary'!$C$6)</f>
        <v>0</v>
      </c>
      <c r="H62" s="639" t="str">
        <f>IF('Data Export'!$D62="","",'Coil Defrost'!L17)</f>
        <v/>
      </c>
      <c r="I62" s="659" t="str">
        <f>IF('Data Export'!$D62="","", 'Coil Defrost'!M17)</f>
        <v/>
      </c>
      <c r="J62" s="631">
        <f>IF('Data Export'!$D62="","", 'Project Summary'!$J$1)</f>
        <v>5.01</v>
      </c>
      <c r="K62" s="631">
        <f>IF('Data Export'!$D62="","", 'Coil Defrost'!D17)</f>
        <v>0</v>
      </c>
      <c r="L62" s="631">
        <f>IF('Data Export'!$D62="","", 'Coil Defrost'!E17)</f>
        <v>0</v>
      </c>
      <c r="M62" s="631">
        <f>IF('Data Export'!$D62="","", 'Project Summary'!$C$13)</f>
        <v>0</v>
      </c>
      <c r="N62" s="626" t="str">
        <f>IF('Data Export'!$D62="","", "")</f>
        <v/>
      </c>
      <c r="O62" s="626" t="str">
        <f>IF('Data Export'!$D62="","", "")</f>
        <v/>
      </c>
      <c r="P62" s="631">
        <f>IF('Data Export'!$D62="","", IF('Coil Defrost'!G17="Refrigeration","Refrigerator",'Coil Defrost'!G17))</f>
        <v>0</v>
      </c>
      <c r="Q62" s="626" t="str">
        <f>IF('Data Export'!$D62="","", "")</f>
        <v/>
      </c>
      <c r="R62" s="626" t="str">
        <f>IF('Data Export'!$D62="","", "")</f>
        <v/>
      </c>
      <c r="S62" s="626" t="str">
        <f>IF('Data Export'!$D62="","", "")</f>
        <v/>
      </c>
      <c r="T62" s="626" t="str">
        <f>IF('Data Export'!$D62="","", "")</f>
        <v/>
      </c>
      <c r="U62" s="626" t="str">
        <f>IF('Data Export'!$D62="","", "")</f>
        <v/>
      </c>
      <c r="V62" s="626" t="str">
        <f>IF('Data Export'!$D62="","", "")</f>
        <v/>
      </c>
      <c r="W62" s="626" t="str">
        <f>IF('Data Export'!$D62="","", "")</f>
        <v/>
      </c>
      <c r="X62" s="626" t="str">
        <f>IF('Data Export'!$D62="","", "")</f>
        <v/>
      </c>
      <c r="Y62" s="626" t="str">
        <f>IF('Data Export'!$D62="","", "")</f>
        <v/>
      </c>
      <c r="Z62" s="626" t="str">
        <f>IF('Data Export'!$D62="","", "")</f>
        <v/>
      </c>
      <c r="AA62" s="626" t="str">
        <f>IF('Data Export'!$D62="","", "")</f>
        <v/>
      </c>
      <c r="AB62" s="626" t="str">
        <f>IF('Data Export'!$D62="","", "")</f>
        <v/>
      </c>
      <c r="AC62" s="626" t="str">
        <f>IF('Data Export'!$D62="","", "")</f>
        <v/>
      </c>
      <c r="AD62" s="626" t="str">
        <f>IF('Data Export'!$D62="","", "")</f>
        <v/>
      </c>
      <c r="AE62" s="626" t="str">
        <f>IF('Data Export'!$D62="","", "")</f>
        <v/>
      </c>
      <c r="AF62" s="626"/>
      <c r="AG62" s="626" t="str">
        <f>IF('Data Export'!$D62="","", "")</f>
        <v/>
      </c>
      <c r="AH62" s="626" t="str">
        <f>IF('Data Export'!$D62="","", "")</f>
        <v/>
      </c>
      <c r="AI62" s="631" t="str">
        <f>IF('Data Export'!$D52="","",IF('Coil Defrost'!G17='Look Up Tables'!$D$3,"Low Temperature",IF('Coil Defrost'!G17='Look Up Tables'!$D$4,"Medium Temperature","Unknown")))</f>
        <v>Unknown</v>
      </c>
      <c r="AJ62" s="626" t="str">
        <f>IF('Data Export'!$D62="","", "")</f>
        <v/>
      </c>
      <c r="AK62" s="626" t="str">
        <f>IF('Data Export'!$D62="","", "")</f>
        <v/>
      </c>
      <c r="AL62" s="626"/>
      <c r="AM62" s="659" t="str">
        <f>IF('Data Export'!$D62="","", 'Coil Defrost'!O17)</f>
        <v/>
      </c>
      <c r="AN62" s="659" t="str">
        <f>IF('Data Export'!$D62="","", 'Coil Defrost'!N17)</f>
        <v/>
      </c>
      <c r="AO62" s="638" t="str">
        <f>IF('Data Export'!$D62="","", IFERROR(ROUND($F62/$D62, 2), ""))</f>
        <v/>
      </c>
      <c r="AP62" s="642">
        <f>IF('Data Export'!$D62="","",'Project Summary'!$C$11)</f>
        <v>0</v>
      </c>
      <c r="AQ62" s="654">
        <f>IF('Data Export'!$D62="","", 'Look Up Tables'!$C$167)</f>
        <v>3.4600000000000001E-5</v>
      </c>
      <c r="AR62" s="654">
        <f>IF('Data Export'!$D62="","", 'Look Up Tables'!$C$166)</f>
        <v>2.7399999999999999E-5</v>
      </c>
    </row>
    <row r="63" spans="1:44" ht="15" thickTop="1" x14ac:dyDescent="0.2">
      <c r="A63" s="620" t="str">
        <f>'VS Ref Comp'!$B$3</f>
        <v>Variable Speed Refrigeration Compressor</v>
      </c>
      <c r="B63" s="621" t="s">
        <v>34</v>
      </c>
      <c r="C63" s="621">
        <v>61</v>
      </c>
      <c r="D63" s="632">
        <f>IF('VS Ref Comp'!T8&gt;0,'VS Ref Comp'!I8,"")</f>
        <v>0</v>
      </c>
      <c r="E63" s="632" t="str">
        <f>IF($D63="","",'Look Up Tables'!$AS$76)</f>
        <v>VSRefComTon</v>
      </c>
      <c r="F63" s="637" t="str">
        <f>IF('Data Export'!$D63="","", 'VS Ref Comp'!T8)</f>
        <v/>
      </c>
      <c r="G63" s="643">
        <f>IF('Data Export'!D63="","", 'Project Summary'!$C$6)</f>
        <v>0</v>
      </c>
      <c r="H63" s="640" t="str">
        <f>IF('Data Export'!$D63="","",'VS Ref Comp'!O8)</f>
        <v/>
      </c>
      <c r="I63" s="658" t="str">
        <f>IF('Data Export'!$D63="","",'VS Ref Comp'!P8)</f>
        <v/>
      </c>
      <c r="J63" s="632">
        <f>IF('Data Export'!$D63="","", 'Project Summary'!$J$1)</f>
        <v>5.01</v>
      </c>
      <c r="K63" s="632">
        <f>IF('Data Export'!$D63="","", 'VS Ref Comp'!D8)</f>
        <v>0</v>
      </c>
      <c r="L63" s="632">
        <f>IF('Data Export'!$D63="","", 'VS Ref Comp'!E8)</f>
        <v>0</v>
      </c>
      <c r="M63" s="632">
        <f>IF('Data Export'!$D63="","", 'Project Summary'!$C$13)</f>
        <v>0</v>
      </c>
      <c r="N63" s="621" t="str">
        <f>IF('Data Export'!$D63="","", "")</f>
        <v/>
      </c>
      <c r="O63" s="621" t="str">
        <f>IF('Data Export'!$D63="","", "")</f>
        <v/>
      </c>
      <c r="P63" s="632">
        <f>IF('Data Export'!$D62="","", IF('VS Ref Comp'!G8="Refrigeration","Refrigerator",'VS Ref Comp'!G8))</f>
        <v>0</v>
      </c>
      <c r="Q63" s="621" t="str">
        <f>IF('Data Export'!$D63="","", "")</f>
        <v/>
      </c>
      <c r="R63" s="621" t="str">
        <f>IF('Data Export'!$D63="","", "")</f>
        <v/>
      </c>
      <c r="S63" s="621" t="str">
        <f>IF('Data Export'!$D63="","", "")</f>
        <v/>
      </c>
      <c r="T63" s="621" t="str">
        <f>IF('Data Export'!$D63="","", "")</f>
        <v/>
      </c>
      <c r="U63" s="621" t="str">
        <f>IF('Data Export'!$D63="","", "")</f>
        <v/>
      </c>
      <c r="V63" s="621" t="str">
        <f>IF('Data Export'!$D63="","", "")</f>
        <v/>
      </c>
      <c r="W63" s="621" t="str">
        <f>IF('Data Export'!$D63="","", "")</f>
        <v/>
      </c>
      <c r="X63" s="621"/>
      <c r="Y63" s="645">
        <f>IF('Data Export'!$D63="","", 'VS Ref Comp'!H8)</f>
        <v>0</v>
      </c>
      <c r="Z63" s="621" t="str">
        <f>IF('Data Export'!$D63="","", "")</f>
        <v/>
      </c>
      <c r="AA63" s="621" t="str">
        <f>IF('Data Export'!$D63="","", "")</f>
        <v/>
      </c>
      <c r="AB63" s="621" t="str">
        <f>IF('Data Export'!$D63="","", "")</f>
        <v/>
      </c>
      <c r="AC63" s="621" t="str">
        <f>IF('Data Export'!$D63="","", "")</f>
        <v/>
      </c>
      <c r="AD63" s="621" t="str">
        <f>IF('Data Export'!$D63="","", "")</f>
        <v/>
      </c>
      <c r="AE63" s="621" t="str">
        <f>IF('Data Export'!$D63="","", "")</f>
        <v/>
      </c>
      <c r="AF63" s="621"/>
      <c r="AG63" s="621" t="str">
        <f>IF('Data Export'!$D63="","", "")</f>
        <v/>
      </c>
      <c r="AH63" s="621" t="str">
        <f>IF('Data Export'!$D63="","", "")</f>
        <v/>
      </c>
      <c r="AI63" s="621" t="str">
        <f>IF('Data Export'!$D63="","", "")</f>
        <v/>
      </c>
      <c r="AJ63" s="621" t="str">
        <f>IF('Data Export'!$D63="","", "")</f>
        <v/>
      </c>
      <c r="AK63" s="621" t="str">
        <f>IF('Data Export'!$D63="","", "")</f>
        <v/>
      </c>
      <c r="AL63" s="621"/>
      <c r="AM63" s="658" t="str">
        <f>IF('Data Export'!$D63="","",'VS Ref Comp'!R8)</f>
        <v/>
      </c>
      <c r="AN63" s="658" t="str">
        <f>IF('Data Export'!$D63="","",'VS Ref Comp'!Q8)</f>
        <v/>
      </c>
      <c r="AO63" s="637" t="str">
        <f>IF('Data Export'!$D63="","", IFERROR(ROUND($F63/$D63, 2), ""))</f>
        <v/>
      </c>
      <c r="AP63" s="643">
        <f>IF('Data Export'!$D63="","",'Project Summary'!$C$11)</f>
        <v>0</v>
      </c>
      <c r="AQ63" s="621"/>
      <c r="AR63" s="652">
        <f>IF('Data Export'!$D63="","",'Look Up Tables'!$C$166)</f>
        <v>2.7399999999999999E-5</v>
      </c>
    </row>
    <row r="64" spans="1:44" x14ac:dyDescent="0.2">
      <c r="A64" s="618" t="str">
        <f>'VS Ref Comp'!$B$3</f>
        <v>Variable Speed Refrigeration Compressor</v>
      </c>
      <c r="B64" s="614" t="s">
        <v>34</v>
      </c>
      <c r="C64" s="614">
        <v>62</v>
      </c>
      <c r="D64" s="630">
        <f>IF('VS Ref Comp'!T9&gt;0,'VS Ref Comp'!I9,"")</f>
        <v>0</v>
      </c>
      <c r="E64" s="630" t="str">
        <f>IF($D64="","",'Look Up Tables'!$AS$76)</f>
        <v>VSRefComTon</v>
      </c>
      <c r="F64" s="636" t="str">
        <f>IF('Data Export'!$D64="","", 'VS Ref Comp'!T9)</f>
        <v/>
      </c>
      <c r="G64" s="641">
        <f>IF('Data Export'!D64="","", 'Project Summary'!$C$6)</f>
        <v>0</v>
      </c>
      <c r="H64" s="635" t="str">
        <f>IF('Data Export'!$D64="","",'VS Ref Comp'!O9)</f>
        <v/>
      </c>
      <c r="I64" s="644" t="str">
        <f>IF('Data Export'!$D64="","",'VS Ref Comp'!P9)</f>
        <v/>
      </c>
      <c r="J64" s="630">
        <f>IF('Data Export'!$D64="","", 'Project Summary'!$J$1)</f>
        <v>5.01</v>
      </c>
      <c r="K64" s="630">
        <f>IF('Data Export'!$D64="","", 'VS Ref Comp'!D9)</f>
        <v>0</v>
      </c>
      <c r="L64" s="630">
        <f>IF('Data Export'!$D64="","", 'VS Ref Comp'!E9)</f>
        <v>0</v>
      </c>
      <c r="M64" s="630">
        <f>IF('Data Export'!$D64="","", 'Project Summary'!$C$13)</f>
        <v>0</v>
      </c>
      <c r="N64" s="614" t="str">
        <f>IF('Data Export'!$D64="","", "")</f>
        <v/>
      </c>
      <c r="O64" s="614" t="str">
        <f>IF('Data Export'!$D64="","", "")</f>
        <v/>
      </c>
      <c r="P64" s="630">
        <f>IF('Data Export'!$D63="","", IF('VS Ref Comp'!G9="Refrigeration","Refrigerator",'VS Ref Comp'!G9))</f>
        <v>0</v>
      </c>
      <c r="Q64" s="614" t="str">
        <f>IF('Data Export'!$D64="","", "")</f>
        <v/>
      </c>
      <c r="R64" s="614" t="str">
        <f>IF('Data Export'!$D64="","", "")</f>
        <v/>
      </c>
      <c r="S64" s="614" t="str">
        <f>IF('Data Export'!$D64="","", "")</f>
        <v/>
      </c>
      <c r="T64" s="614" t="str">
        <f>IF('Data Export'!$D64="","", "")</f>
        <v/>
      </c>
      <c r="U64" s="614" t="str">
        <f>IF('Data Export'!$D64="","", "")</f>
        <v/>
      </c>
      <c r="V64" s="614" t="str">
        <f>IF('Data Export'!$D64="","", "")</f>
        <v/>
      </c>
      <c r="W64" s="614" t="str">
        <f>IF('Data Export'!$D64="","", "")</f>
        <v/>
      </c>
      <c r="X64" s="614"/>
      <c r="Y64" s="632">
        <f>IF('Data Export'!$D64="","", 'VS Ref Comp'!H9)</f>
        <v>0</v>
      </c>
      <c r="Z64" s="614" t="str">
        <f>IF('Data Export'!$D64="","", "")</f>
        <v/>
      </c>
      <c r="AA64" s="614" t="str">
        <f>IF('Data Export'!$D64="","", "")</f>
        <v/>
      </c>
      <c r="AB64" s="614" t="str">
        <f>IF('Data Export'!$D64="","", "")</f>
        <v/>
      </c>
      <c r="AC64" s="614" t="str">
        <f>IF('Data Export'!$D64="","", "")</f>
        <v/>
      </c>
      <c r="AD64" s="614" t="str">
        <f>IF('Data Export'!$D64="","", "")</f>
        <v/>
      </c>
      <c r="AE64" s="614" t="str">
        <f>IF('Data Export'!$D64="","", "")</f>
        <v/>
      </c>
      <c r="AF64" s="614"/>
      <c r="AG64" s="614" t="str">
        <f>IF('Data Export'!$D64="","", "")</f>
        <v/>
      </c>
      <c r="AH64" s="614" t="str">
        <f>IF('Data Export'!$D64="","", "")</f>
        <v/>
      </c>
      <c r="AI64" s="614" t="str">
        <f>IF('Data Export'!$D64="","", "")</f>
        <v/>
      </c>
      <c r="AJ64" s="614" t="str">
        <f>IF('Data Export'!$D64="","", "")</f>
        <v/>
      </c>
      <c r="AK64" s="614" t="str">
        <f>IF('Data Export'!$D64="","", "")</f>
        <v/>
      </c>
      <c r="AL64" s="614"/>
      <c r="AM64" s="644" t="str">
        <f>IF('Data Export'!$D64="","",'VS Ref Comp'!R9)</f>
        <v/>
      </c>
      <c r="AN64" s="644" t="str">
        <f>IF('Data Export'!$D64="","",'VS Ref Comp'!Q9)</f>
        <v/>
      </c>
      <c r="AO64" s="636" t="str">
        <f>IF('Data Export'!$D64="","", IFERROR(ROUND($F64/$D64, 2), ""))</f>
        <v/>
      </c>
      <c r="AP64" s="641">
        <f>IF('Data Export'!$D64="","",'Project Summary'!$C$11)</f>
        <v>0</v>
      </c>
      <c r="AQ64" s="614"/>
      <c r="AR64" s="652">
        <f>IF('Data Export'!$D64="","",'Look Up Tables'!$C$166)</f>
        <v>2.7399999999999999E-5</v>
      </c>
    </row>
    <row r="65" spans="1:44" x14ac:dyDescent="0.2">
      <c r="A65" s="618" t="str">
        <f>'VS Ref Comp'!$B$3</f>
        <v>Variable Speed Refrigeration Compressor</v>
      </c>
      <c r="B65" s="614" t="s">
        <v>34</v>
      </c>
      <c r="C65" s="614">
        <v>63</v>
      </c>
      <c r="D65" s="630">
        <f>IF('VS Ref Comp'!T10&gt;0,'VS Ref Comp'!I10,"")</f>
        <v>0</v>
      </c>
      <c r="E65" s="630" t="str">
        <f>IF($D65="","",'Look Up Tables'!$AS$76)</f>
        <v>VSRefComTon</v>
      </c>
      <c r="F65" s="636" t="str">
        <f>IF('Data Export'!$D65="","", 'VS Ref Comp'!T10)</f>
        <v/>
      </c>
      <c r="G65" s="641">
        <f>IF('Data Export'!D65="","", 'Project Summary'!$C$6)</f>
        <v>0</v>
      </c>
      <c r="H65" s="635" t="str">
        <f>IF('Data Export'!$D65="","",'VS Ref Comp'!O10)</f>
        <v/>
      </c>
      <c r="I65" s="644" t="str">
        <f>IF('Data Export'!$D65="","",'VS Ref Comp'!P10)</f>
        <v/>
      </c>
      <c r="J65" s="630">
        <f>IF('Data Export'!$D65="","", 'Project Summary'!$J$1)</f>
        <v>5.01</v>
      </c>
      <c r="K65" s="630">
        <f>IF('Data Export'!$D65="","", 'VS Ref Comp'!D10)</f>
        <v>0</v>
      </c>
      <c r="L65" s="630">
        <f>IF('Data Export'!$D65="","", 'VS Ref Comp'!E10)</f>
        <v>0</v>
      </c>
      <c r="M65" s="630">
        <f>IF('Data Export'!$D65="","", 'Project Summary'!$C$13)</f>
        <v>0</v>
      </c>
      <c r="N65" s="614" t="str">
        <f>IF('Data Export'!$D65="","", "")</f>
        <v/>
      </c>
      <c r="O65" s="614" t="str">
        <f>IF('Data Export'!$D65="","", "")</f>
        <v/>
      </c>
      <c r="P65" s="630">
        <f>IF('Data Export'!$D64="","", IF('VS Ref Comp'!G10="Refrigeration","Refrigerator",'VS Ref Comp'!G10))</f>
        <v>0</v>
      </c>
      <c r="Q65" s="614" t="str">
        <f>IF('Data Export'!$D65="","", "")</f>
        <v/>
      </c>
      <c r="R65" s="614" t="str">
        <f>IF('Data Export'!$D65="","", "")</f>
        <v/>
      </c>
      <c r="S65" s="614" t="str">
        <f>IF('Data Export'!$D65="","", "")</f>
        <v/>
      </c>
      <c r="T65" s="614" t="str">
        <f>IF('Data Export'!$D65="","", "")</f>
        <v/>
      </c>
      <c r="U65" s="614" t="str">
        <f>IF('Data Export'!$D65="","", "")</f>
        <v/>
      </c>
      <c r="V65" s="614" t="str">
        <f>IF('Data Export'!$D65="","", "")</f>
        <v/>
      </c>
      <c r="W65" s="614" t="str">
        <f>IF('Data Export'!$D65="","", "")</f>
        <v/>
      </c>
      <c r="X65" s="614"/>
      <c r="Y65" s="632">
        <f>IF('Data Export'!$D65="","", 'VS Ref Comp'!H10)</f>
        <v>0</v>
      </c>
      <c r="Z65" s="614" t="str">
        <f>IF('Data Export'!$D65="","", "")</f>
        <v/>
      </c>
      <c r="AA65" s="614" t="str">
        <f>IF('Data Export'!$D65="","", "")</f>
        <v/>
      </c>
      <c r="AB65" s="614" t="str">
        <f>IF('Data Export'!$D65="","", "")</f>
        <v/>
      </c>
      <c r="AC65" s="614" t="str">
        <f>IF('Data Export'!$D65="","", "")</f>
        <v/>
      </c>
      <c r="AD65" s="614" t="str">
        <f>IF('Data Export'!$D65="","", "")</f>
        <v/>
      </c>
      <c r="AE65" s="614" t="str">
        <f>IF('Data Export'!$D65="","", "")</f>
        <v/>
      </c>
      <c r="AF65" s="614"/>
      <c r="AG65" s="614" t="str">
        <f>IF('Data Export'!$D65="","", "")</f>
        <v/>
      </c>
      <c r="AH65" s="614" t="str">
        <f>IF('Data Export'!$D65="","", "")</f>
        <v/>
      </c>
      <c r="AI65" s="614" t="str">
        <f>IF('Data Export'!$D65="","", "")</f>
        <v/>
      </c>
      <c r="AJ65" s="614" t="str">
        <f>IF('Data Export'!$D65="","", "")</f>
        <v/>
      </c>
      <c r="AK65" s="614" t="str">
        <f>IF('Data Export'!$D65="","", "")</f>
        <v/>
      </c>
      <c r="AL65" s="614"/>
      <c r="AM65" s="644" t="str">
        <f>IF('Data Export'!$D65="","",'VS Ref Comp'!R10)</f>
        <v/>
      </c>
      <c r="AN65" s="644" t="str">
        <f>IF('Data Export'!$D65="","",'VS Ref Comp'!Q10)</f>
        <v/>
      </c>
      <c r="AO65" s="636" t="str">
        <f>IF('Data Export'!$D65="","", IFERROR(ROUND($F65/$D65, 2), ""))</f>
        <v/>
      </c>
      <c r="AP65" s="641">
        <f>IF('Data Export'!$D65="","",'Project Summary'!$C$11)</f>
        <v>0</v>
      </c>
      <c r="AQ65" s="614"/>
      <c r="AR65" s="652">
        <f>IF('Data Export'!$D65="","",'Look Up Tables'!$C$166)</f>
        <v>2.7399999999999999E-5</v>
      </c>
    </row>
    <row r="66" spans="1:44" x14ac:dyDescent="0.2">
      <c r="A66" s="618" t="str">
        <f>'VS Ref Comp'!$B$3</f>
        <v>Variable Speed Refrigeration Compressor</v>
      </c>
      <c r="B66" s="614" t="s">
        <v>34</v>
      </c>
      <c r="C66" s="614">
        <v>64</v>
      </c>
      <c r="D66" s="630">
        <f>IF('VS Ref Comp'!T11&gt;0,'VS Ref Comp'!I11,"")</f>
        <v>0</v>
      </c>
      <c r="E66" s="630" t="str">
        <f>IF($D66="","",'Look Up Tables'!$AS$76)</f>
        <v>VSRefComTon</v>
      </c>
      <c r="F66" s="636" t="str">
        <f>IF('Data Export'!$D66="","", 'VS Ref Comp'!T11)</f>
        <v/>
      </c>
      <c r="G66" s="641">
        <f>IF('Data Export'!D66="","", 'Project Summary'!$C$6)</f>
        <v>0</v>
      </c>
      <c r="H66" s="635" t="str">
        <f>IF('Data Export'!$D66="","",'VS Ref Comp'!O11)</f>
        <v/>
      </c>
      <c r="I66" s="644" t="str">
        <f>IF('Data Export'!$D66="","",'VS Ref Comp'!P11)</f>
        <v/>
      </c>
      <c r="J66" s="630">
        <f>IF('Data Export'!$D66="","", 'Project Summary'!$J$1)</f>
        <v>5.01</v>
      </c>
      <c r="K66" s="630">
        <f>IF('Data Export'!$D66="","", 'VS Ref Comp'!D11)</f>
        <v>0</v>
      </c>
      <c r="L66" s="630">
        <f>IF('Data Export'!$D66="","", 'VS Ref Comp'!E11)</f>
        <v>0</v>
      </c>
      <c r="M66" s="630">
        <f>IF('Data Export'!$D66="","", 'Project Summary'!$C$13)</f>
        <v>0</v>
      </c>
      <c r="N66" s="614" t="str">
        <f>IF('Data Export'!$D66="","", "")</f>
        <v/>
      </c>
      <c r="O66" s="614" t="str">
        <f>IF('Data Export'!$D66="","", "")</f>
        <v/>
      </c>
      <c r="P66" s="630">
        <f>IF('Data Export'!$D65="","", IF('VS Ref Comp'!G11="Refrigeration","Refrigerator",'VS Ref Comp'!G11))</f>
        <v>0</v>
      </c>
      <c r="Q66" s="614" t="str">
        <f>IF('Data Export'!$D66="","", "")</f>
        <v/>
      </c>
      <c r="R66" s="614" t="str">
        <f>IF('Data Export'!$D66="","", "")</f>
        <v/>
      </c>
      <c r="S66" s="614" t="str">
        <f>IF('Data Export'!$D66="","", "")</f>
        <v/>
      </c>
      <c r="T66" s="614" t="str">
        <f>IF('Data Export'!$D66="","", "")</f>
        <v/>
      </c>
      <c r="U66" s="614" t="str">
        <f>IF('Data Export'!$D66="","", "")</f>
        <v/>
      </c>
      <c r="V66" s="614" t="str">
        <f>IF('Data Export'!$D66="","", "")</f>
        <v/>
      </c>
      <c r="W66" s="614" t="str">
        <f>IF('Data Export'!$D66="","", "")</f>
        <v/>
      </c>
      <c r="X66" s="614"/>
      <c r="Y66" s="632">
        <f>IF('Data Export'!$D66="","", 'VS Ref Comp'!H11)</f>
        <v>0</v>
      </c>
      <c r="Z66" s="614" t="str">
        <f>IF('Data Export'!$D66="","", "")</f>
        <v/>
      </c>
      <c r="AA66" s="614" t="str">
        <f>IF('Data Export'!$D66="","", "")</f>
        <v/>
      </c>
      <c r="AB66" s="614" t="str">
        <f>IF('Data Export'!$D66="","", "")</f>
        <v/>
      </c>
      <c r="AC66" s="614" t="str">
        <f>IF('Data Export'!$D66="","", "")</f>
        <v/>
      </c>
      <c r="AD66" s="614" t="str">
        <f>IF('Data Export'!$D66="","", "")</f>
        <v/>
      </c>
      <c r="AE66" s="614" t="str">
        <f>IF('Data Export'!$D66="","", "")</f>
        <v/>
      </c>
      <c r="AF66" s="614"/>
      <c r="AG66" s="614" t="str">
        <f>IF('Data Export'!$D66="","", "")</f>
        <v/>
      </c>
      <c r="AH66" s="614" t="str">
        <f>IF('Data Export'!$D66="","", "")</f>
        <v/>
      </c>
      <c r="AI66" s="614" t="str">
        <f>IF('Data Export'!$D66="","", "")</f>
        <v/>
      </c>
      <c r="AJ66" s="614" t="str">
        <f>IF('Data Export'!$D66="","", "")</f>
        <v/>
      </c>
      <c r="AK66" s="614" t="str">
        <f>IF('Data Export'!$D66="","", "")</f>
        <v/>
      </c>
      <c r="AL66" s="614"/>
      <c r="AM66" s="644" t="str">
        <f>IF('Data Export'!$D66="","",'VS Ref Comp'!R11)</f>
        <v/>
      </c>
      <c r="AN66" s="644" t="str">
        <f>IF('Data Export'!$D66="","",'VS Ref Comp'!Q11)</f>
        <v/>
      </c>
      <c r="AO66" s="636" t="str">
        <f>IF('Data Export'!$D66="","", IFERROR(ROUND($F66/$D66, 2), ""))</f>
        <v/>
      </c>
      <c r="AP66" s="641">
        <f>IF('Data Export'!$D66="","",'Project Summary'!$C$11)</f>
        <v>0</v>
      </c>
      <c r="AQ66" s="614"/>
      <c r="AR66" s="652">
        <f>IF('Data Export'!$D66="","",'Look Up Tables'!$C$166)</f>
        <v>2.7399999999999999E-5</v>
      </c>
    </row>
    <row r="67" spans="1:44" x14ac:dyDescent="0.2">
      <c r="A67" s="618" t="str">
        <f>'VS Ref Comp'!$B$3</f>
        <v>Variable Speed Refrigeration Compressor</v>
      </c>
      <c r="B67" s="614" t="s">
        <v>34</v>
      </c>
      <c r="C67" s="614">
        <v>65</v>
      </c>
      <c r="D67" s="630">
        <f>IF('VS Ref Comp'!T12&gt;0,'VS Ref Comp'!I12,"")</f>
        <v>0</v>
      </c>
      <c r="E67" s="630" t="str">
        <f>IF($D67="","",'Look Up Tables'!$AS$76)</f>
        <v>VSRefComTon</v>
      </c>
      <c r="F67" s="636" t="str">
        <f>IF('Data Export'!$D67="","", 'VS Ref Comp'!T12)</f>
        <v/>
      </c>
      <c r="G67" s="641">
        <f>IF('Data Export'!D67="","", 'Project Summary'!$C$6)</f>
        <v>0</v>
      </c>
      <c r="H67" s="635" t="str">
        <f>IF('Data Export'!$D67="","",'VS Ref Comp'!O12)</f>
        <v/>
      </c>
      <c r="I67" s="644" t="str">
        <f>IF('Data Export'!$D67="","",'VS Ref Comp'!P12)</f>
        <v/>
      </c>
      <c r="J67" s="630">
        <f>IF('Data Export'!$D67="","", 'Project Summary'!$J$1)</f>
        <v>5.01</v>
      </c>
      <c r="K67" s="630">
        <f>IF('Data Export'!$D67="","", 'VS Ref Comp'!D12)</f>
        <v>0</v>
      </c>
      <c r="L67" s="630">
        <f>IF('Data Export'!$D67="","", 'VS Ref Comp'!E12)</f>
        <v>0</v>
      </c>
      <c r="M67" s="630">
        <f>IF('Data Export'!$D67="","", 'Project Summary'!$C$13)</f>
        <v>0</v>
      </c>
      <c r="N67" s="614" t="str">
        <f>IF('Data Export'!$D67="","", "")</f>
        <v/>
      </c>
      <c r="O67" s="614" t="str">
        <f>IF('Data Export'!$D67="","", "")</f>
        <v/>
      </c>
      <c r="P67" s="630">
        <f>IF('Data Export'!$D66="","", IF('VS Ref Comp'!G12="Refrigeration","Refrigerator",'VS Ref Comp'!G12))</f>
        <v>0</v>
      </c>
      <c r="Q67" s="614" t="str">
        <f>IF('Data Export'!$D67="","", "")</f>
        <v/>
      </c>
      <c r="R67" s="614" t="str">
        <f>IF('Data Export'!$D67="","", "")</f>
        <v/>
      </c>
      <c r="S67" s="614" t="str">
        <f>IF('Data Export'!$D67="","", "")</f>
        <v/>
      </c>
      <c r="T67" s="614" t="str">
        <f>IF('Data Export'!$D67="","", "")</f>
        <v/>
      </c>
      <c r="U67" s="614" t="str">
        <f>IF('Data Export'!$D67="","", "")</f>
        <v/>
      </c>
      <c r="V67" s="614" t="str">
        <f>IF('Data Export'!$D67="","", "")</f>
        <v/>
      </c>
      <c r="W67" s="614" t="str">
        <f>IF('Data Export'!$D67="","", "")</f>
        <v/>
      </c>
      <c r="X67" s="614"/>
      <c r="Y67" s="632">
        <f>IF('Data Export'!$D67="","", 'VS Ref Comp'!H12)</f>
        <v>0</v>
      </c>
      <c r="Z67" s="614" t="str">
        <f>IF('Data Export'!$D67="","", "")</f>
        <v/>
      </c>
      <c r="AA67" s="614" t="str">
        <f>IF('Data Export'!$D67="","", "")</f>
        <v/>
      </c>
      <c r="AB67" s="614" t="str">
        <f>IF('Data Export'!$D67="","", "")</f>
        <v/>
      </c>
      <c r="AC67" s="614" t="str">
        <f>IF('Data Export'!$D67="","", "")</f>
        <v/>
      </c>
      <c r="AD67" s="614" t="str">
        <f>IF('Data Export'!$D67="","", "")</f>
        <v/>
      </c>
      <c r="AE67" s="614" t="str">
        <f>IF('Data Export'!$D67="","", "")</f>
        <v/>
      </c>
      <c r="AF67" s="614"/>
      <c r="AG67" s="614" t="str">
        <f>IF('Data Export'!$D67="","", "")</f>
        <v/>
      </c>
      <c r="AH67" s="614" t="str">
        <f>IF('Data Export'!$D67="","", "")</f>
        <v/>
      </c>
      <c r="AI67" s="614" t="str">
        <f>IF('Data Export'!$D67="","", "")</f>
        <v/>
      </c>
      <c r="AJ67" s="614" t="str">
        <f>IF('Data Export'!$D67="","", "")</f>
        <v/>
      </c>
      <c r="AK67" s="614" t="str">
        <f>IF('Data Export'!$D67="","", "")</f>
        <v/>
      </c>
      <c r="AL67" s="614"/>
      <c r="AM67" s="644" t="str">
        <f>IF('Data Export'!$D67="","",'VS Ref Comp'!R12)</f>
        <v/>
      </c>
      <c r="AN67" s="644" t="str">
        <f>IF('Data Export'!$D67="","",'VS Ref Comp'!Q12)</f>
        <v/>
      </c>
      <c r="AO67" s="636" t="str">
        <f>IF('Data Export'!$D67="","", IFERROR(ROUND($F67/$D67, 2), ""))</f>
        <v/>
      </c>
      <c r="AP67" s="641">
        <f>IF('Data Export'!$D67="","",'Project Summary'!$C$11)</f>
        <v>0</v>
      </c>
      <c r="AQ67" s="614"/>
      <c r="AR67" s="652">
        <f>IF('Data Export'!$D67="","",'Look Up Tables'!$C$166)</f>
        <v>2.7399999999999999E-5</v>
      </c>
    </row>
    <row r="68" spans="1:44" x14ac:dyDescent="0.2">
      <c r="A68" s="618" t="str">
        <f>'VS Ref Comp'!$B$3</f>
        <v>Variable Speed Refrigeration Compressor</v>
      </c>
      <c r="B68" s="614" t="s">
        <v>34</v>
      </c>
      <c r="C68" s="614">
        <v>66</v>
      </c>
      <c r="D68" s="630">
        <f>IF('VS Ref Comp'!T13&gt;0,'VS Ref Comp'!I13,"")</f>
        <v>0</v>
      </c>
      <c r="E68" s="630" t="str">
        <f>IF($D68="","",'Look Up Tables'!$AS$76)</f>
        <v>VSRefComTon</v>
      </c>
      <c r="F68" s="636" t="str">
        <f>IF('Data Export'!$D68="","", 'VS Ref Comp'!T13)</f>
        <v/>
      </c>
      <c r="G68" s="641">
        <f>IF('Data Export'!D68="","", 'Project Summary'!$C$6)</f>
        <v>0</v>
      </c>
      <c r="H68" s="635" t="str">
        <f>IF('Data Export'!$D68="","",'VS Ref Comp'!O13)</f>
        <v/>
      </c>
      <c r="I68" s="644" t="str">
        <f>IF('Data Export'!$D68="","",'VS Ref Comp'!P13)</f>
        <v/>
      </c>
      <c r="J68" s="630">
        <f>IF('Data Export'!$D68="","", 'Project Summary'!$J$1)</f>
        <v>5.01</v>
      </c>
      <c r="K68" s="630">
        <f>IF('Data Export'!$D68="","", 'VS Ref Comp'!D13)</f>
        <v>0</v>
      </c>
      <c r="L68" s="630">
        <f>IF('Data Export'!$D68="","", 'VS Ref Comp'!E13)</f>
        <v>0</v>
      </c>
      <c r="M68" s="630">
        <f>IF('Data Export'!$D68="","", 'Project Summary'!$C$13)</f>
        <v>0</v>
      </c>
      <c r="N68" s="614" t="str">
        <f>IF('Data Export'!$D68="","", "")</f>
        <v/>
      </c>
      <c r="O68" s="614" t="str">
        <f>IF('Data Export'!$D68="","", "")</f>
        <v/>
      </c>
      <c r="P68" s="630">
        <f>IF('Data Export'!$D67="","", IF('VS Ref Comp'!G13="Refrigeration","Refrigerator",'VS Ref Comp'!G13))</f>
        <v>0</v>
      </c>
      <c r="Q68" s="614" t="str">
        <f>IF('Data Export'!$D68="","", "")</f>
        <v/>
      </c>
      <c r="R68" s="614" t="str">
        <f>IF('Data Export'!$D68="","", "")</f>
        <v/>
      </c>
      <c r="S68" s="614" t="str">
        <f>IF('Data Export'!$D68="","", "")</f>
        <v/>
      </c>
      <c r="T68" s="614" t="str">
        <f>IF('Data Export'!$D68="","", "")</f>
        <v/>
      </c>
      <c r="U68" s="614" t="str">
        <f>IF('Data Export'!$D68="","", "")</f>
        <v/>
      </c>
      <c r="V68" s="614" t="str">
        <f>IF('Data Export'!$D68="","", "")</f>
        <v/>
      </c>
      <c r="W68" s="614" t="str">
        <f>IF('Data Export'!$D68="","", "")</f>
        <v/>
      </c>
      <c r="X68" s="614"/>
      <c r="Y68" s="632">
        <f>IF('Data Export'!$D68="","", 'VS Ref Comp'!H13)</f>
        <v>0</v>
      </c>
      <c r="Z68" s="614" t="str">
        <f>IF('Data Export'!$D68="","", "")</f>
        <v/>
      </c>
      <c r="AA68" s="614" t="str">
        <f>IF('Data Export'!$D68="","", "")</f>
        <v/>
      </c>
      <c r="AB68" s="614" t="str">
        <f>IF('Data Export'!$D68="","", "")</f>
        <v/>
      </c>
      <c r="AC68" s="614" t="str">
        <f>IF('Data Export'!$D68="","", "")</f>
        <v/>
      </c>
      <c r="AD68" s="614" t="str">
        <f>IF('Data Export'!$D68="","", "")</f>
        <v/>
      </c>
      <c r="AE68" s="614" t="str">
        <f>IF('Data Export'!$D68="","", "")</f>
        <v/>
      </c>
      <c r="AF68" s="614"/>
      <c r="AG68" s="614" t="str">
        <f>IF('Data Export'!$D68="","", "")</f>
        <v/>
      </c>
      <c r="AH68" s="614" t="str">
        <f>IF('Data Export'!$D68="","", "")</f>
        <v/>
      </c>
      <c r="AI68" s="614" t="str">
        <f>IF('Data Export'!$D68="","", "")</f>
        <v/>
      </c>
      <c r="AJ68" s="614" t="str">
        <f>IF('Data Export'!$D68="","", "")</f>
        <v/>
      </c>
      <c r="AK68" s="614" t="str">
        <f>IF('Data Export'!$D68="","", "")</f>
        <v/>
      </c>
      <c r="AL68" s="614"/>
      <c r="AM68" s="644" t="str">
        <f>IF('Data Export'!$D68="","",'VS Ref Comp'!R13)</f>
        <v/>
      </c>
      <c r="AN68" s="644" t="str">
        <f>IF('Data Export'!$D68="","",'VS Ref Comp'!Q13)</f>
        <v/>
      </c>
      <c r="AO68" s="636" t="str">
        <f>IF('Data Export'!$D68="","", IFERROR(ROUND($F68/$D68, 2), ""))</f>
        <v/>
      </c>
      <c r="AP68" s="641">
        <f>IF('Data Export'!$D68="","",'Project Summary'!$C$11)</f>
        <v>0</v>
      </c>
      <c r="AQ68" s="614"/>
      <c r="AR68" s="652">
        <f>IF('Data Export'!$D68="","",'Look Up Tables'!$C$166)</f>
        <v>2.7399999999999999E-5</v>
      </c>
    </row>
    <row r="69" spans="1:44" x14ac:dyDescent="0.2">
      <c r="A69" s="618" t="str">
        <f>'VS Ref Comp'!$B$3</f>
        <v>Variable Speed Refrigeration Compressor</v>
      </c>
      <c r="B69" s="614" t="s">
        <v>34</v>
      </c>
      <c r="C69" s="614">
        <v>67</v>
      </c>
      <c r="D69" s="630">
        <f>IF('VS Ref Comp'!T14&gt;0,'VS Ref Comp'!I14,"")</f>
        <v>0</v>
      </c>
      <c r="E69" s="630" t="str">
        <f>IF($D69="","",'Look Up Tables'!$AS$76)</f>
        <v>VSRefComTon</v>
      </c>
      <c r="F69" s="636" t="str">
        <f>IF('Data Export'!$D69="","", 'VS Ref Comp'!T14)</f>
        <v/>
      </c>
      <c r="G69" s="641">
        <f>IF('Data Export'!D69="","", 'Project Summary'!$C$6)</f>
        <v>0</v>
      </c>
      <c r="H69" s="635" t="str">
        <f>IF('Data Export'!$D69="","",'VS Ref Comp'!O14)</f>
        <v/>
      </c>
      <c r="I69" s="644" t="str">
        <f>IF('Data Export'!$D69="","",'VS Ref Comp'!P14)</f>
        <v/>
      </c>
      <c r="J69" s="630">
        <f>IF('Data Export'!$D69="","", 'Project Summary'!$J$1)</f>
        <v>5.01</v>
      </c>
      <c r="K69" s="630">
        <f>IF('Data Export'!$D69="","", 'VS Ref Comp'!D14)</f>
        <v>0</v>
      </c>
      <c r="L69" s="630">
        <f>IF('Data Export'!$D69="","", 'VS Ref Comp'!E14)</f>
        <v>0</v>
      </c>
      <c r="M69" s="630">
        <f>IF('Data Export'!$D69="","", 'Project Summary'!$C$13)</f>
        <v>0</v>
      </c>
      <c r="N69" s="614" t="str">
        <f>IF('Data Export'!$D69="","", "")</f>
        <v/>
      </c>
      <c r="O69" s="614" t="str">
        <f>IF('Data Export'!$D69="","", "")</f>
        <v/>
      </c>
      <c r="P69" s="630">
        <f>IF('Data Export'!$D68="","", IF('VS Ref Comp'!G14="Refrigeration","Refrigerator",'VS Ref Comp'!G14))</f>
        <v>0</v>
      </c>
      <c r="Q69" s="614" t="str">
        <f>IF('Data Export'!$D69="","", "")</f>
        <v/>
      </c>
      <c r="R69" s="614" t="str">
        <f>IF('Data Export'!$D69="","", "")</f>
        <v/>
      </c>
      <c r="S69" s="614" t="str">
        <f>IF('Data Export'!$D69="","", "")</f>
        <v/>
      </c>
      <c r="T69" s="614" t="str">
        <f>IF('Data Export'!$D69="","", "")</f>
        <v/>
      </c>
      <c r="U69" s="614" t="str">
        <f>IF('Data Export'!$D69="","", "")</f>
        <v/>
      </c>
      <c r="V69" s="614" t="str">
        <f>IF('Data Export'!$D69="","", "")</f>
        <v/>
      </c>
      <c r="W69" s="614" t="str">
        <f>IF('Data Export'!$D69="","", "")</f>
        <v/>
      </c>
      <c r="X69" s="614"/>
      <c r="Y69" s="632">
        <f>IF('Data Export'!$D69="","", 'VS Ref Comp'!H14)</f>
        <v>0</v>
      </c>
      <c r="Z69" s="614" t="str">
        <f>IF('Data Export'!$D69="","", "")</f>
        <v/>
      </c>
      <c r="AA69" s="614" t="str">
        <f>IF('Data Export'!$D69="","", "")</f>
        <v/>
      </c>
      <c r="AB69" s="614" t="str">
        <f>IF('Data Export'!$D69="","", "")</f>
        <v/>
      </c>
      <c r="AC69" s="614" t="str">
        <f>IF('Data Export'!$D69="","", "")</f>
        <v/>
      </c>
      <c r="AD69" s="614" t="str">
        <f>IF('Data Export'!$D69="","", "")</f>
        <v/>
      </c>
      <c r="AE69" s="614" t="str">
        <f>IF('Data Export'!$D69="","", "")</f>
        <v/>
      </c>
      <c r="AF69" s="614"/>
      <c r="AG69" s="614" t="str">
        <f>IF('Data Export'!$D69="","", "")</f>
        <v/>
      </c>
      <c r="AH69" s="614" t="str">
        <f>IF('Data Export'!$D69="","", "")</f>
        <v/>
      </c>
      <c r="AI69" s="614" t="str">
        <f>IF('Data Export'!$D69="","", "")</f>
        <v/>
      </c>
      <c r="AJ69" s="614" t="str">
        <f>IF('Data Export'!$D69="","", "")</f>
        <v/>
      </c>
      <c r="AK69" s="614" t="str">
        <f>IF('Data Export'!$D69="","", "")</f>
        <v/>
      </c>
      <c r="AL69" s="614"/>
      <c r="AM69" s="644" t="str">
        <f>IF('Data Export'!$D69="","",'VS Ref Comp'!R14)</f>
        <v/>
      </c>
      <c r="AN69" s="644" t="str">
        <f>IF('Data Export'!$D69="","",'VS Ref Comp'!Q14)</f>
        <v/>
      </c>
      <c r="AO69" s="636" t="str">
        <f>IF('Data Export'!$D69="","", IFERROR(ROUND($F69/$D69, 2), ""))</f>
        <v/>
      </c>
      <c r="AP69" s="641">
        <f>IF('Data Export'!$D69="","",'Project Summary'!$C$11)</f>
        <v>0</v>
      </c>
      <c r="AQ69" s="614"/>
      <c r="AR69" s="652">
        <f>IF('Data Export'!$D69="","",'Look Up Tables'!$C$166)</f>
        <v>2.7399999999999999E-5</v>
      </c>
    </row>
    <row r="70" spans="1:44" x14ac:dyDescent="0.2">
      <c r="A70" s="618" t="str">
        <f>'VS Ref Comp'!$B$3</f>
        <v>Variable Speed Refrigeration Compressor</v>
      </c>
      <c r="B70" s="614" t="s">
        <v>34</v>
      </c>
      <c r="C70" s="614">
        <v>68</v>
      </c>
      <c r="D70" s="630">
        <f>IF('VS Ref Comp'!T15&gt;0,'VS Ref Comp'!I15,"")</f>
        <v>0</v>
      </c>
      <c r="E70" s="630" t="str">
        <f>IF($D70="","",'Look Up Tables'!$AS$76)</f>
        <v>VSRefComTon</v>
      </c>
      <c r="F70" s="636" t="str">
        <f>IF('Data Export'!$D70="","", 'VS Ref Comp'!T15)</f>
        <v/>
      </c>
      <c r="G70" s="641">
        <f>IF('Data Export'!D70="","", 'Project Summary'!$C$6)</f>
        <v>0</v>
      </c>
      <c r="H70" s="635" t="str">
        <f>IF('Data Export'!$D70="","",'VS Ref Comp'!O15)</f>
        <v/>
      </c>
      <c r="I70" s="644" t="str">
        <f>IF('Data Export'!$D70="","",'VS Ref Comp'!P15)</f>
        <v/>
      </c>
      <c r="J70" s="630">
        <f>IF('Data Export'!$D70="","", 'Project Summary'!$J$1)</f>
        <v>5.01</v>
      </c>
      <c r="K70" s="630">
        <f>IF('Data Export'!$D70="","", 'VS Ref Comp'!D15)</f>
        <v>0</v>
      </c>
      <c r="L70" s="630">
        <f>IF('Data Export'!$D70="","", 'VS Ref Comp'!E15)</f>
        <v>0</v>
      </c>
      <c r="M70" s="630">
        <f>IF('Data Export'!$D70="","", 'Project Summary'!$C$13)</f>
        <v>0</v>
      </c>
      <c r="N70" s="614" t="str">
        <f>IF('Data Export'!$D70="","", "")</f>
        <v/>
      </c>
      <c r="O70" s="614" t="str">
        <f>IF('Data Export'!$D70="","", "")</f>
        <v/>
      </c>
      <c r="P70" s="630">
        <f>IF('Data Export'!$D69="","", IF('VS Ref Comp'!G15="Refrigeration","Refrigerator",'VS Ref Comp'!G15))</f>
        <v>0</v>
      </c>
      <c r="Q70" s="614" t="str">
        <f>IF('Data Export'!$D70="","", "")</f>
        <v/>
      </c>
      <c r="R70" s="614" t="str">
        <f>IF('Data Export'!$D70="","", "")</f>
        <v/>
      </c>
      <c r="S70" s="614" t="str">
        <f>IF('Data Export'!$D70="","", "")</f>
        <v/>
      </c>
      <c r="T70" s="614" t="str">
        <f>IF('Data Export'!$D70="","", "")</f>
        <v/>
      </c>
      <c r="U70" s="614" t="str">
        <f>IF('Data Export'!$D70="","", "")</f>
        <v/>
      </c>
      <c r="V70" s="614" t="str">
        <f>IF('Data Export'!$D70="","", "")</f>
        <v/>
      </c>
      <c r="W70" s="614" t="str">
        <f>IF('Data Export'!$D70="","", "")</f>
        <v/>
      </c>
      <c r="X70" s="614"/>
      <c r="Y70" s="632">
        <f>IF('Data Export'!$D70="","", 'VS Ref Comp'!H15)</f>
        <v>0</v>
      </c>
      <c r="Z70" s="614" t="str">
        <f>IF('Data Export'!$D70="","", "")</f>
        <v/>
      </c>
      <c r="AA70" s="614" t="str">
        <f>IF('Data Export'!$D70="","", "")</f>
        <v/>
      </c>
      <c r="AB70" s="614" t="str">
        <f>IF('Data Export'!$D70="","", "")</f>
        <v/>
      </c>
      <c r="AC70" s="614" t="str">
        <f>IF('Data Export'!$D70="","", "")</f>
        <v/>
      </c>
      <c r="AD70" s="614" t="str">
        <f>IF('Data Export'!$D70="","", "")</f>
        <v/>
      </c>
      <c r="AE70" s="614" t="str">
        <f>IF('Data Export'!$D70="","", "")</f>
        <v/>
      </c>
      <c r="AF70" s="614"/>
      <c r="AG70" s="614" t="str">
        <f>IF('Data Export'!$D70="","", "")</f>
        <v/>
      </c>
      <c r="AH70" s="614" t="str">
        <f>IF('Data Export'!$D70="","", "")</f>
        <v/>
      </c>
      <c r="AI70" s="614" t="str">
        <f>IF('Data Export'!$D70="","", "")</f>
        <v/>
      </c>
      <c r="AJ70" s="614" t="str">
        <f>IF('Data Export'!$D70="","", "")</f>
        <v/>
      </c>
      <c r="AK70" s="614" t="str">
        <f>IF('Data Export'!$D70="","", "")</f>
        <v/>
      </c>
      <c r="AL70" s="614"/>
      <c r="AM70" s="644" t="str">
        <f>IF('Data Export'!$D70="","",'VS Ref Comp'!R15)</f>
        <v/>
      </c>
      <c r="AN70" s="644" t="str">
        <f>IF('Data Export'!$D70="","",'VS Ref Comp'!Q15)</f>
        <v/>
      </c>
      <c r="AO70" s="636" t="str">
        <f>IF('Data Export'!$D70="","", IFERROR(ROUND($F70/$D70, 2), ""))</f>
        <v/>
      </c>
      <c r="AP70" s="641">
        <f>IF('Data Export'!$D70="","",'Project Summary'!$C$11)</f>
        <v>0</v>
      </c>
      <c r="AQ70" s="614"/>
      <c r="AR70" s="652">
        <f>IF('Data Export'!$D70="","",'Look Up Tables'!$C$166)</f>
        <v>2.7399999999999999E-5</v>
      </c>
    </row>
    <row r="71" spans="1:44" x14ac:dyDescent="0.2">
      <c r="A71" s="618" t="str">
        <f>'VS Ref Comp'!$B$3</f>
        <v>Variable Speed Refrigeration Compressor</v>
      </c>
      <c r="B71" s="614" t="s">
        <v>34</v>
      </c>
      <c r="C71" s="614">
        <v>69</v>
      </c>
      <c r="D71" s="630">
        <f>IF('VS Ref Comp'!T16&gt;0,'VS Ref Comp'!I16,"")</f>
        <v>0</v>
      </c>
      <c r="E71" s="630" t="str">
        <f>IF($D71="","",'Look Up Tables'!$AS$76)</f>
        <v>VSRefComTon</v>
      </c>
      <c r="F71" s="636" t="str">
        <f>IF('Data Export'!$D71="","", 'VS Ref Comp'!T16)</f>
        <v/>
      </c>
      <c r="G71" s="641">
        <f>IF('Data Export'!D71="","", 'Project Summary'!$C$6)</f>
        <v>0</v>
      </c>
      <c r="H71" s="635" t="str">
        <f>IF('Data Export'!$D71="","",'VS Ref Comp'!O16)</f>
        <v/>
      </c>
      <c r="I71" s="644" t="str">
        <f>IF('Data Export'!$D71="","",'VS Ref Comp'!P16)</f>
        <v/>
      </c>
      <c r="J71" s="630">
        <f>IF('Data Export'!$D71="","", 'Project Summary'!$J$1)</f>
        <v>5.01</v>
      </c>
      <c r="K71" s="630">
        <f>IF('Data Export'!$D71="","", 'VS Ref Comp'!D16)</f>
        <v>0</v>
      </c>
      <c r="L71" s="630">
        <f>IF('Data Export'!$D71="","", 'VS Ref Comp'!E16)</f>
        <v>0</v>
      </c>
      <c r="M71" s="630">
        <f>IF('Data Export'!$D71="","", 'Project Summary'!$C$13)</f>
        <v>0</v>
      </c>
      <c r="N71" s="614" t="str">
        <f>IF('Data Export'!$D71="","", "")</f>
        <v/>
      </c>
      <c r="O71" s="614" t="str">
        <f>IF('Data Export'!$D71="","", "")</f>
        <v/>
      </c>
      <c r="P71" s="630">
        <f>IF('Data Export'!$D70="","", IF('VS Ref Comp'!G16="Refrigeration","Refrigerator",'VS Ref Comp'!G16))</f>
        <v>0</v>
      </c>
      <c r="Q71" s="614" t="str">
        <f>IF('Data Export'!$D71="","", "")</f>
        <v/>
      </c>
      <c r="R71" s="614" t="str">
        <f>IF('Data Export'!$D71="","", "")</f>
        <v/>
      </c>
      <c r="S71" s="614" t="str">
        <f>IF('Data Export'!$D71="","", "")</f>
        <v/>
      </c>
      <c r="T71" s="614" t="str">
        <f>IF('Data Export'!$D71="","", "")</f>
        <v/>
      </c>
      <c r="U71" s="614" t="str">
        <f>IF('Data Export'!$D71="","", "")</f>
        <v/>
      </c>
      <c r="V71" s="614" t="str">
        <f>IF('Data Export'!$D71="","", "")</f>
        <v/>
      </c>
      <c r="W71" s="614" t="str">
        <f>IF('Data Export'!$D71="","", "")</f>
        <v/>
      </c>
      <c r="X71" s="614"/>
      <c r="Y71" s="632">
        <f>IF('Data Export'!$D71="","", 'VS Ref Comp'!H16)</f>
        <v>0</v>
      </c>
      <c r="Z71" s="614" t="str">
        <f>IF('Data Export'!$D71="","", "")</f>
        <v/>
      </c>
      <c r="AA71" s="614" t="str">
        <f>IF('Data Export'!$D71="","", "")</f>
        <v/>
      </c>
      <c r="AB71" s="614" t="str">
        <f>IF('Data Export'!$D71="","", "")</f>
        <v/>
      </c>
      <c r="AC71" s="614" t="str">
        <f>IF('Data Export'!$D71="","", "")</f>
        <v/>
      </c>
      <c r="AD71" s="614" t="str">
        <f>IF('Data Export'!$D71="","", "")</f>
        <v/>
      </c>
      <c r="AE71" s="614" t="str">
        <f>IF('Data Export'!$D71="","", "")</f>
        <v/>
      </c>
      <c r="AF71" s="614"/>
      <c r="AG71" s="614" t="str">
        <f>IF('Data Export'!$D71="","", "")</f>
        <v/>
      </c>
      <c r="AH71" s="614" t="str">
        <f>IF('Data Export'!$D71="","", "")</f>
        <v/>
      </c>
      <c r="AI71" s="614" t="str">
        <f>IF('Data Export'!$D71="","", "")</f>
        <v/>
      </c>
      <c r="AJ71" s="614" t="str">
        <f>IF('Data Export'!$D71="","", "")</f>
        <v/>
      </c>
      <c r="AK71" s="614" t="str">
        <f>IF('Data Export'!$D71="","", "")</f>
        <v/>
      </c>
      <c r="AL71" s="614"/>
      <c r="AM71" s="644" t="str">
        <f>IF('Data Export'!$D71="","",'VS Ref Comp'!R16)</f>
        <v/>
      </c>
      <c r="AN71" s="644" t="str">
        <f>IF('Data Export'!$D71="","",'VS Ref Comp'!Q16)</f>
        <v/>
      </c>
      <c r="AO71" s="636" t="str">
        <f>IF('Data Export'!$D71="","", IFERROR(ROUND($F71/$D71, 2), ""))</f>
        <v/>
      </c>
      <c r="AP71" s="641">
        <f>IF('Data Export'!$D71="","",'Project Summary'!$C$11)</f>
        <v>0</v>
      </c>
      <c r="AQ71" s="614"/>
      <c r="AR71" s="652">
        <f>IF('Data Export'!$D71="","",'Look Up Tables'!$C$166)</f>
        <v>2.7399999999999999E-5</v>
      </c>
    </row>
    <row r="72" spans="1:44" ht="15" thickBot="1" x14ac:dyDescent="0.25">
      <c r="A72" s="625" t="str">
        <f>'VS Ref Comp'!$B$3</f>
        <v>Variable Speed Refrigeration Compressor</v>
      </c>
      <c r="B72" s="626" t="s">
        <v>34</v>
      </c>
      <c r="C72" s="626">
        <v>70</v>
      </c>
      <c r="D72" s="631">
        <f>IF('VS Ref Comp'!T17&gt;0,'VS Ref Comp'!I17,"")</f>
        <v>0</v>
      </c>
      <c r="E72" s="631" t="str">
        <f>IF($D72="","",'Look Up Tables'!$AS$76)</f>
        <v>VSRefComTon</v>
      </c>
      <c r="F72" s="638" t="str">
        <f>IF('Data Export'!$D72="","", 'VS Ref Comp'!T17)</f>
        <v/>
      </c>
      <c r="G72" s="642">
        <f>IF('Data Export'!D72="","", 'Project Summary'!$C$6)</f>
        <v>0</v>
      </c>
      <c r="H72" s="639" t="str">
        <f>IF('Data Export'!$D72="","",'VS Ref Comp'!O17)</f>
        <v/>
      </c>
      <c r="I72" s="659" t="str">
        <f>IF('Data Export'!$D72="","",'VS Ref Comp'!P17)</f>
        <v/>
      </c>
      <c r="J72" s="631">
        <f>IF('Data Export'!$D72="","", 'Project Summary'!$J$1)</f>
        <v>5.01</v>
      </c>
      <c r="K72" s="631">
        <f>IF('Data Export'!$D72="","", 'VS Ref Comp'!D17)</f>
        <v>0</v>
      </c>
      <c r="L72" s="631">
        <f>IF('Data Export'!$D72="","", 'VS Ref Comp'!E17)</f>
        <v>0</v>
      </c>
      <c r="M72" s="631">
        <f>IF('Data Export'!$D72="","", 'Project Summary'!$C$13)</f>
        <v>0</v>
      </c>
      <c r="N72" s="626" t="str">
        <f>IF('Data Export'!$D72="","", "")</f>
        <v/>
      </c>
      <c r="O72" s="626" t="str">
        <f>IF('Data Export'!$D72="","", "")</f>
        <v/>
      </c>
      <c r="P72" s="631">
        <f>IF('Data Export'!$D71="","", IF('VS Ref Comp'!G17="Refrigeration","Refrigerator",'VS Ref Comp'!G17))</f>
        <v>0</v>
      </c>
      <c r="Q72" s="626" t="str">
        <f>IF('Data Export'!$D72="","", "")</f>
        <v/>
      </c>
      <c r="R72" s="626" t="str">
        <f>IF('Data Export'!$D72="","", "")</f>
        <v/>
      </c>
      <c r="S72" s="626" t="str">
        <f>IF('Data Export'!$D72="","", "")</f>
        <v/>
      </c>
      <c r="T72" s="626" t="str">
        <f>IF('Data Export'!$D72="","", "")</f>
        <v/>
      </c>
      <c r="U72" s="626" t="str">
        <f>IF('Data Export'!$D72="","", "")</f>
        <v/>
      </c>
      <c r="V72" s="626" t="str">
        <f>IF('Data Export'!$D72="","", "")</f>
        <v/>
      </c>
      <c r="W72" s="626" t="str">
        <f>IF('Data Export'!$D72="","", "")</f>
        <v/>
      </c>
      <c r="X72" s="626"/>
      <c r="Y72" s="646">
        <f>IF('Data Export'!$D72="","", 'VS Ref Comp'!H17)</f>
        <v>0</v>
      </c>
      <c r="Z72" s="626" t="str">
        <f>IF('Data Export'!$D72="","", "")</f>
        <v/>
      </c>
      <c r="AA72" s="626" t="str">
        <f>IF('Data Export'!$D72="","", "")</f>
        <v/>
      </c>
      <c r="AB72" s="626" t="str">
        <f>IF('Data Export'!$D72="","", "")</f>
        <v/>
      </c>
      <c r="AC72" s="626" t="str">
        <f>IF('Data Export'!$D72="","", "")</f>
        <v/>
      </c>
      <c r="AD72" s="626" t="str">
        <f>IF('Data Export'!$D72="","", "")</f>
        <v/>
      </c>
      <c r="AE72" s="626" t="str">
        <f>IF('Data Export'!$D72="","", "")</f>
        <v/>
      </c>
      <c r="AF72" s="626"/>
      <c r="AG72" s="626" t="str">
        <f>IF('Data Export'!$D72="","", "")</f>
        <v/>
      </c>
      <c r="AH72" s="626" t="str">
        <f>IF('Data Export'!$D72="","", "")</f>
        <v/>
      </c>
      <c r="AI72" s="626" t="str">
        <f>IF('Data Export'!$D72="","", "")</f>
        <v/>
      </c>
      <c r="AJ72" s="626" t="str">
        <f>IF('Data Export'!$D72="","", "")</f>
        <v/>
      </c>
      <c r="AK72" s="626" t="str">
        <f>IF('Data Export'!$D72="","", "")</f>
        <v/>
      </c>
      <c r="AL72" s="626"/>
      <c r="AM72" s="659" t="str">
        <f>IF('Data Export'!$D72="","",'VS Ref Comp'!R17)</f>
        <v/>
      </c>
      <c r="AN72" s="659" t="str">
        <f>IF('Data Export'!$D72="","",'VS Ref Comp'!Q17)</f>
        <v/>
      </c>
      <c r="AO72" s="638" t="str">
        <f>IF('Data Export'!$D72="","", IFERROR(ROUND($F72/$D72, 2), ""))</f>
        <v/>
      </c>
      <c r="AP72" s="642">
        <f>IF('Data Export'!$D72="","",'Project Summary'!$C$11)</f>
        <v>0</v>
      </c>
      <c r="AQ72" s="626"/>
      <c r="AR72" s="663">
        <f>IF('Data Export'!$D72="","",'Look Up Tables'!$C$166)</f>
        <v>2.7399999999999999E-5</v>
      </c>
    </row>
    <row r="73" spans="1:44" ht="15" thickTop="1" x14ac:dyDescent="0.2">
      <c r="A73" s="620" t="str">
        <f>'Strip Curtains'!$B$3</f>
        <v>Strip Curtains for Walk In Freezers and Coolers</v>
      </c>
      <c r="B73" s="621" t="s">
        <v>318</v>
      </c>
      <c r="C73" s="621">
        <v>71</v>
      </c>
      <c r="D73" s="632">
        <f>IF('Strip Curtains'!P8&gt;0,'Strip Curtains'!H8,"")</f>
        <v>0</v>
      </c>
      <c r="E73" s="632" t="str">
        <f>IF($D73="","",'Look Up Tables'!$AS$63)</f>
        <v>StripCurtain</v>
      </c>
      <c r="F73" s="637" t="str">
        <f>IF('Data Export'!$D73="","", 'Strip Curtains'!P8)</f>
        <v/>
      </c>
      <c r="G73" s="643">
        <f>IF('Data Export'!D73="","", 'Project Summary'!$C$6)</f>
        <v>0</v>
      </c>
      <c r="H73" s="640" t="str">
        <f>IF('Data Export'!$D73="","",'Strip Curtains'!J8)</f>
        <v/>
      </c>
      <c r="I73" s="658" t="str">
        <f>IF('Data Export'!$D73="","",'Strip Curtains'!K8)</f>
        <v/>
      </c>
      <c r="J73" s="632">
        <f>IF('Data Export'!$D73="","", 'Project Summary'!$J$1)</f>
        <v>5.01</v>
      </c>
      <c r="K73" s="632">
        <f>IF('Data Export'!$D73="","",'Strip Curtains'!D8)</f>
        <v>0</v>
      </c>
      <c r="L73" s="632">
        <f>IF('Data Export'!$D73="","",'Strip Curtains'!E8)</f>
        <v>0</v>
      </c>
      <c r="M73" s="632">
        <f>IF('Data Export'!$D73="","", 'Project Summary'!$C$13)</f>
        <v>0</v>
      </c>
      <c r="N73" s="621" t="str">
        <f>IF('Data Export'!$D73="","", "")</f>
        <v/>
      </c>
      <c r="O73" s="621" t="str">
        <f>IF('Data Export'!$D73="","", "")</f>
        <v/>
      </c>
      <c r="P73" s="632" t="str">
        <f>IF('Data Export'!$D73="","", 'Strip Curtains'!N8)</f>
        <v/>
      </c>
      <c r="Q73" s="621" t="str">
        <f>IF('Data Export'!$D73="","", "")</f>
        <v/>
      </c>
      <c r="R73" s="621" t="str">
        <f>IF('Data Export'!$D73="","", "")</f>
        <v/>
      </c>
      <c r="S73" s="621" t="str">
        <f>IF('Data Export'!$D73="","", "")</f>
        <v/>
      </c>
      <c r="T73" s="621" t="str">
        <f>IF('Data Export'!$D73="","", "")</f>
        <v/>
      </c>
      <c r="U73" s="621" t="str">
        <f>IF('Data Export'!$D73="","", "")</f>
        <v/>
      </c>
      <c r="V73" s="621" t="str">
        <f>IF('Data Export'!$D73="","", "")</f>
        <v/>
      </c>
      <c r="W73" s="621" t="str">
        <f>IF('Data Export'!$D73="","", "")</f>
        <v/>
      </c>
      <c r="X73" s="621" t="str">
        <f>IF('Data Export'!$D73="","", "")</f>
        <v/>
      </c>
      <c r="Y73" s="621" t="str">
        <f>IF('Data Export'!$D73="","", "")</f>
        <v/>
      </c>
      <c r="Z73" s="621" t="str">
        <f>IF('Data Export'!$D73="","", "")</f>
        <v/>
      </c>
      <c r="AA73" s="621" t="str">
        <f>IF('Data Export'!$D73="","", "")</f>
        <v/>
      </c>
      <c r="AB73" s="621" t="str">
        <f>IF('Data Export'!$D73="","", "")</f>
        <v/>
      </c>
      <c r="AC73" s="645" t="str">
        <f>IF('Data Export'!$D73="","", "Unknown")</f>
        <v>Unknown</v>
      </c>
      <c r="AD73" s="632" t="e">
        <f>IF('Data Export'!$D73="","",VLOOKUP('Strip Curtains'!$G8,'Look Up Tables'!$F$86:$I$93,4,FALSE))</f>
        <v>#N/A</v>
      </c>
      <c r="AE73" s="621" t="str">
        <f>IF('Data Export'!$D73="","", "")</f>
        <v/>
      </c>
      <c r="AF73" s="621"/>
      <c r="AG73" s="621" t="str">
        <f>IF('Data Export'!$D73="","", "")</f>
        <v/>
      </c>
      <c r="AH73" s="621" t="str">
        <f>IF('Data Export'!$D73="","", "")</f>
        <v/>
      </c>
      <c r="AI73" s="621" t="str">
        <f>IF('Data Export'!$D73="","", "")</f>
        <v/>
      </c>
      <c r="AJ73" s="621" t="str">
        <f>IF('Data Export'!$D73="","", "")</f>
        <v/>
      </c>
      <c r="AK73" s="621" t="str">
        <f>IF('Data Export'!$D73="","", "")</f>
        <v/>
      </c>
      <c r="AL73" s="621"/>
      <c r="AM73" s="658" t="str">
        <f>IF('Data Export'!$D73="","",'Strip Curtains'!M8)</f>
        <v/>
      </c>
      <c r="AN73" s="658" t="str">
        <f>IF('Data Export'!$D73="","",'Strip Curtains'!L8)</f>
        <v/>
      </c>
      <c r="AO73" s="637" t="str">
        <f>IF('Data Export'!$D73="","", IFERROR(ROUND($F73/$D73, 2), ""))</f>
        <v/>
      </c>
      <c r="AP73" s="643">
        <f>IF('Data Export'!$D73="","",'Project Summary'!$C$11)</f>
        <v>0</v>
      </c>
      <c r="AQ73" s="621"/>
      <c r="AR73" s="621"/>
    </row>
    <row r="74" spans="1:44" x14ac:dyDescent="0.2">
      <c r="A74" s="618" t="str">
        <f>'Strip Curtains'!$B$3</f>
        <v>Strip Curtains for Walk In Freezers and Coolers</v>
      </c>
      <c r="B74" s="614" t="s">
        <v>318</v>
      </c>
      <c r="C74" s="614">
        <v>72</v>
      </c>
      <c r="D74" s="630">
        <f>IF('Strip Curtains'!P9&gt;0,'Strip Curtains'!H9,"")</f>
        <v>0</v>
      </c>
      <c r="E74" s="630" t="str">
        <f>IF($D74="","",'Look Up Tables'!$AS$63)</f>
        <v>StripCurtain</v>
      </c>
      <c r="F74" s="636" t="str">
        <f>IF('Data Export'!$D74="","", 'Strip Curtains'!P9)</f>
        <v/>
      </c>
      <c r="G74" s="641">
        <f>IF('Data Export'!D74="","", 'Project Summary'!$C$6)</f>
        <v>0</v>
      </c>
      <c r="H74" s="635" t="str">
        <f>IF('Data Export'!$D74="","",'Strip Curtains'!J9)</f>
        <v/>
      </c>
      <c r="I74" s="644" t="str">
        <f>IF('Data Export'!$D74="","",'Strip Curtains'!K9)</f>
        <v/>
      </c>
      <c r="J74" s="630">
        <f>IF('Data Export'!$D74="","", 'Project Summary'!$J$1)</f>
        <v>5.01</v>
      </c>
      <c r="K74" s="630">
        <f>IF('Data Export'!$D74="","",'Strip Curtains'!D9)</f>
        <v>0</v>
      </c>
      <c r="L74" s="630">
        <f>IF('Data Export'!$D74="","",'Strip Curtains'!E9)</f>
        <v>0</v>
      </c>
      <c r="M74" s="630">
        <f>IF('Data Export'!$D74="","", 'Project Summary'!$C$13)</f>
        <v>0</v>
      </c>
      <c r="N74" s="614" t="str">
        <f>IF('Data Export'!$D74="","", "")</f>
        <v/>
      </c>
      <c r="O74" s="614" t="str">
        <f>IF('Data Export'!$D74="","", "")</f>
        <v/>
      </c>
      <c r="P74" s="630" t="str">
        <f>IF('Data Export'!$D74="","", 'Strip Curtains'!N9)</f>
        <v/>
      </c>
      <c r="Q74" s="614" t="str">
        <f>IF('Data Export'!$D74="","", "")</f>
        <v/>
      </c>
      <c r="R74" s="614" t="str">
        <f>IF('Data Export'!$D74="","", "")</f>
        <v/>
      </c>
      <c r="S74" s="614" t="str">
        <f>IF('Data Export'!$D74="","", "")</f>
        <v/>
      </c>
      <c r="T74" s="614" t="str">
        <f>IF('Data Export'!$D74="","", "")</f>
        <v/>
      </c>
      <c r="U74" s="614" t="str">
        <f>IF('Data Export'!$D74="","", "")</f>
        <v/>
      </c>
      <c r="V74" s="614" t="str">
        <f>IF('Data Export'!$D74="","", "")</f>
        <v/>
      </c>
      <c r="W74" s="614" t="str">
        <f>IF('Data Export'!$D74="","", "")</f>
        <v/>
      </c>
      <c r="X74" s="614" t="str">
        <f>IF('Data Export'!$D74="","", "")</f>
        <v/>
      </c>
      <c r="Y74" s="614" t="str">
        <f>IF('Data Export'!$D74="","", "")</f>
        <v/>
      </c>
      <c r="Z74" s="614" t="str">
        <f>IF('Data Export'!$D74="","", "")</f>
        <v/>
      </c>
      <c r="AA74" s="614" t="str">
        <f>IF('Data Export'!$D74="","", "")</f>
        <v/>
      </c>
      <c r="AB74" s="614" t="str">
        <f>IF('Data Export'!$D74="","", "")</f>
        <v/>
      </c>
      <c r="AC74" s="632" t="str">
        <f>IF('Data Export'!$D74="","", "Unknown")</f>
        <v>Unknown</v>
      </c>
      <c r="AD74" s="630" t="e">
        <f>IF('Data Export'!$D74="","",VLOOKUP('Strip Curtains'!$G9,'Look Up Tables'!$F$86:$I$93,4,FALSE))</f>
        <v>#N/A</v>
      </c>
      <c r="AE74" s="614" t="str">
        <f>IF('Data Export'!$D74="","", "")</f>
        <v/>
      </c>
      <c r="AF74" s="614"/>
      <c r="AG74" s="614" t="str">
        <f>IF('Data Export'!$D74="","", "")</f>
        <v/>
      </c>
      <c r="AH74" s="614" t="str">
        <f>IF('Data Export'!$D74="","", "")</f>
        <v/>
      </c>
      <c r="AI74" s="614" t="str">
        <f>IF('Data Export'!$D74="","", "")</f>
        <v/>
      </c>
      <c r="AJ74" s="614" t="str">
        <f>IF('Data Export'!$D74="","", "")</f>
        <v/>
      </c>
      <c r="AK74" s="614" t="str">
        <f>IF('Data Export'!$D74="","", "")</f>
        <v/>
      </c>
      <c r="AL74" s="614"/>
      <c r="AM74" s="644" t="str">
        <f>IF('Data Export'!$D74="","",'Strip Curtains'!M9)</f>
        <v/>
      </c>
      <c r="AN74" s="644" t="str">
        <f>IF('Data Export'!$D74="","",'Strip Curtains'!L9)</f>
        <v/>
      </c>
      <c r="AO74" s="636" t="str">
        <f>IF('Data Export'!$D74="","", IFERROR(ROUND($F74/$D74, 2), ""))</f>
        <v/>
      </c>
      <c r="AP74" s="641">
        <f>IF('Data Export'!$D74="","",'Project Summary'!$C$11)</f>
        <v>0</v>
      </c>
      <c r="AQ74" s="614"/>
      <c r="AR74" s="614"/>
    </row>
    <row r="75" spans="1:44" x14ac:dyDescent="0.2">
      <c r="A75" s="618" t="str">
        <f>'Strip Curtains'!$B$3</f>
        <v>Strip Curtains for Walk In Freezers and Coolers</v>
      </c>
      <c r="B75" s="614" t="s">
        <v>318</v>
      </c>
      <c r="C75" s="614">
        <v>73</v>
      </c>
      <c r="D75" s="630">
        <f>IF('Strip Curtains'!P10&gt;0,'Strip Curtains'!H10,"")</f>
        <v>0</v>
      </c>
      <c r="E75" s="630" t="str">
        <f>IF($D75="","",'Look Up Tables'!$AS$63)</f>
        <v>StripCurtain</v>
      </c>
      <c r="F75" s="636" t="str">
        <f>IF('Data Export'!$D75="","", 'Strip Curtains'!P10)</f>
        <v/>
      </c>
      <c r="G75" s="641">
        <f>IF('Data Export'!D75="","", 'Project Summary'!$C$6)</f>
        <v>0</v>
      </c>
      <c r="H75" s="635" t="str">
        <f>IF('Data Export'!$D75="","",'Strip Curtains'!J10)</f>
        <v/>
      </c>
      <c r="I75" s="644" t="str">
        <f>IF('Data Export'!$D75="","",'Strip Curtains'!K10)</f>
        <v/>
      </c>
      <c r="J75" s="630">
        <f>IF('Data Export'!$D75="","", 'Project Summary'!$J$1)</f>
        <v>5.01</v>
      </c>
      <c r="K75" s="630">
        <f>IF('Data Export'!$D75="","",'Strip Curtains'!D10)</f>
        <v>0</v>
      </c>
      <c r="L75" s="630">
        <f>IF('Data Export'!$D75="","",'Strip Curtains'!E10)</f>
        <v>0</v>
      </c>
      <c r="M75" s="630">
        <f>IF('Data Export'!$D75="","", 'Project Summary'!$C$13)</f>
        <v>0</v>
      </c>
      <c r="N75" s="614" t="str">
        <f>IF('Data Export'!$D75="","", "")</f>
        <v/>
      </c>
      <c r="O75" s="614" t="str">
        <f>IF('Data Export'!$D75="","", "")</f>
        <v/>
      </c>
      <c r="P75" s="630" t="str">
        <f>IF('Data Export'!$D75="","", 'Strip Curtains'!N10)</f>
        <v/>
      </c>
      <c r="Q75" s="614" t="str">
        <f>IF('Data Export'!$D75="","", "")</f>
        <v/>
      </c>
      <c r="R75" s="614" t="str">
        <f>IF('Data Export'!$D75="","", "")</f>
        <v/>
      </c>
      <c r="S75" s="614" t="str">
        <f>IF('Data Export'!$D75="","", "")</f>
        <v/>
      </c>
      <c r="T75" s="614" t="str">
        <f>IF('Data Export'!$D75="","", "")</f>
        <v/>
      </c>
      <c r="U75" s="614" t="str">
        <f>IF('Data Export'!$D75="","", "")</f>
        <v/>
      </c>
      <c r="V75" s="614" t="str">
        <f>IF('Data Export'!$D75="","", "")</f>
        <v/>
      </c>
      <c r="W75" s="614" t="str">
        <f>IF('Data Export'!$D75="","", "")</f>
        <v/>
      </c>
      <c r="X75" s="614" t="str">
        <f>IF('Data Export'!$D75="","", "")</f>
        <v/>
      </c>
      <c r="Y75" s="614" t="str">
        <f>IF('Data Export'!$D75="","", "")</f>
        <v/>
      </c>
      <c r="Z75" s="614" t="str">
        <f>IF('Data Export'!$D75="","", "")</f>
        <v/>
      </c>
      <c r="AA75" s="614" t="str">
        <f>IF('Data Export'!$D75="","", "")</f>
        <v/>
      </c>
      <c r="AB75" s="614" t="str">
        <f>IF('Data Export'!$D75="","", "")</f>
        <v/>
      </c>
      <c r="AC75" s="632" t="str">
        <f>IF('Data Export'!$D75="","", "Unknown")</f>
        <v>Unknown</v>
      </c>
      <c r="AD75" s="630" t="e">
        <f>IF('Data Export'!$D75="","",VLOOKUP('Strip Curtains'!$G10,'Look Up Tables'!$F$86:$I$93,4,FALSE))</f>
        <v>#N/A</v>
      </c>
      <c r="AE75" s="614" t="str">
        <f>IF('Data Export'!$D75="","", "")</f>
        <v/>
      </c>
      <c r="AF75" s="614"/>
      <c r="AG75" s="614" t="str">
        <f>IF('Data Export'!$D75="","", "")</f>
        <v/>
      </c>
      <c r="AH75" s="614" t="str">
        <f>IF('Data Export'!$D75="","", "")</f>
        <v/>
      </c>
      <c r="AI75" s="614" t="str">
        <f>IF('Data Export'!$D75="","", "")</f>
        <v/>
      </c>
      <c r="AJ75" s="614" t="str">
        <f>IF('Data Export'!$D75="","", "")</f>
        <v/>
      </c>
      <c r="AK75" s="614" t="str">
        <f>IF('Data Export'!$D75="","", "")</f>
        <v/>
      </c>
      <c r="AL75" s="614"/>
      <c r="AM75" s="644" t="str">
        <f>IF('Data Export'!$D75="","",'Strip Curtains'!M10)</f>
        <v/>
      </c>
      <c r="AN75" s="644" t="str">
        <f>IF('Data Export'!$D75="","",'Strip Curtains'!L10)</f>
        <v/>
      </c>
      <c r="AO75" s="636" t="str">
        <f>IF('Data Export'!$D75="","", IFERROR(ROUND($F75/$D75, 2), ""))</f>
        <v/>
      </c>
      <c r="AP75" s="641">
        <f>IF('Data Export'!$D75="","",'Project Summary'!$C$11)</f>
        <v>0</v>
      </c>
      <c r="AQ75" s="614"/>
      <c r="AR75" s="614"/>
    </row>
    <row r="76" spans="1:44" x14ac:dyDescent="0.2">
      <c r="A76" s="618" t="str">
        <f>'Strip Curtains'!$B$3</f>
        <v>Strip Curtains for Walk In Freezers and Coolers</v>
      </c>
      <c r="B76" s="614" t="s">
        <v>318</v>
      </c>
      <c r="C76" s="614">
        <v>74</v>
      </c>
      <c r="D76" s="630">
        <f>IF('Strip Curtains'!P11&gt;0,'Strip Curtains'!H11,"")</f>
        <v>0</v>
      </c>
      <c r="E76" s="630" t="str">
        <f>IF($D76="","",'Look Up Tables'!$AS$63)</f>
        <v>StripCurtain</v>
      </c>
      <c r="F76" s="636" t="str">
        <f>IF('Data Export'!$D76="","", 'Strip Curtains'!P11)</f>
        <v/>
      </c>
      <c r="G76" s="641">
        <f>IF('Data Export'!D76="","", 'Project Summary'!$C$6)</f>
        <v>0</v>
      </c>
      <c r="H76" s="635" t="str">
        <f>IF('Data Export'!$D76="","",'Strip Curtains'!J11)</f>
        <v/>
      </c>
      <c r="I76" s="644" t="str">
        <f>IF('Data Export'!$D76="","",'Strip Curtains'!K11)</f>
        <v/>
      </c>
      <c r="J76" s="630">
        <f>IF('Data Export'!$D76="","", 'Project Summary'!$J$1)</f>
        <v>5.01</v>
      </c>
      <c r="K76" s="630">
        <f>IF('Data Export'!$D76="","",'Strip Curtains'!D11)</f>
        <v>0</v>
      </c>
      <c r="L76" s="630">
        <f>IF('Data Export'!$D76="","",'Strip Curtains'!E11)</f>
        <v>0</v>
      </c>
      <c r="M76" s="630">
        <f>IF('Data Export'!$D76="","", 'Project Summary'!$C$13)</f>
        <v>0</v>
      </c>
      <c r="N76" s="614" t="str">
        <f>IF('Data Export'!$D76="","", "")</f>
        <v/>
      </c>
      <c r="O76" s="614" t="str">
        <f>IF('Data Export'!$D76="","", "")</f>
        <v/>
      </c>
      <c r="P76" s="630" t="str">
        <f>IF('Data Export'!$D76="","", 'Strip Curtains'!N11)</f>
        <v/>
      </c>
      <c r="Q76" s="614" t="str">
        <f>IF('Data Export'!$D76="","", "")</f>
        <v/>
      </c>
      <c r="R76" s="614" t="str">
        <f>IF('Data Export'!$D76="","", "")</f>
        <v/>
      </c>
      <c r="S76" s="614" t="str">
        <f>IF('Data Export'!$D76="","", "")</f>
        <v/>
      </c>
      <c r="T76" s="614" t="str">
        <f>IF('Data Export'!$D76="","", "")</f>
        <v/>
      </c>
      <c r="U76" s="614" t="str">
        <f>IF('Data Export'!$D76="","", "")</f>
        <v/>
      </c>
      <c r="V76" s="614" t="str">
        <f>IF('Data Export'!$D76="","", "")</f>
        <v/>
      </c>
      <c r="W76" s="614" t="str">
        <f>IF('Data Export'!$D76="","", "")</f>
        <v/>
      </c>
      <c r="X76" s="614" t="str">
        <f>IF('Data Export'!$D76="","", "")</f>
        <v/>
      </c>
      <c r="Y76" s="614" t="str">
        <f>IF('Data Export'!$D76="","", "")</f>
        <v/>
      </c>
      <c r="Z76" s="614" t="str">
        <f>IF('Data Export'!$D76="","", "")</f>
        <v/>
      </c>
      <c r="AA76" s="614" t="str">
        <f>IF('Data Export'!$D76="","", "")</f>
        <v/>
      </c>
      <c r="AB76" s="614" t="str">
        <f>IF('Data Export'!$D76="","", "")</f>
        <v/>
      </c>
      <c r="AC76" s="632" t="str">
        <f>IF('Data Export'!$D76="","", "Unknown")</f>
        <v>Unknown</v>
      </c>
      <c r="AD76" s="630" t="e">
        <f>IF('Data Export'!$D76="","",VLOOKUP('Strip Curtains'!$G11,'Look Up Tables'!$F$86:$I$93,4,FALSE))</f>
        <v>#N/A</v>
      </c>
      <c r="AE76" s="614" t="str">
        <f>IF('Data Export'!$D76="","", "")</f>
        <v/>
      </c>
      <c r="AF76" s="614"/>
      <c r="AG76" s="614" t="str">
        <f>IF('Data Export'!$D76="","", "")</f>
        <v/>
      </c>
      <c r="AH76" s="614" t="str">
        <f>IF('Data Export'!$D76="","", "")</f>
        <v/>
      </c>
      <c r="AI76" s="614" t="str">
        <f>IF('Data Export'!$D76="","", "")</f>
        <v/>
      </c>
      <c r="AJ76" s="614" t="str">
        <f>IF('Data Export'!$D76="","", "")</f>
        <v/>
      </c>
      <c r="AK76" s="614" t="str">
        <f>IF('Data Export'!$D76="","", "")</f>
        <v/>
      </c>
      <c r="AL76" s="614"/>
      <c r="AM76" s="644" t="str">
        <f>IF('Data Export'!$D76="","",'Strip Curtains'!M11)</f>
        <v/>
      </c>
      <c r="AN76" s="644" t="str">
        <f>IF('Data Export'!$D76="","",'Strip Curtains'!L11)</f>
        <v/>
      </c>
      <c r="AO76" s="636" t="str">
        <f>IF('Data Export'!$D76="","", IFERROR(ROUND($F76/$D76, 2), ""))</f>
        <v/>
      </c>
      <c r="AP76" s="641">
        <f>IF('Data Export'!$D76="","",'Project Summary'!$C$11)</f>
        <v>0</v>
      </c>
      <c r="AQ76" s="614"/>
      <c r="AR76" s="614"/>
    </row>
    <row r="77" spans="1:44" x14ac:dyDescent="0.2">
      <c r="A77" s="618" t="str">
        <f>'Strip Curtains'!$B$3</f>
        <v>Strip Curtains for Walk In Freezers and Coolers</v>
      </c>
      <c r="B77" s="614" t="s">
        <v>318</v>
      </c>
      <c r="C77" s="614">
        <v>75</v>
      </c>
      <c r="D77" s="630">
        <f>IF('Strip Curtains'!P12&gt;0,'Strip Curtains'!H12,"")</f>
        <v>0</v>
      </c>
      <c r="E77" s="630" t="str">
        <f>IF($D77="","",'Look Up Tables'!$AS$63)</f>
        <v>StripCurtain</v>
      </c>
      <c r="F77" s="636" t="str">
        <f>IF('Data Export'!$D77="","", 'Strip Curtains'!P12)</f>
        <v/>
      </c>
      <c r="G77" s="641">
        <f>IF('Data Export'!D77="","", 'Project Summary'!$C$6)</f>
        <v>0</v>
      </c>
      <c r="H77" s="635" t="str">
        <f>IF('Data Export'!$D77="","",'Strip Curtains'!J12)</f>
        <v/>
      </c>
      <c r="I77" s="644" t="str">
        <f>IF('Data Export'!$D77="","",'Strip Curtains'!K12)</f>
        <v/>
      </c>
      <c r="J77" s="630">
        <f>IF('Data Export'!$D77="","", 'Project Summary'!$J$1)</f>
        <v>5.01</v>
      </c>
      <c r="K77" s="630">
        <f>IF('Data Export'!$D77="","",'Strip Curtains'!D12)</f>
        <v>0</v>
      </c>
      <c r="L77" s="630">
        <f>IF('Data Export'!$D77="","",'Strip Curtains'!E12)</f>
        <v>0</v>
      </c>
      <c r="M77" s="630">
        <f>IF('Data Export'!$D77="","", 'Project Summary'!$C$13)</f>
        <v>0</v>
      </c>
      <c r="N77" s="614" t="str">
        <f>IF('Data Export'!$D77="","", "")</f>
        <v/>
      </c>
      <c r="O77" s="614" t="str">
        <f>IF('Data Export'!$D77="","", "")</f>
        <v/>
      </c>
      <c r="P77" s="630" t="str">
        <f>IF('Data Export'!$D77="","", 'Strip Curtains'!N12)</f>
        <v/>
      </c>
      <c r="Q77" s="614" t="str">
        <f>IF('Data Export'!$D77="","", "")</f>
        <v/>
      </c>
      <c r="R77" s="614" t="str">
        <f>IF('Data Export'!$D77="","", "")</f>
        <v/>
      </c>
      <c r="S77" s="614" t="str">
        <f>IF('Data Export'!$D77="","", "")</f>
        <v/>
      </c>
      <c r="T77" s="614" t="str">
        <f>IF('Data Export'!$D77="","", "")</f>
        <v/>
      </c>
      <c r="U77" s="614" t="str">
        <f>IF('Data Export'!$D77="","", "")</f>
        <v/>
      </c>
      <c r="V77" s="614" t="str">
        <f>IF('Data Export'!$D77="","", "")</f>
        <v/>
      </c>
      <c r="W77" s="614" t="str">
        <f>IF('Data Export'!$D77="","", "")</f>
        <v/>
      </c>
      <c r="X77" s="614" t="str">
        <f>IF('Data Export'!$D77="","", "")</f>
        <v/>
      </c>
      <c r="Y77" s="614" t="str">
        <f>IF('Data Export'!$D77="","", "")</f>
        <v/>
      </c>
      <c r="Z77" s="614" t="str">
        <f>IF('Data Export'!$D77="","", "")</f>
        <v/>
      </c>
      <c r="AA77" s="614" t="str">
        <f>IF('Data Export'!$D77="","", "")</f>
        <v/>
      </c>
      <c r="AB77" s="614" t="str">
        <f>IF('Data Export'!$D77="","", "")</f>
        <v/>
      </c>
      <c r="AC77" s="632" t="str">
        <f>IF('Data Export'!$D77="","", "Unknown")</f>
        <v>Unknown</v>
      </c>
      <c r="AD77" s="630" t="e">
        <f>IF('Data Export'!$D77="","",VLOOKUP('Strip Curtains'!$G12,'Look Up Tables'!$F$86:$I$93,4,FALSE))</f>
        <v>#N/A</v>
      </c>
      <c r="AE77" s="614" t="str">
        <f>IF('Data Export'!$D77="","", "")</f>
        <v/>
      </c>
      <c r="AF77" s="614"/>
      <c r="AG77" s="614" t="str">
        <f>IF('Data Export'!$D77="","", "")</f>
        <v/>
      </c>
      <c r="AH77" s="614" t="str">
        <f>IF('Data Export'!$D77="","", "")</f>
        <v/>
      </c>
      <c r="AI77" s="614" t="str">
        <f>IF('Data Export'!$D77="","", "")</f>
        <v/>
      </c>
      <c r="AJ77" s="614" t="str">
        <f>IF('Data Export'!$D77="","", "")</f>
        <v/>
      </c>
      <c r="AK77" s="614" t="str">
        <f>IF('Data Export'!$D77="","", "")</f>
        <v/>
      </c>
      <c r="AL77" s="614"/>
      <c r="AM77" s="644" t="str">
        <f>IF('Data Export'!$D77="","",'Strip Curtains'!M12)</f>
        <v/>
      </c>
      <c r="AN77" s="644" t="str">
        <f>IF('Data Export'!$D77="","",'Strip Curtains'!L12)</f>
        <v/>
      </c>
      <c r="AO77" s="636" t="str">
        <f>IF('Data Export'!$D77="","", IFERROR(ROUND($F77/$D77, 2), ""))</f>
        <v/>
      </c>
      <c r="AP77" s="641">
        <f>IF('Data Export'!$D77="","",'Project Summary'!$C$11)</f>
        <v>0</v>
      </c>
      <c r="AQ77" s="614"/>
      <c r="AR77" s="614"/>
    </row>
    <row r="78" spans="1:44" x14ac:dyDescent="0.2">
      <c r="A78" s="618" t="str">
        <f>'Strip Curtains'!$B$3</f>
        <v>Strip Curtains for Walk In Freezers and Coolers</v>
      </c>
      <c r="B78" s="614" t="s">
        <v>318</v>
      </c>
      <c r="C78" s="614">
        <v>76</v>
      </c>
      <c r="D78" s="630">
        <f>IF('Strip Curtains'!P13&gt;0,'Strip Curtains'!H13,"")</f>
        <v>0</v>
      </c>
      <c r="E78" s="630" t="str">
        <f>IF($D78="","",'Look Up Tables'!$AS$63)</f>
        <v>StripCurtain</v>
      </c>
      <c r="F78" s="636" t="str">
        <f>IF('Data Export'!$D78="","", 'Strip Curtains'!P13)</f>
        <v/>
      </c>
      <c r="G78" s="641">
        <f>IF('Data Export'!D78="","", 'Project Summary'!$C$6)</f>
        <v>0</v>
      </c>
      <c r="H78" s="635" t="str">
        <f>IF('Data Export'!$D78="","",'Strip Curtains'!J13)</f>
        <v/>
      </c>
      <c r="I78" s="644" t="str">
        <f>IF('Data Export'!$D78="","",'Strip Curtains'!K13)</f>
        <v/>
      </c>
      <c r="J78" s="630">
        <f>IF('Data Export'!$D78="","", 'Project Summary'!$J$1)</f>
        <v>5.01</v>
      </c>
      <c r="K78" s="630">
        <f>IF('Data Export'!$D78="","",'Strip Curtains'!D13)</f>
        <v>0</v>
      </c>
      <c r="L78" s="630">
        <f>IF('Data Export'!$D78="","",'Strip Curtains'!E13)</f>
        <v>0</v>
      </c>
      <c r="M78" s="630">
        <f>IF('Data Export'!$D78="","", 'Project Summary'!$C$13)</f>
        <v>0</v>
      </c>
      <c r="N78" s="614" t="str">
        <f>IF('Data Export'!$D78="","", "")</f>
        <v/>
      </c>
      <c r="O78" s="614" t="str">
        <f>IF('Data Export'!$D78="","", "")</f>
        <v/>
      </c>
      <c r="P78" s="630" t="str">
        <f>IF('Data Export'!$D78="","", 'Strip Curtains'!N13)</f>
        <v/>
      </c>
      <c r="Q78" s="614" t="str">
        <f>IF('Data Export'!$D78="","", "")</f>
        <v/>
      </c>
      <c r="R78" s="614" t="str">
        <f>IF('Data Export'!$D78="","", "")</f>
        <v/>
      </c>
      <c r="S78" s="614" t="str">
        <f>IF('Data Export'!$D78="","", "")</f>
        <v/>
      </c>
      <c r="T78" s="614" t="str">
        <f>IF('Data Export'!$D78="","", "")</f>
        <v/>
      </c>
      <c r="U78" s="614" t="str">
        <f>IF('Data Export'!$D78="","", "")</f>
        <v/>
      </c>
      <c r="V78" s="614" t="str">
        <f>IF('Data Export'!$D78="","", "")</f>
        <v/>
      </c>
      <c r="W78" s="614" t="str">
        <f>IF('Data Export'!$D78="","", "")</f>
        <v/>
      </c>
      <c r="X78" s="614" t="str">
        <f>IF('Data Export'!$D78="","", "")</f>
        <v/>
      </c>
      <c r="Y78" s="614" t="str">
        <f>IF('Data Export'!$D78="","", "")</f>
        <v/>
      </c>
      <c r="Z78" s="614" t="str">
        <f>IF('Data Export'!$D78="","", "")</f>
        <v/>
      </c>
      <c r="AA78" s="614" t="str">
        <f>IF('Data Export'!$D78="","", "")</f>
        <v/>
      </c>
      <c r="AB78" s="614" t="str">
        <f>IF('Data Export'!$D78="","", "")</f>
        <v/>
      </c>
      <c r="AC78" s="632" t="str">
        <f>IF('Data Export'!$D78="","", "Unknown")</f>
        <v>Unknown</v>
      </c>
      <c r="AD78" s="630" t="e">
        <f>IF('Data Export'!$D78="","",VLOOKUP('Strip Curtains'!$G13,'Look Up Tables'!$F$86:$I$93,4,FALSE))</f>
        <v>#N/A</v>
      </c>
      <c r="AE78" s="614" t="str">
        <f>IF('Data Export'!$D78="","", "")</f>
        <v/>
      </c>
      <c r="AF78" s="614"/>
      <c r="AG78" s="614" t="str">
        <f>IF('Data Export'!$D78="","", "")</f>
        <v/>
      </c>
      <c r="AH78" s="614" t="str">
        <f>IF('Data Export'!$D78="","", "")</f>
        <v/>
      </c>
      <c r="AI78" s="614" t="str">
        <f>IF('Data Export'!$D78="","", "")</f>
        <v/>
      </c>
      <c r="AJ78" s="614" t="str">
        <f>IF('Data Export'!$D78="","", "")</f>
        <v/>
      </c>
      <c r="AK78" s="614" t="str">
        <f>IF('Data Export'!$D78="","", "")</f>
        <v/>
      </c>
      <c r="AL78" s="614"/>
      <c r="AM78" s="644" t="str">
        <f>IF('Data Export'!$D78="","",'Strip Curtains'!M13)</f>
        <v/>
      </c>
      <c r="AN78" s="644" t="str">
        <f>IF('Data Export'!$D78="","",'Strip Curtains'!L13)</f>
        <v/>
      </c>
      <c r="AO78" s="636" t="str">
        <f>IF('Data Export'!$D78="","", IFERROR(ROUND($F78/$D78, 2), ""))</f>
        <v/>
      </c>
      <c r="AP78" s="641">
        <f>IF('Data Export'!$D78="","",'Project Summary'!$C$11)</f>
        <v>0</v>
      </c>
      <c r="AQ78" s="614"/>
      <c r="AR78" s="614"/>
    </row>
    <row r="79" spans="1:44" x14ac:dyDescent="0.2">
      <c r="A79" s="618" t="str">
        <f>'Strip Curtains'!$B$3</f>
        <v>Strip Curtains for Walk In Freezers and Coolers</v>
      </c>
      <c r="B79" s="614" t="s">
        <v>318</v>
      </c>
      <c r="C79" s="614">
        <v>77</v>
      </c>
      <c r="D79" s="630">
        <f>IF('Strip Curtains'!P14&gt;0,'Strip Curtains'!H14,"")</f>
        <v>0</v>
      </c>
      <c r="E79" s="630" t="str">
        <f>IF($D79="","",'Look Up Tables'!$AS$63)</f>
        <v>StripCurtain</v>
      </c>
      <c r="F79" s="636" t="str">
        <f>IF('Data Export'!$D79="","", 'Strip Curtains'!P14)</f>
        <v/>
      </c>
      <c r="G79" s="641">
        <f>IF('Data Export'!D79="","", 'Project Summary'!$C$6)</f>
        <v>0</v>
      </c>
      <c r="H79" s="635" t="str">
        <f>IF('Data Export'!$D79="","",'Strip Curtains'!J14)</f>
        <v/>
      </c>
      <c r="I79" s="644" t="str">
        <f>IF('Data Export'!$D79="","",'Strip Curtains'!K14)</f>
        <v/>
      </c>
      <c r="J79" s="630">
        <f>IF('Data Export'!$D79="","", 'Project Summary'!$J$1)</f>
        <v>5.01</v>
      </c>
      <c r="K79" s="630">
        <f>IF('Data Export'!$D79="","",'Strip Curtains'!D14)</f>
        <v>0</v>
      </c>
      <c r="L79" s="630">
        <f>IF('Data Export'!$D79="","",'Strip Curtains'!E14)</f>
        <v>0</v>
      </c>
      <c r="M79" s="630">
        <f>IF('Data Export'!$D79="","", 'Project Summary'!$C$13)</f>
        <v>0</v>
      </c>
      <c r="N79" s="614" t="str">
        <f>IF('Data Export'!$D79="","", "")</f>
        <v/>
      </c>
      <c r="O79" s="614" t="str">
        <f>IF('Data Export'!$D79="","", "")</f>
        <v/>
      </c>
      <c r="P79" s="630" t="str">
        <f>IF('Data Export'!$D79="","", 'Strip Curtains'!N14)</f>
        <v/>
      </c>
      <c r="Q79" s="614" t="str">
        <f>IF('Data Export'!$D79="","", "")</f>
        <v/>
      </c>
      <c r="R79" s="614" t="str">
        <f>IF('Data Export'!$D79="","", "")</f>
        <v/>
      </c>
      <c r="S79" s="614" t="str">
        <f>IF('Data Export'!$D79="","", "")</f>
        <v/>
      </c>
      <c r="T79" s="614" t="str">
        <f>IF('Data Export'!$D79="","", "")</f>
        <v/>
      </c>
      <c r="U79" s="614" t="str">
        <f>IF('Data Export'!$D79="","", "")</f>
        <v/>
      </c>
      <c r="V79" s="614" t="str">
        <f>IF('Data Export'!$D79="","", "")</f>
        <v/>
      </c>
      <c r="W79" s="614" t="str">
        <f>IF('Data Export'!$D79="","", "")</f>
        <v/>
      </c>
      <c r="X79" s="614" t="str">
        <f>IF('Data Export'!$D79="","", "")</f>
        <v/>
      </c>
      <c r="Y79" s="614" t="str">
        <f>IF('Data Export'!$D79="","", "")</f>
        <v/>
      </c>
      <c r="Z79" s="614" t="str">
        <f>IF('Data Export'!$D79="","", "")</f>
        <v/>
      </c>
      <c r="AA79" s="614" t="str">
        <f>IF('Data Export'!$D79="","", "")</f>
        <v/>
      </c>
      <c r="AB79" s="614" t="str">
        <f>IF('Data Export'!$D79="","", "")</f>
        <v/>
      </c>
      <c r="AC79" s="632" t="str">
        <f>IF('Data Export'!$D79="","", "Unknown")</f>
        <v>Unknown</v>
      </c>
      <c r="AD79" s="630" t="e">
        <f>IF('Data Export'!$D79="","",VLOOKUP('Strip Curtains'!$G14,'Look Up Tables'!$F$86:$I$93,4,FALSE))</f>
        <v>#N/A</v>
      </c>
      <c r="AE79" s="614" t="str">
        <f>IF('Data Export'!$D79="","", "")</f>
        <v/>
      </c>
      <c r="AF79" s="614"/>
      <c r="AG79" s="614" t="str">
        <f>IF('Data Export'!$D79="","", "")</f>
        <v/>
      </c>
      <c r="AH79" s="614" t="str">
        <f>IF('Data Export'!$D79="","", "")</f>
        <v/>
      </c>
      <c r="AI79" s="614" t="str">
        <f>IF('Data Export'!$D79="","", "")</f>
        <v/>
      </c>
      <c r="AJ79" s="614" t="str">
        <f>IF('Data Export'!$D79="","", "")</f>
        <v/>
      </c>
      <c r="AK79" s="614" t="str">
        <f>IF('Data Export'!$D79="","", "")</f>
        <v/>
      </c>
      <c r="AL79" s="614"/>
      <c r="AM79" s="644" t="str">
        <f>IF('Data Export'!$D79="","",'Strip Curtains'!M14)</f>
        <v/>
      </c>
      <c r="AN79" s="644" t="str">
        <f>IF('Data Export'!$D79="","",'Strip Curtains'!L14)</f>
        <v/>
      </c>
      <c r="AO79" s="636" t="str">
        <f>IF('Data Export'!$D79="","", IFERROR(ROUND($F79/$D79, 2), ""))</f>
        <v/>
      </c>
      <c r="AP79" s="641">
        <f>IF('Data Export'!$D79="","",'Project Summary'!$C$11)</f>
        <v>0</v>
      </c>
      <c r="AQ79" s="614"/>
      <c r="AR79" s="614"/>
    </row>
    <row r="80" spans="1:44" x14ac:dyDescent="0.2">
      <c r="A80" s="618" t="str">
        <f>'Strip Curtains'!$B$3</f>
        <v>Strip Curtains for Walk In Freezers and Coolers</v>
      </c>
      <c r="B80" s="614" t="s">
        <v>318</v>
      </c>
      <c r="C80" s="614">
        <v>78</v>
      </c>
      <c r="D80" s="630">
        <f>IF('Strip Curtains'!P15&gt;0,'Strip Curtains'!H15,"")</f>
        <v>0</v>
      </c>
      <c r="E80" s="630" t="str">
        <f>IF($D80="","",'Look Up Tables'!$AS$63)</f>
        <v>StripCurtain</v>
      </c>
      <c r="F80" s="636" t="str">
        <f>IF('Data Export'!$D80="","", 'Strip Curtains'!P15)</f>
        <v/>
      </c>
      <c r="G80" s="641">
        <f>IF('Data Export'!D80="","", 'Project Summary'!$C$6)</f>
        <v>0</v>
      </c>
      <c r="H80" s="635" t="str">
        <f>IF('Data Export'!$D80="","",'Strip Curtains'!J15)</f>
        <v/>
      </c>
      <c r="I80" s="644" t="str">
        <f>IF('Data Export'!$D80="","",'Strip Curtains'!K15)</f>
        <v/>
      </c>
      <c r="J80" s="630">
        <f>IF('Data Export'!$D80="","", 'Project Summary'!$J$1)</f>
        <v>5.01</v>
      </c>
      <c r="K80" s="630">
        <f>IF('Data Export'!$D80="","",'Strip Curtains'!D15)</f>
        <v>0</v>
      </c>
      <c r="L80" s="630">
        <f>IF('Data Export'!$D80="","",'Strip Curtains'!E15)</f>
        <v>0</v>
      </c>
      <c r="M80" s="630">
        <f>IF('Data Export'!$D80="","", 'Project Summary'!$C$13)</f>
        <v>0</v>
      </c>
      <c r="N80" s="614" t="str">
        <f>IF('Data Export'!$D80="","", "")</f>
        <v/>
      </c>
      <c r="O80" s="614" t="str">
        <f>IF('Data Export'!$D80="","", "")</f>
        <v/>
      </c>
      <c r="P80" s="630" t="str">
        <f>IF('Data Export'!$D80="","", 'Strip Curtains'!N15)</f>
        <v/>
      </c>
      <c r="Q80" s="614" t="str">
        <f>IF('Data Export'!$D80="","", "")</f>
        <v/>
      </c>
      <c r="R80" s="614" t="str">
        <f>IF('Data Export'!$D80="","", "")</f>
        <v/>
      </c>
      <c r="S80" s="614" t="str">
        <f>IF('Data Export'!$D80="","", "")</f>
        <v/>
      </c>
      <c r="T80" s="614" t="str">
        <f>IF('Data Export'!$D80="","", "")</f>
        <v/>
      </c>
      <c r="U80" s="614" t="str">
        <f>IF('Data Export'!$D80="","", "")</f>
        <v/>
      </c>
      <c r="V80" s="614" t="str">
        <f>IF('Data Export'!$D80="","", "")</f>
        <v/>
      </c>
      <c r="W80" s="614" t="str">
        <f>IF('Data Export'!$D80="","", "")</f>
        <v/>
      </c>
      <c r="X80" s="614" t="str">
        <f>IF('Data Export'!$D80="","", "")</f>
        <v/>
      </c>
      <c r="Y80" s="614" t="str">
        <f>IF('Data Export'!$D80="","", "")</f>
        <v/>
      </c>
      <c r="Z80" s="614" t="str">
        <f>IF('Data Export'!$D80="","", "")</f>
        <v/>
      </c>
      <c r="AA80" s="614" t="str">
        <f>IF('Data Export'!$D80="","", "")</f>
        <v/>
      </c>
      <c r="AB80" s="614" t="str">
        <f>IF('Data Export'!$D80="","", "")</f>
        <v/>
      </c>
      <c r="AC80" s="632" t="str">
        <f>IF('Data Export'!$D80="","", "Unknown")</f>
        <v>Unknown</v>
      </c>
      <c r="AD80" s="630" t="e">
        <f>IF('Data Export'!$D80="","",VLOOKUP('Strip Curtains'!$G15,'Look Up Tables'!$F$86:$I$93,4,FALSE))</f>
        <v>#N/A</v>
      </c>
      <c r="AE80" s="614" t="str">
        <f>IF('Data Export'!$D80="","", "")</f>
        <v/>
      </c>
      <c r="AF80" s="614"/>
      <c r="AG80" s="614" t="str">
        <f>IF('Data Export'!$D80="","", "")</f>
        <v/>
      </c>
      <c r="AH80" s="614" t="str">
        <f>IF('Data Export'!$D80="","", "")</f>
        <v/>
      </c>
      <c r="AI80" s="614" t="str">
        <f>IF('Data Export'!$D80="","", "")</f>
        <v/>
      </c>
      <c r="AJ80" s="614" t="str">
        <f>IF('Data Export'!$D80="","", "")</f>
        <v/>
      </c>
      <c r="AK80" s="614" t="str">
        <f>IF('Data Export'!$D80="","", "")</f>
        <v/>
      </c>
      <c r="AL80" s="614"/>
      <c r="AM80" s="644" t="str">
        <f>IF('Data Export'!$D80="","",'Strip Curtains'!M15)</f>
        <v/>
      </c>
      <c r="AN80" s="644" t="str">
        <f>IF('Data Export'!$D80="","",'Strip Curtains'!L15)</f>
        <v/>
      </c>
      <c r="AO80" s="636" t="str">
        <f>IF('Data Export'!$D80="","", IFERROR(ROUND($F80/$D80, 2), ""))</f>
        <v/>
      </c>
      <c r="AP80" s="641">
        <f>IF('Data Export'!$D80="","",'Project Summary'!$C$11)</f>
        <v>0</v>
      </c>
      <c r="AQ80" s="614"/>
      <c r="AR80" s="614"/>
    </row>
    <row r="81" spans="1:44" x14ac:dyDescent="0.2">
      <c r="A81" s="618" t="str">
        <f>'Strip Curtains'!$B$3</f>
        <v>Strip Curtains for Walk In Freezers and Coolers</v>
      </c>
      <c r="B81" s="614" t="s">
        <v>318</v>
      </c>
      <c r="C81" s="614">
        <v>79</v>
      </c>
      <c r="D81" s="630">
        <f>IF('Strip Curtains'!P16&gt;0,'Strip Curtains'!H16,"")</f>
        <v>0</v>
      </c>
      <c r="E81" s="630" t="str">
        <f>IF($D81="","",'Look Up Tables'!$AS$63)</f>
        <v>StripCurtain</v>
      </c>
      <c r="F81" s="636" t="str">
        <f>IF('Data Export'!$D81="","", 'Strip Curtains'!P16)</f>
        <v/>
      </c>
      <c r="G81" s="641">
        <f>IF('Data Export'!D81="","", 'Project Summary'!$C$6)</f>
        <v>0</v>
      </c>
      <c r="H81" s="635" t="str">
        <f>IF('Data Export'!$D81="","",'Strip Curtains'!J16)</f>
        <v/>
      </c>
      <c r="I81" s="644" t="str">
        <f>IF('Data Export'!$D81="","",'Strip Curtains'!K16)</f>
        <v/>
      </c>
      <c r="J81" s="630">
        <f>IF('Data Export'!$D81="","", 'Project Summary'!$J$1)</f>
        <v>5.01</v>
      </c>
      <c r="K81" s="630">
        <f>IF('Data Export'!$D81="","",'Strip Curtains'!D16)</f>
        <v>0</v>
      </c>
      <c r="L81" s="630">
        <f>IF('Data Export'!$D81="","",'Strip Curtains'!E16)</f>
        <v>0</v>
      </c>
      <c r="M81" s="630">
        <f>IF('Data Export'!$D81="","", 'Project Summary'!$C$13)</f>
        <v>0</v>
      </c>
      <c r="N81" s="614" t="str">
        <f>IF('Data Export'!$D81="","", "")</f>
        <v/>
      </c>
      <c r="O81" s="614" t="str">
        <f>IF('Data Export'!$D81="","", "")</f>
        <v/>
      </c>
      <c r="P81" s="630" t="str">
        <f>IF('Data Export'!$D81="","", 'Strip Curtains'!N16)</f>
        <v/>
      </c>
      <c r="Q81" s="614" t="str">
        <f>IF('Data Export'!$D81="","", "")</f>
        <v/>
      </c>
      <c r="R81" s="614" t="str">
        <f>IF('Data Export'!$D81="","", "")</f>
        <v/>
      </c>
      <c r="S81" s="614" t="str">
        <f>IF('Data Export'!$D81="","", "")</f>
        <v/>
      </c>
      <c r="T81" s="614" t="str">
        <f>IF('Data Export'!$D81="","", "")</f>
        <v/>
      </c>
      <c r="U81" s="614" t="str">
        <f>IF('Data Export'!$D81="","", "")</f>
        <v/>
      </c>
      <c r="V81" s="614" t="str">
        <f>IF('Data Export'!$D81="","", "")</f>
        <v/>
      </c>
      <c r="W81" s="614" t="str">
        <f>IF('Data Export'!$D81="","", "")</f>
        <v/>
      </c>
      <c r="X81" s="614" t="str">
        <f>IF('Data Export'!$D81="","", "")</f>
        <v/>
      </c>
      <c r="Y81" s="614" t="str">
        <f>IF('Data Export'!$D81="","", "")</f>
        <v/>
      </c>
      <c r="Z81" s="614" t="str">
        <f>IF('Data Export'!$D81="","", "")</f>
        <v/>
      </c>
      <c r="AA81" s="614" t="str">
        <f>IF('Data Export'!$D81="","", "")</f>
        <v/>
      </c>
      <c r="AB81" s="614" t="str">
        <f>IF('Data Export'!$D81="","", "")</f>
        <v/>
      </c>
      <c r="AC81" s="632" t="str">
        <f>IF('Data Export'!$D81="","", "Unknown")</f>
        <v>Unknown</v>
      </c>
      <c r="AD81" s="630" t="e">
        <f>IF('Data Export'!$D81="","",VLOOKUP('Strip Curtains'!$G16,'Look Up Tables'!$F$86:$I$93,4,FALSE))</f>
        <v>#N/A</v>
      </c>
      <c r="AE81" s="614" t="str">
        <f>IF('Data Export'!$D81="","", "")</f>
        <v/>
      </c>
      <c r="AF81" s="614"/>
      <c r="AG81" s="614" t="str">
        <f>IF('Data Export'!$D81="","", "")</f>
        <v/>
      </c>
      <c r="AH81" s="614" t="str">
        <f>IF('Data Export'!$D81="","", "")</f>
        <v/>
      </c>
      <c r="AI81" s="614" t="str">
        <f>IF('Data Export'!$D81="","", "")</f>
        <v/>
      </c>
      <c r="AJ81" s="614" t="str">
        <f>IF('Data Export'!$D81="","", "")</f>
        <v/>
      </c>
      <c r="AK81" s="614" t="str">
        <f>IF('Data Export'!$D81="","", "")</f>
        <v/>
      </c>
      <c r="AL81" s="614"/>
      <c r="AM81" s="644" t="str">
        <f>IF('Data Export'!$D81="","",'Strip Curtains'!M16)</f>
        <v/>
      </c>
      <c r="AN81" s="644" t="str">
        <f>IF('Data Export'!$D81="","",'Strip Curtains'!L16)</f>
        <v/>
      </c>
      <c r="AO81" s="636" t="str">
        <f>IF('Data Export'!$D81="","", IFERROR(ROUND($F81/$D81, 2), ""))</f>
        <v/>
      </c>
      <c r="AP81" s="641">
        <f>IF('Data Export'!$D81="","",'Project Summary'!$C$11)</f>
        <v>0</v>
      </c>
      <c r="AQ81" s="614"/>
      <c r="AR81" s="614"/>
    </row>
    <row r="82" spans="1:44" ht="15" thickBot="1" x14ac:dyDescent="0.25">
      <c r="A82" s="625" t="str">
        <f>'Strip Curtains'!$B$3</f>
        <v>Strip Curtains for Walk In Freezers and Coolers</v>
      </c>
      <c r="B82" s="626" t="s">
        <v>318</v>
      </c>
      <c r="C82" s="626">
        <v>80</v>
      </c>
      <c r="D82" s="631">
        <f>IF('Strip Curtains'!P17&gt;0,'Strip Curtains'!H17,"")</f>
        <v>0</v>
      </c>
      <c r="E82" s="631" t="str">
        <f>IF($D82="","",'Look Up Tables'!$AS$63)</f>
        <v>StripCurtain</v>
      </c>
      <c r="F82" s="638" t="str">
        <f>IF('Data Export'!$D82="","", 'Strip Curtains'!P17)</f>
        <v/>
      </c>
      <c r="G82" s="642">
        <f>IF('Data Export'!D82="","", 'Project Summary'!$C$6)</f>
        <v>0</v>
      </c>
      <c r="H82" s="639" t="str">
        <f>IF('Data Export'!$D82="","",'Strip Curtains'!J17)</f>
        <v/>
      </c>
      <c r="I82" s="659" t="str">
        <f>IF('Data Export'!$D82="","",'Strip Curtains'!K17)</f>
        <v/>
      </c>
      <c r="J82" s="631">
        <f>IF('Data Export'!$D82="","", 'Project Summary'!$J$1)</f>
        <v>5.01</v>
      </c>
      <c r="K82" s="631">
        <f>IF('Data Export'!$D82="","",'Strip Curtains'!D17)</f>
        <v>0</v>
      </c>
      <c r="L82" s="631">
        <f>IF('Data Export'!$D82="","",'Strip Curtains'!E17)</f>
        <v>0</v>
      </c>
      <c r="M82" s="631">
        <f>IF('Data Export'!$D82="","", 'Project Summary'!$C$13)</f>
        <v>0</v>
      </c>
      <c r="N82" s="626" t="str">
        <f>IF('Data Export'!$D82="","", "")</f>
        <v/>
      </c>
      <c r="O82" s="626" t="str">
        <f>IF('Data Export'!$D82="","", "")</f>
        <v/>
      </c>
      <c r="P82" s="631" t="str">
        <f>IF('Data Export'!$D82="","", 'Strip Curtains'!N17)</f>
        <v/>
      </c>
      <c r="Q82" s="626" t="str">
        <f>IF('Data Export'!$D82="","", "")</f>
        <v/>
      </c>
      <c r="R82" s="626" t="str">
        <f>IF('Data Export'!$D82="","", "")</f>
        <v/>
      </c>
      <c r="S82" s="626" t="str">
        <f>IF('Data Export'!$D82="","", "")</f>
        <v/>
      </c>
      <c r="T82" s="626" t="str">
        <f>IF('Data Export'!$D82="","", "")</f>
        <v/>
      </c>
      <c r="U82" s="626" t="str">
        <f>IF('Data Export'!$D82="","", "")</f>
        <v/>
      </c>
      <c r="V82" s="626" t="str">
        <f>IF('Data Export'!$D82="","", "")</f>
        <v/>
      </c>
      <c r="W82" s="626" t="str">
        <f>IF('Data Export'!$D82="","", "")</f>
        <v/>
      </c>
      <c r="X82" s="626" t="str">
        <f>IF('Data Export'!$D82="","", "")</f>
        <v/>
      </c>
      <c r="Y82" s="626" t="str">
        <f>IF('Data Export'!$D82="","", "")</f>
        <v/>
      </c>
      <c r="Z82" s="626" t="str">
        <f>IF('Data Export'!$D82="","", "")</f>
        <v/>
      </c>
      <c r="AA82" s="626" t="str">
        <f>IF('Data Export'!$D82="","", "")</f>
        <v/>
      </c>
      <c r="AB82" s="626" t="str">
        <f>IF('Data Export'!$D82="","", "")</f>
        <v/>
      </c>
      <c r="AC82" s="646" t="str">
        <f>IF('Data Export'!$D82="","", "Unknown")</f>
        <v>Unknown</v>
      </c>
      <c r="AD82" s="631" t="e">
        <f>IF('Data Export'!$D82="","",VLOOKUP('Strip Curtains'!$G17,'Look Up Tables'!$F$86:$I$93,4,FALSE))</f>
        <v>#N/A</v>
      </c>
      <c r="AE82" s="626" t="str">
        <f>IF('Data Export'!$D82="","", "")</f>
        <v/>
      </c>
      <c r="AF82" s="626"/>
      <c r="AG82" s="626" t="str">
        <f>IF('Data Export'!$D82="","", "")</f>
        <v/>
      </c>
      <c r="AH82" s="626" t="str">
        <f>IF('Data Export'!$D82="","", "")</f>
        <v/>
      </c>
      <c r="AI82" s="626" t="str">
        <f>IF('Data Export'!$D82="","", "")</f>
        <v/>
      </c>
      <c r="AJ82" s="626" t="str">
        <f>IF('Data Export'!$D82="","", "")</f>
        <v/>
      </c>
      <c r="AK82" s="626" t="str">
        <f>IF('Data Export'!$D82="","", "")</f>
        <v/>
      </c>
      <c r="AL82" s="626"/>
      <c r="AM82" s="659" t="str">
        <f>IF('Data Export'!$D82="","",'Strip Curtains'!M17)</f>
        <v/>
      </c>
      <c r="AN82" s="659" t="str">
        <f>IF('Data Export'!$D82="","",'Strip Curtains'!L17)</f>
        <v/>
      </c>
      <c r="AO82" s="638" t="str">
        <f>IF('Data Export'!$D82="","", IFERROR(ROUND($F82/$D82, 2), ""))</f>
        <v/>
      </c>
      <c r="AP82" s="642">
        <f>IF('Data Export'!$D82="","",'Project Summary'!$C$11)</f>
        <v>0</v>
      </c>
      <c r="AQ82" s="626"/>
      <c r="AR82" s="626"/>
    </row>
    <row r="83" spans="1:44" ht="15" thickTop="1" x14ac:dyDescent="0.2">
      <c r="A83" s="620" t="str">
        <f>'Night Covers'!$B$3</f>
        <v>Night Covers for Display Cases</v>
      </c>
      <c r="B83" s="621" t="s">
        <v>224</v>
      </c>
      <c r="C83" s="621">
        <v>81</v>
      </c>
      <c r="D83" s="632">
        <f>IF('Night Covers'!W8&gt;0,'Night Covers'!L8,"")</f>
        <v>0</v>
      </c>
      <c r="E83" s="632" t="str">
        <f>IF($D83="","",'Look Up Tables'!$AS$62)</f>
        <v>NightCover</v>
      </c>
      <c r="F83" s="637" t="str">
        <f>IF('Data Export'!$D83="","", 'Night Covers'!W8)</f>
        <v/>
      </c>
      <c r="G83" s="643">
        <f>IF('Data Export'!D83="","", 'Project Summary'!$C$6)</f>
        <v>0</v>
      </c>
      <c r="H83" s="640" t="str">
        <f>IF('Data Export'!$D83="","",'Night Covers'!R8)</f>
        <v/>
      </c>
      <c r="I83" s="658" t="str">
        <f>IF('Data Export'!$D83="","",'Night Covers'!S8)</f>
        <v/>
      </c>
      <c r="J83" s="632">
        <f>IF('Data Export'!$D83="","", 'Project Summary'!$J$1)</f>
        <v>5.01</v>
      </c>
      <c r="K83" s="632">
        <f>IF('Data Export'!$D83="","",'Night Covers'!D8)</f>
        <v>0</v>
      </c>
      <c r="L83" s="632">
        <f>IF('Data Export'!$D83="","",'Night Covers'!E8)</f>
        <v>0</v>
      </c>
      <c r="M83" s="632">
        <f>IF('Data Export'!$D83="","", 'Project Summary'!$C$13)</f>
        <v>0</v>
      </c>
      <c r="N83" s="621" t="str">
        <f>IF('Data Export'!$D83="","", "")</f>
        <v/>
      </c>
      <c r="O83" s="621" t="str">
        <f>IF('Data Export'!$D83="","", "")</f>
        <v/>
      </c>
      <c r="P83" s="621"/>
      <c r="Q83" s="621" t="str">
        <f>IF('Data Export'!$D83="","", "")</f>
        <v/>
      </c>
      <c r="R83" s="621" t="str">
        <f>IF('Data Export'!$D83="","", "")</f>
        <v/>
      </c>
      <c r="S83" s="621" t="str">
        <f>IF('Data Export'!$D83="","", "")</f>
        <v/>
      </c>
      <c r="T83" s="621" t="str">
        <f>IF('Data Export'!$D83="","", "")</f>
        <v/>
      </c>
      <c r="U83" s="621" t="str">
        <f>IF('Data Export'!$D83="","", "")</f>
        <v/>
      </c>
      <c r="V83" s="621" t="str">
        <f>IF('Data Export'!$D83="","", "")</f>
        <v/>
      </c>
      <c r="W83" s="621" t="str">
        <f>IF('Data Export'!$D83="","", "")</f>
        <v/>
      </c>
      <c r="X83" s="621"/>
      <c r="Y83" s="621" t="str">
        <f>IF('Data Export'!$D83="","", "")</f>
        <v/>
      </c>
      <c r="Z83" s="621" t="str">
        <f>IF('Data Export'!$D83="","", "")</f>
        <v/>
      </c>
      <c r="AA83" s="621" t="str">
        <f>IF('Data Export'!$D83="","", "")</f>
        <v/>
      </c>
      <c r="AB83" s="621" t="str">
        <f>IF('Data Export'!$D83="","", "")</f>
        <v/>
      </c>
      <c r="AC83" s="621" t="str">
        <f>IF('Data Export'!$D83="","", "")</f>
        <v/>
      </c>
      <c r="AD83" s="621" t="str">
        <f>IF('Data Export'!$D83="","", "")</f>
        <v/>
      </c>
      <c r="AE83" s="621" t="str">
        <f>IF('Data Export'!$D83="","", "")</f>
        <v/>
      </c>
      <c r="AF83" s="621"/>
      <c r="AG83" s="621" t="str">
        <f>IF('Data Export'!$D83="","", "")</f>
        <v/>
      </c>
      <c r="AH83" s="621" t="str">
        <f>IF('Data Export'!$D83="","", "")</f>
        <v/>
      </c>
      <c r="AI83" s="632">
        <f>IF('Data Export'!$D83="","", 'Night Covers'!J8)</f>
        <v>0</v>
      </c>
      <c r="AJ83" s="632">
        <f>IF('Data Export'!$D83="","", 'Night Covers'!K8)</f>
        <v>0</v>
      </c>
      <c r="AK83" s="621" t="str">
        <f>IF('Data Export'!$D83="","", "")</f>
        <v/>
      </c>
      <c r="AL83" s="621"/>
      <c r="AM83" s="658" t="str">
        <f>IF('Data Export'!$D83="","",'Night Covers'!U8)</f>
        <v/>
      </c>
      <c r="AN83" s="658" t="str">
        <f>IF('Data Export'!$D83="","",'Night Covers'!T8)</f>
        <v/>
      </c>
      <c r="AO83" s="637" t="str">
        <f>IF('Data Export'!$D83="","", IFERROR(ROUND($F83/$D83, 2), ""))</f>
        <v/>
      </c>
      <c r="AP83" s="643">
        <f>IF('Data Export'!$D83="","",'Project Summary'!$C$11)</f>
        <v>0</v>
      </c>
      <c r="AQ83" s="621"/>
      <c r="AR83" s="621"/>
    </row>
    <row r="84" spans="1:44" x14ac:dyDescent="0.2">
      <c r="A84" s="618" t="str">
        <f>'Night Covers'!$B$3</f>
        <v>Night Covers for Display Cases</v>
      </c>
      <c r="B84" s="614" t="s">
        <v>224</v>
      </c>
      <c r="C84" s="614">
        <v>82</v>
      </c>
      <c r="D84" s="630">
        <f>IF('Night Covers'!W9&gt;0,'Night Covers'!L9,"")</f>
        <v>0</v>
      </c>
      <c r="E84" s="630" t="str">
        <f>IF($D84="","",'Look Up Tables'!$AS$62)</f>
        <v>NightCover</v>
      </c>
      <c r="F84" s="636" t="str">
        <f>IF('Data Export'!$D84="","", 'Night Covers'!W9)</f>
        <v/>
      </c>
      <c r="G84" s="641">
        <f>IF('Data Export'!D84="","", 'Project Summary'!$C$6)</f>
        <v>0</v>
      </c>
      <c r="H84" s="635" t="str">
        <f>IF('Data Export'!$D84="","",'Night Covers'!R9)</f>
        <v/>
      </c>
      <c r="I84" s="644" t="str">
        <f>IF('Data Export'!$D84="","",'Night Covers'!S9)</f>
        <v/>
      </c>
      <c r="J84" s="630">
        <f>IF('Data Export'!$D84="","", 'Project Summary'!$J$1)</f>
        <v>5.01</v>
      </c>
      <c r="K84" s="630">
        <f>IF('Data Export'!$D84="","",'Night Covers'!D9)</f>
        <v>0</v>
      </c>
      <c r="L84" s="630">
        <f>IF('Data Export'!$D84="","",'Night Covers'!E9)</f>
        <v>0</v>
      </c>
      <c r="M84" s="630">
        <f>IF('Data Export'!$D84="","", 'Project Summary'!$C$13)</f>
        <v>0</v>
      </c>
      <c r="N84" s="614" t="str">
        <f>IF('Data Export'!$D84="","", "")</f>
        <v/>
      </c>
      <c r="O84" s="614" t="str">
        <f>IF('Data Export'!$D84="","", "")</f>
        <v/>
      </c>
      <c r="P84" s="614"/>
      <c r="Q84" s="614" t="str">
        <f>IF('Data Export'!$D84="","", "")</f>
        <v/>
      </c>
      <c r="R84" s="614" t="str">
        <f>IF('Data Export'!$D84="","", "")</f>
        <v/>
      </c>
      <c r="S84" s="614" t="str">
        <f>IF('Data Export'!$D84="","", "")</f>
        <v/>
      </c>
      <c r="T84" s="614" t="str">
        <f>IF('Data Export'!$D84="","", "")</f>
        <v/>
      </c>
      <c r="U84" s="614" t="str">
        <f>IF('Data Export'!$D84="","", "")</f>
        <v/>
      </c>
      <c r="V84" s="614" t="str">
        <f>IF('Data Export'!$D84="","", "")</f>
        <v/>
      </c>
      <c r="W84" s="614" t="str">
        <f>IF('Data Export'!$D84="","", "")</f>
        <v/>
      </c>
      <c r="X84" s="614"/>
      <c r="Y84" s="614" t="str">
        <f>IF('Data Export'!$D84="","", "")</f>
        <v/>
      </c>
      <c r="Z84" s="614" t="str">
        <f>IF('Data Export'!$D84="","", "")</f>
        <v/>
      </c>
      <c r="AA84" s="614" t="str">
        <f>IF('Data Export'!$D84="","", "")</f>
        <v/>
      </c>
      <c r="AB84" s="614" t="str">
        <f>IF('Data Export'!$D84="","", "")</f>
        <v/>
      </c>
      <c r="AC84" s="614" t="str">
        <f>IF('Data Export'!$D84="","", "")</f>
        <v/>
      </c>
      <c r="AD84" s="614" t="str">
        <f>IF('Data Export'!$D84="","", "")</f>
        <v/>
      </c>
      <c r="AE84" s="614" t="str">
        <f>IF('Data Export'!$D84="","", "")</f>
        <v/>
      </c>
      <c r="AF84" s="614"/>
      <c r="AG84" s="614" t="str">
        <f>IF('Data Export'!$D84="","", "")</f>
        <v/>
      </c>
      <c r="AH84" s="614" t="str">
        <f>IF('Data Export'!$D84="","", "")</f>
        <v/>
      </c>
      <c r="AI84" s="630">
        <f>IF('Data Export'!$D84="","", 'Night Covers'!J9)</f>
        <v>0</v>
      </c>
      <c r="AJ84" s="630">
        <f>IF('Data Export'!$D84="","", 'Night Covers'!K9)</f>
        <v>0</v>
      </c>
      <c r="AK84" s="614" t="str">
        <f>IF('Data Export'!$D84="","", "")</f>
        <v/>
      </c>
      <c r="AL84" s="614"/>
      <c r="AM84" s="644" t="str">
        <f>IF('Data Export'!$D84="","",'Night Covers'!U9)</f>
        <v/>
      </c>
      <c r="AN84" s="644" t="str">
        <f>IF('Data Export'!$D84="","",'Night Covers'!T9)</f>
        <v/>
      </c>
      <c r="AO84" s="636" t="str">
        <f>IF('Data Export'!$D84="","", IFERROR(ROUND($F84/$D84, 2), ""))</f>
        <v/>
      </c>
      <c r="AP84" s="641">
        <f>IF('Data Export'!$D84="","",'Project Summary'!$C$11)</f>
        <v>0</v>
      </c>
      <c r="AQ84" s="614"/>
      <c r="AR84" s="614"/>
    </row>
    <row r="85" spans="1:44" x14ac:dyDescent="0.2">
      <c r="A85" s="618" t="str">
        <f>'Night Covers'!$B$3</f>
        <v>Night Covers for Display Cases</v>
      </c>
      <c r="B85" s="614" t="s">
        <v>224</v>
      </c>
      <c r="C85" s="614">
        <v>83</v>
      </c>
      <c r="D85" s="630">
        <f>IF('Night Covers'!W10&gt;0,'Night Covers'!L10,"")</f>
        <v>0</v>
      </c>
      <c r="E85" s="630" t="str">
        <f>IF($D85="","",'Look Up Tables'!$AS$62)</f>
        <v>NightCover</v>
      </c>
      <c r="F85" s="636" t="str">
        <f>IF('Data Export'!$D85="","", 'Night Covers'!W10)</f>
        <v/>
      </c>
      <c r="G85" s="641">
        <f>IF('Data Export'!D85="","", 'Project Summary'!$C$6)</f>
        <v>0</v>
      </c>
      <c r="H85" s="635" t="str">
        <f>IF('Data Export'!$D85="","",'Night Covers'!R10)</f>
        <v/>
      </c>
      <c r="I85" s="644" t="str">
        <f>IF('Data Export'!$D85="","",'Night Covers'!S10)</f>
        <v/>
      </c>
      <c r="J85" s="630">
        <f>IF('Data Export'!$D85="","", 'Project Summary'!$J$1)</f>
        <v>5.01</v>
      </c>
      <c r="K85" s="630">
        <f>IF('Data Export'!$D85="","",'Night Covers'!D10)</f>
        <v>0</v>
      </c>
      <c r="L85" s="630">
        <f>IF('Data Export'!$D85="","",'Night Covers'!E10)</f>
        <v>0</v>
      </c>
      <c r="M85" s="630">
        <f>IF('Data Export'!$D85="","", 'Project Summary'!$C$13)</f>
        <v>0</v>
      </c>
      <c r="N85" s="614" t="str">
        <f>IF('Data Export'!$D85="","", "")</f>
        <v/>
      </c>
      <c r="O85" s="614" t="str">
        <f>IF('Data Export'!$D85="","", "")</f>
        <v/>
      </c>
      <c r="P85" s="614"/>
      <c r="Q85" s="614" t="str">
        <f>IF('Data Export'!$D85="","", "")</f>
        <v/>
      </c>
      <c r="R85" s="614" t="str">
        <f>IF('Data Export'!$D85="","", "")</f>
        <v/>
      </c>
      <c r="S85" s="614" t="str">
        <f>IF('Data Export'!$D85="","", "")</f>
        <v/>
      </c>
      <c r="T85" s="614" t="str">
        <f>IF('Data Export'!$D85="","", "")</f>
        <v/>
      </c>
      <c r="U85" s="614" t="str">
        <f>IF('Data Export'!$D85="","", "")</f>
        <v/>
      </c>
      <c r="V85" s="614" t="str">
        <f>IF('Data Export'!$D85="","", "")</f>
        <v/>
      </c>
      <c r="W85" s="614" t="str">
        <f>IF('Data Export'!$D85="","", "")</f>
        <v/>
      </c>
      <c r="X85" s="614"/>
      <c r="Y85" s="614" t="str">
        <f>IF('Data Export'!$D85="","", "")</f>
        <v/>
      </c>
      <c r="Z85" s="614" t="str">
        <f>IF('Data Export'!$D85="","", "")</f>
        <v/>
      </c>
      <c r="AA85" s="614" t="str">
        <f>IF('Data Export'!$D85="","", "")</f>
        <v/>
      </c>
      <c r="AB85" s="614" t="str">
        <f>IF('Data Export'!$D85="","", "")</f>
        <v/>
      </c>
      <c r="AC85" s="614" t="str">
        <f>IF('Data Export'!$D85="","", "")</f>
        <v/>
      </c>
      <c r="AD85" s="614" t="str">
        <f>IF('Data Export'!$D85="","", "")</f>
        <v/>
      </c>
      <c r="AE85" s="614" t="str">
        <f>IF('Data Export'!$D85="","", "")</f>
        <v/>
      </c>
      <c r="AF85" s="614"/>
      <c r="AG85" s="614" t="str">
        <f>IF('Data Export'!$D85="","", "")</f>
        <v/>
      </c>
      <c r="AH85" s="614" t="str">
        <f>IF('Data Export'!$D85="","", "")</f>
        <v/>
      </c>
      <c r="AI85" s="630">
        <f>IF('Data Export'!$D85="","", 'Night Covers'!J10)</f>
        <v>0</v>
      </c>
      <c r="AJ85" s="630">
        <f>IF('Data Export'!$D85="","", 'Night Covers'!K10)</f>
        <v>0</v>
      </c>
      <c r="AK85" s="614" t="str">
        <f>IF('Data Export'!$D85="","", "")</f>
        <v/>
      </c>
      <c r="AL85" s="614"/>
      <c r="AM85" s="644" t="str">
        <f>IF('Data Export'!$D85="","",'Night Covers'!U10)</f>
        <v/>
      </c>
      <c r="AN85" s="644" t="str">
        <f>IF('Data Export'!$D85="","",'Night Covers'!T10)</f>
        <v/>
      </c>
      <c r="AO85" s="636" t="str">
        <f>IF('Data Export'!$D85="","", IFERROR(ROUND($F85/$D85, 2), ""))</f>
        <v/>
      </c>
      <c r="AP85" s="641">
        <f>IF('Data Export'!$D85="","",'Project Summary'!$C$11)</f>
        <v>0</v>
      </c>
      <c r="AQ85" s="614"/>
      <c r="AR85" s="614"/>
    </row>
    <row r="86" spans="1:44" x14ac:dyDescent="0.2">
      <c r="A86" s="618" t="str">
        <f>'Night Covers'!$B$3</f>
        <v>Night Covers for Display Cases</v>
      </c>
      <c r="B86" s="614" t="s">
        <v>224</v>
      </c>
      <c r="C86" s="614">
        <v>84</v>
      </c>
      <c r="D86" s="630">
        <f>IF('Night Covers'!W11&gt;0,'Night Covers'!L11,"")</f>
        <v>0</v>
      </c>
      <c r="E86" s="630" t="str">
        <f>IF($D86="","",'Look Up Tables'!$AS$62)</f>
        <v>NightCover</v>
      </c>
      <c r="F86" s="636" t="str">
        <f>IF('Data Export'!$D86="","", 'Night Covers'!W11)</f>
        <v/>
      </c>
      <c r="G86" s="641">
        <f>IF('Data Export'!D86="","", 'Project Summary'!$C$6)</f>
        <v>0</v>
      </c>
      <c r="H86" s="635" t="str">
        <f>IF('Data Export'!$D86="","",'Night Covers'!R11)</f>
        <v/>
      </c>
      <c r="I86" s="644" t="str">
        <f>IF('Data Export'!$D86="","",'Night Covers'!S11)</f>
        <v/>
      </c>
      <c r="J86" s="630">
        <f>IF('Data Export'!$D86="","", 'Project Summary'!$J$1)</f>
        <v>5.01</v>
      </c>
      <c r="K86" s="630">
        <f>IF('Data Export'!$D86="","",'Night Covers'!D11)</f>
        <v>0</v>
      </c>
      <c r="L86" s="630">
        <f>IF('Data Export'!$D86="","",'Night Covers'!E11)</f>
        <v>0</v>
      </c>
      <c r="M86" s="630">
        <f>IF('Data Export'!$D86="","", 'Project Summary'!$C$13)</f>
        <v>0</v>
      </c>
      <c r="N86" s="614" t="str">
        <f>IF('Data Export'!$D86="","", "")</f>
        <v/>
      </c>
      <c r="O86" s="614" t="str">
        <f>IF('Data Export'!$D86="","", "")</f>
        <v/>
      </c>
      <c r="P86" s="614"/>
      <c r="Q86" s="614" t="str">
        <f>IF('Data Export'!$D86="","", "")</f>
        <v/>
      </c>
      <c r="R86" s="614" t="str">
        <f>IF('Data Export'!$D86="","", "")</f>
        <v/>
      </c>
      <c r="S86" s="614" t="str">
        <f>IF('Data Export'!$D86="","", "")</f>
        <v/>
      </c>
      <c r="T86" s="614" t="str">
        <f>IF('Data Export'!$D86="","", "")</f>
        <v/>
      </c>
      <c r="U86" s="614" t="str">
        <f>IF('Data Export'!$D86="","", "")</f>
        <v/>
      </c>
      <c r="V86" s="614" t="str">
        <f>IF('Data Export'!$D86="","", "")</f>
        <v/>
      </c>
      <c r="W86" s="614" t="str">
        <f>IF('Data Export'!$D86="","", "")</f>
        <v/>
      </c>
      <c r="X86" s="614"/>
      <c r="Y86" s="614" t="str">
        <f>IF('Data Export'!$D86="","", "")</f>
        <v/>
      </c>
      <c r="Z86" s="614" t="str">
        <f>IF('Data Export'!$D86="","", "")</f>
        <v/>
      </c>
      <c r="AA86" s="614" t="str">
        <f>IF('Data Export'!$D86="","", "")</f>
        <v/>
      </c>
      <c r="AB86" s="614" t="str">
        <f>IF('Data Export'!$D86="","", "")</f>
        <v/>
      </c>
      <c r="AC86" s="614" t="str">
        <f>IF('Data Export'!$D86="","", "")</f>
        <v/>
      </c>
      <c r="AD86" s="614" t="str">
        <f>IF('Data Export'!$D86="","", "")</f>
        <v/>
      </c>
      <c r="AE86" s="614" t="str">
        <f>IF('Data Export'!$D86="","", "")</f>
        <v/>
      </c>
      <c r="AF86" s="614"/>
      <c r="AG86" s="614" t="str">
        <f>IF('Data Export'!$D86="","", "")</f>
        <v/>
      </c>
      <c r="AH86" s="614" t="str">
        <f>IF('Data Export'!$D86="","", "")</f>
        <v/>
      </c>
      <c r="AI86" s="630">
        <f>IF('Data Export'!$D86="","", 'Night Covers'!J11)</f>
        <v>0</v>
      </c>
      <c r="AJ86" s="630">
        <f>IF('Data Export'!$D86="","", 'Night Covers'!K11)</f>
        <v>0</v>
      </c>
      <c r="AK86" s="614" t="str">
        <f>IF('Data Export'!$D86="","", "")</f>
        <v/>
      </c>
      <c r="AL86" s="614"/>
      <c r="AM86" s="644" t="str">
        <f>IF('Data Export'!$D86="","",'Night Covers'!U11)</f>
        <v/>
      </c>
      <c r="AN86" s="644" t="str">
        <f>IF('Data Export'!$D86="","",'Night Covers'!T11)</f>
        <v/>
      </c>
      <c r="AO86" s="636" t="str">
        <f>IF('Data Export'!$D86="","", IFERROR(ROUND($F86/$D86, 2), ""))</f>
        <v/>
      </c>
      <c r="AP86" s="641">
        <f>IF('Data Export'!$D86="","",'Project Summary'!$C$11)</f>
        <v>0</v>
      </c>
      <c r="AQ86" s="614"/>
      <c r="AR86" s="614"/>
    </row>
    <row r="87" spans="1:44" x14ac:dyDescent="0.2">
      <c r="A87" s="618" t="str">
        <f>'Night Covers'!$B$3</f>
        <v>Night Covers for Display Cases</v>
      </c>
      <c r="B87" s="614" t="s">
        <v>224</v>
      </c>
      <c r="C87" s="614">
        <v>85</v>
      </c>
      <c r="D87" s="630">
        <f>IF('Night Covers'!W12&gt;0,'Night Covers'!L12,"")</f>
        <v>0</v>
      </c>
      <c r="E87" s="630" t="str">
        <f>IF($D87="","",'Look Up Tables'!$AS$62)</f>
        <v>NightCover</v>
      </c>
      <c r="F87" s="636" t="str">
        <f>IF('Data Export'!$D87="","", 'Night Covers'!W12)</f>
        <v/>
      </c>
      <c r="G87" s="641">
        <f>IF('Data Export'!D87="","", 'Project Summary'!$C$6)</f>
        <v>0</v>
      </c>
      <c r="H87" s="635" t="str">
        <f>IF('Data Export'!$D87="","",'Night Covers'!R12)</f>
        <v/>
      </c>
      <c r="I87" s="644" t="str">
        <f>IF('Data Export'!$D87="","",'Night Covers'!S12)</f>
        <v/>
      </c>
      <c r="J87" s="630">
        <f>IF('Data Export'!$D87="","", 'Project Summary'!$J$1)</f>
        <v>5.01</v>
      </c>
      <c r="K87" s="630">
        <f>IF('Data Export'!$D87="","",'Night Covers'!D12)</f>
        <v>0</v>
      </c>
      <c r="L87" s="630">
        <f>IF('Data Export'!$D87="","",'Night Covers'!E12)</f>
        <v>0</v>
      </c>
      <c r="M87" s="630">
        <f>IF('Data Export'!$D87="","", 'Project Summary'!$C$13)</f>
        <v>0</v>
      </c>
      <c r="N87" s="614" t="str">
        <f>IF('Data Export'!$D87="","", "")</f>
        <v/>
      </c>
      <c r="O87" s="614" t="str">
        <f>IF('Data Export'!$D87="","", "")</f>
        <v/>
      </c>
      <c r="P87" s="614"/>
      <c r="Q87" s="614" t="str">
        <f>IF('Data Export'!$D87="","", "")</f>
        <v/>
      </c>
      <c r="R87" s="614" t="str">
        <f>IF('Data Export'!$D87="","", "")</f>
        <v/>
      </c>
      <c r="S87" s="614" t="str">
        <f>IF('Data Export'!$D87="","", "")</f>
        <v/>
      </c>
      <c r="T87" s="614" t="str">
        <f>IF('Data Export'!$D87="","", "")</f>
        <v/>
      </c>
      <c r="U87" s="614" t="str">
        <f>IF('Data Export'!$D87="","", "")</f>
        <v/>
      </c>
      <c r="V87" s="614" t="str">
        <f>IF('Data Export'!$D87="","", "")</f>
        <v/>
      </c>
      <c r="W87" s="614" t="str">
        <f>IF('Data Export'!$D87="","", "")</f>
        <v/>
      </c>
      <c r="X87" s="614"/>
      <c r="Y87" s="614" t="str">
        <f>IF('Data Export'!$D87="","", "")</f>
        <v/>
      </c>
      <c r="Z87" s="614" t="str">
        <f>IF('Data Export'!$D87="","", "")</f>
        <v/>
      </c>
      <c r="AA87" s="614" t="str">
        <f>IF('Data Export'!$D87="","", "")</f>
        <v/>
      </c>
      <c r="AB87" s="614" t="str">
        <f>IF('Data Export'!$D87="","", "")</f>
        <v/>
      </c>
      <c r="AC87" s="614" t="str">
        <f>IF('Data Export'!$D87="","", "")</f>
        <v/>
      </c>
      <c r="AD87" s="614" t="str">
        <f>IF('Data Export'!$D87="","", "")</f>
        <v/>
      </c>
      <c r="AE87" s="614" t="str">
        <f>IF('Data Export'!$D87="","", "")</f>
        <v/>
      </c>
      <c r="AF87" s="614"/>
      <c r="AG87" s="614" t="str">
        <f>IF('Data Export'!$D87="","", "")</f>
        <v/>
      </c>
      <c r="AH87" s="614" t="str">
        <f>IF('Data Export'!$D87="","", "")</f>
        <v/>
      </c>
      <c r="AI87" s="630">
        <f>IF('Data Export'!$D87="","", 'Night Covers'!J12)</f>
        <v>0</v>
      </c>
      <c r="AJ87" s="630">
        <f>IF('Data Export'!$D87="","", 'Night Covers'!K12)</f>
        <v>0</v>
      </c>
      <c r="AK87" s="614" t="str">
        <f>IF('Data Export'!$D87="","", "")</f>
        <v/>
      </c>
      <c r="AL87" s="614"/>
      <c r="AM87" s="644" t="str">
        <f>IF('Data Export'!$D87="","",'Night Covers'!U12)</f>
        <v/>
      </c>
      <c r="AN87" s="644" t="str">
        <f>IF('Data Export'!$D87="","",'Night Covers'!T12)</f>
        <v/>
      </c>
      <c r="AO87" s="636" t="str">
        <f>IF('Data Export'!$D87="","", IFERROR(ROUND($F87/$D87, 2), ""))</f>
        <v/>
      </c>
      <c r="AP87" s="641">
        <f>IF('Data Export'!$D87="","",'Project Summary'!$C$11)</f>
        <v>0</v>
      </c>
      <c r="AQ87" s="614"/>
      <c r="AR87" s="614"/>
    </row>
    <row r="88" spans="1:44" x14ac:dyDescent="0.2">
      <c r="A88" s="618" t="str">
        <f>'Night Covers'!$B$3</f>
        <v>Night Covers for Display Cases</v>
      </c>
      <c r="B88" s="614" t="s">
        <v>224</v>
      </c>
      <c r="C88" s="614">
        <v>86</v>
      </c>
      <c r="D88" s="630">
        <f>IF('Night Covers'!W13&gt;0,'Night Covers'!L13,"")</f>
        <v>0</v>
      </c>
      <c r="E88" s="630" t="str">
        <f>IF($D88="","",'Look Up Tables'!$AS$62)</f>
        <v>NightCover</v>
      </c>
      <c r="F88" s="636" t="str">
        <f>IF('Data Export'!$D88="","", 'Night Covers'!W13)</f>
        <v/>
      </c>
      <c r="G88" s="641">
        <f>IF('Data Export'!D88="","", 'Project Summary'!$C$6)</f>
        <v>0</v>
      </c>
      <c r="H88" s="635" t="str">
        <f>IF('Data Export'!$D88="","",'Night Covers'!R13)</f>
        <v/>
      </c>
      <c r="I88" s="644" t="str">
        <f>IF('Data Export'!$D88="","",'Night Covers'!S13)</f>
        <v/>
      </c>
      <c r="J88" s="630">
        <f>IF('Data Export'!$D88="","", 'Project Summary'!$J$1)</f>
        <v>5.01</v>
      </c>
      <c r="K88" s="630">
        <f>IF('Data Export'!$D88="","",'Night Covers'!D13)</f>
        <v>0</v>
      </c>
      <c r="L88" s="630">
        <f>IF('Data Export'!$D88="","",'Night Covers'!E13)</f>
        <v>0</v>
      </c>
      <c r="M88" s="630">
        <f>IF('Data Export'!$D88="","", 'Project Summary'!$C$13)</f>
        <v>0</v>
      </c>
      <c r="N88" s="614" t="str">
        <f>IF('Data Export'!$D88="","", "")</f>
        <v/>
      </c>
      <c r="O88" s="614" t="str">
        <f>IF('Data Export'!$D88="","", "")</f>
        <v/>
      </c>
      <c r="P88" s="614"/>
      <c r="Q88" s="614" t="str">
        <f>IF('Data Export'!$D88="","", "")</f>
        <v/>
      </c>
      <c r="R88" s="614" t="str">
        <f>IF('Data Export'!$D88="","", "")</f>
        <v/>
      </c>
      <c r="S88" s="614" t="str">
        <f>IF('Data Export'!$D88="","", "")</f>
        <v/>
      </c>
      <c r="T88" s="614" t="str">
        <f>IF('Data Export'!$D88="","", "")</f>
        <v/>
      </c>
      <c r="U88" s="614" t="str">
        <f>IF('Data Export'!$D88="","", "")</f>
        <v/>
      </c>
      <c r="V88" s="614" t="str">
        <f>IF('Data Export'!$D88="","", "")</f>
        <v/>
      </c>
      <c r="W88" s="614" t="str">
        <f>IF('Data Export'!$D88="","", "")</f>
        <v/>
      </c>
      <c r="X88" s="614"/>
      <c r="Y88" s="614" t="str">
        <f>IF('Data Export'!$D88="","", "")</f>
        <v/>
      </c>
      <c r="Z88" s="614" t="str">
        <f>IF('Data Export'!$D88="","", "")</f>
        <v/>
      </c>
      <c r="AA88" s="614" t="str">
        <f>IF('Data Export'!$D88="","", "")</f>
        <v/>
      </c>
      <c r="AB88" s="614" t="str">
        <f>IF('Data Export'!$D88="","", "")</f>
        <v/>
      </c>
      <c r="AC88" s="614" t="str">
        <f>IF('Data Export'!$D88="","", "")</f>
        <v/>
      </c>
      <c r="AD88" s="614" t="str">
        <f>IF('Data Export'!$D88="","", "")</f>
        <v/>
      </c>
      <c r="AE88" s="614" t="str">
        <f>IF('Data Export'!$D88="","", "")</f>
        <v/>
      </c>
      <c r="AF88" s="614"/>
      <c r="AG88" s="614" t="str">
        <f>IF('Data Export'!$D88="","", "")</f>
        <v/>
      </c>
      <c r="AH88" s="614" t="str">
        <f>IF('Data Export'!$D88="","", "")</f>
        <v/>
      </c>
      <c r="AI88" s="630">
        <f>IF('Data Export'!$D88="","", 'Night Covers'!J13)</f>
        <v>0</v>
      </c>
      <c r="AJ88" s="630">
        <f>IF('Data Export'!$D88="","", 'Night Covers'!K13)</f>
        <v>0</v>
      </c>
      <c r="AK88" s="614" t="str">
        <f>IF('Data Export'!$D88="","", "")</f>
        <v/>
      </c>
      <c r="AL88" s="614"/>
      <c r="AM88" s="644" t="str">
        <f>IF('Data Export'!$D88="","",'Night Covers'!U13)</f>
        <v/>
      </c>
      <c r="AN88" s="644" t="str">
        <f>IF('Data Export'!$D88="","",'Night Covers'!T13)</f>
        <v/>
      </c>
      <c r="AO88" s="636" t="str">
        <f>IF('Data Export'!$D88="","", IFERROR(ROUND($F88/$D88, 2), ""))</f>
        <v/>
      </c>
      <c r="AP88" s="641">
        <f>IF('Data Export'!$D88="","",'Project Summary'!$C$11)</f>
        <v>0</v>
      </c>
      <c r="AQ88" s="614"/>
      <c r="AR88" s="614"/>
    </row>
    <row r="89" spans="1:44" x14ac:dyDescent="0.2">
      <c r="A89" s="618" t="str">
        <f>'Night Covers'!$B$3</f>
        <v>Night Covers for Display Cases</v>
      </c>
      <c r="B89" s="614" t="s">
        <v>224</v>
      </c>
      <c r="C89" s="614">
        <v>87</v>
      </c>
      <c r="D89" s="630">
        <f>IF('Night Covers'!W14&gt;0,'Night Covers'!L14,"")</f>
        <v>0</v>
      </c>
      <c r="E89" s="630" t="str">
        <f>IF($D89="","",'Look Up Tables'!$AS$62)</f>
        <v>NightCover</v>
      </c>
      <c r="F89" s="636" t="str">
        <f>IF('Data Export'!$D89="","", 'Night Covers'!W14)</f>
        <v/>
      </c>
      <c r="G89" s="641">
        <f>IF('Data Export'!D89="","", 'Project Summary'!$C$6)</f>
        <v>0</v>
      </c>
      <c r="H89" s="635" t="str">
        <f>IF('Data Export'!$D89="","",'Night Covers'!R14)</f>
        <v/>
      </c>
      <c r="I89" s="644" t="str">
        <f>IF('Data Export'!$D89="","",'Night Covers'!S14)</f>
        <v/>
      </c>
      <c r="J89" s="630">
        <f>IF('Data Export'!$D89="","", 'Project Summary'!$J$1)</f>
        <v>5.01</v>
      </c>
      <c r="K89" s="630">
        <f>IF('Data Export'!$D89="","",'Night Covers'!D14)</f>
        <v>0</v>
      </c>
      <c r="L89" s="630">
        <f>IF('Data Export'!$D89="","",'Night Covers'!E14)</f>
        <v>0</v>
      </c>
      <c r="M89" s="630">
        <f>IF('Data Export'!$D89="","", 'Project Summary'!$C$13)</f>
        <v>0</v>
      </c>
      <c r="N89" s="614" t="str">
        <f>IF('Data Export'!$D89="","", "")</f>
        <v/>
      </c>
      <c r="O89" s="614" t="str">
        <f>IF('Data Export'!$D89="","", "")</f>
        <v/>
      </c>
      <c r="P89" s="614"/>
      <c r="Q89" s="614" t="str">
        <f>IF('Data Export'!$D89="","", "")</f>
        <v/>
      </c>
      <c r="R89" s="614" t="str">
        <f>IF('Data Export'!$D89="","", "")</f>
        <v/>
      </c>
      <c r="S89" s="614" t="str">
        <f>IF('Data Export'!$D89="","", "")</f>
        <v/>
      </c>
      <c r="T89" s="614" t="str">
        <f>IF('Data Export'!$D89="","", "")</f>
        <v/>
      </c>
      <c r="U89" s="614" t="str">
        <f>IF('Data Export'!$D89="","", "")</f>
        <v/>
      </c>
      <c r="V89" s="614" t="str">
        <f>IF('Data Export'!$D89="","", "")</f>
        <v/>
      </c>
      <c r="W89" s="614" t="str">
        <f>IF('Data Export'!$D89="","", "")</f>
        <v/>
      </c>
      <c r="X89" s="614"/>
      <c r="Y89" s="614" t="str">
        <f>IF('Data Export'!$D89="","", "")</f>
        <v/>
      </c>
      <c r="Z89" s="614" t="str">
        <f>IF('Data Export'!$D89="","", "")</f>
        <v/>
      </c>
      <c r="AA89" s="614" t="str">
        <f>IF('Data Export'!$D89="","", "")</f>
        <v/>
      </c>
      <c r="AB89" s="614" t="str">
        <f>IF('Data Export'!$D89="","", "")</f>
        <v/>
      </c>
      <c r="AC89" s="614" t="str">
        <f>IF('Data Export'!$D89="","", "")</f>
        <v/>
      </c>
      <c r="AD89" s="614" t="str">
        <f>IF('Data Export'!$D89="","", "")</f>
        <v/>
      </c>
      <c r="AE89" s="614" t="str">
        <f>IF('Data Export'!$D89="","", "")</f>
        <v/>
      </c>
      <c r="AF89" s="614"/>
      <c r="AG89" s="614" t="str">
        <f>IF('Data Export'!$D89="","", "")</f>
        <v/>
      </c>
      <c r="AH89" s="614" t="str">
        <f>IF('Data Export'!$D89="","", "")</f>
        <v/>
      </c>
      <c r="AI89" s="630">
        <f>IF('Data Export'!$D89="","", 'Night Covers'!J14)</f>
        <v>0</v>
      </c>
      <c r="AJ89" s="630">
        <f>IF('Data Export'!$D89="","", 'Night Covers'!K14)</f>
        <v>0</v>
      </c>
      <c r="AK89" s="614" t="str">
        <f>IF('Data Export'!$D89="","", "")</f>
        <v/>
      </c>
      <c r="AL89" s="614"/>
      <c r="AM89" s="644" t="str">
        <f>IF('Data Export'!$D89="","",'Night Covers'!U14)</f>
        <v/>
      </c>
      <c r="AN89" s="644" t="str">
        <f>IF('Data Export'!$D89="","",'Night Covers'!T14)</f>
        <v/>
      </c>
      <c r="AO89" s="636" t="str">
        <f>IF('Data Export'!$D89="","", IFERROR(ROUND($F89/$D89, 2), ""))</f>
        <v/>
      </c>
      <c r="AP89" s="641">
        <f>IF('Data Export'!$D89="","",'Project Summary'!$C$11)</f>
        <v>0</v>
      </c>
      <c r="AQ89" s="614"/>
      <c r="AR89" s="614"/>
    </row>
    <row r="90" spans="1:44" x14ac:dyDescent="0.2">
      <c r="A90" s="618" t="str">
        <f>'Night Covers'!$B$3</f>
        <v>Night Covers for Display Cases</v>
      </c>
      <c r="B90" s="614" t="s">
        <v>224</v>
      </c>
      <c r="C90" s="614">
        <v>88</v>
      </c>
      <c r="D90" s="630">
        <f>IF('Night Covers'!W15&gt;0,'Night Covers'!L15,"")</f>
        <v>0</v>
      </c>
      <c r="E90" s="630" t="str">
        <f>IF($D90="","",'Look Up Tables'!$AS$62)</f>
        <v>NightCover</v>
      </c>
      <c r="F90" s="636" t="str">
        <f>IF('Data Export'!$D90="","", 'Night Covers'!W15)</f>
        <v/>
      </c>
      <c r="G90" s="641">
        <f>IF('Data Export'!D90="","", 'Project Summary'!$C$6)</f>
        <v>0</v>
      </c>
      <c r="H90" s="635" t="str">
        <f>IF('Data Export'!$D90="","",'Night Covers'!R15)</f>
        <v/>
      </c>
      <c r="I90" s="644" t="str">
        <f>IF('Data Export'!$D90="","",'Night Covers'!S15)</f>
        <v/>
      </c>
      <c r="J90" s="630">
        <f>IF('Data Export'!$D90="","", 'Project Summary'!$J$1)</f>
        <v>5.01</v>
      </c>
      <c r="K90" s="630">
        <f>IF('Data Export'!$D90="","",'Night Covers'!D15)</f>
        <v>0</v>
      </c>
      <c r="L90" s="630">
        <f>IF('Data Export'!$D90="","",'Night Covers'!E15)</f>
        <v>0</v>
      </c>
      <c r="M90" s="630">
        <f>IF('Data Export'!$D90="","", 'Project Summary'!$C$13)</f>
        <v>0</v>
      </c>
      <c r="N90" s="614" t="str">
        <f>IF('Data Export'!$D90="","", "")</f>
        <v/>
      </c>
      <c r="O90" s="614" t="str">
        <f>IF('Data Export'!$D90="","", "")</f>
        <v/>
      </c>
      <c r="P90" s="614"/>
      <c r="Q90" s="614" t="str">
        <f>IF('Data Export'!$D90="","", "")</f>
        <v/>
      </c>
      <c r="R90" s="614" t="str">
        <f>IF('Data Export'!$D90="","", "")</f>
        <v/>
      </c>
      <c r="S90" s="614" t="str">
        <f>IF('Data Export'!$D90="","", "")</f>
        <v/>
      </c>
      <c r="T90" s="614" t="str">
        <f>IF('Data Export'!$D90="","", "")</f>
        <v/>
      </c>
      <c r="U90" s="614" t="str">
        <f>IF('Data Export'!$D90="","", "")</f>
        <v/>
      </c>
      <c r="V90" s="614" t="str">
        <f>IF('Data Export'!$D90="","", "")</f>
        <v/>
      </c>
      <c r="W90" s="614" t="str">
        <f>IF('Data Export'!$D90="","", "")</f>
        <v/>
      </c>
      <c r="X90" s="614"/>
      <c r="Y90" s="614" t="str">
        <f>IF('Data Export'!$D90="","", "")</f>
        <v/>
      </c>
      <c r="Z90" s="614" t="str">
        <f>IF('Data Export'!$D90="","", "")</f>
        <v/>
      </c>
      <c r="AA90" s="614" t="str">
        <f>IF('Data Export'!$D90="","", "")</f>
        <v/>
      </c>
      <c r="AB90" s="614" t="str">
        <f>IF('Data Export'!$D90="","", "")</f>
        <v/>
      </c>
      <c r="AC90" s="614" t="str">
        <f>IF('Data Export'!$D90="","", "")</f>
        <v/>
      </c>
      <c r="AD90" s="614" t="str">
        <f>IF('Data Export'!$D90="","", "")</f>
        <v/>
      </c>
      <c r="AE90" s="614" t="str">
        <f>IF('Data Export'!$D90="","", "")</f>
        <v/>
      </c>
      <c r="AF90" s="614"/>
      <c r="AG90" s="614" t="str">
        <f>IF('Data Export'!$D90="","", "")</f>
        <v/>
      </c>
      <c r="AH90" s="614" t="str">
        <f>IF('Data Export'!$D90="","", "")</f>
        <v/>
      </c>
      <c r="AI90" s="630">
        <f>IF('Data Export'!$D90="","", 'Night Covers'!J15)</f>
        <v>0</v>
      </c>
      <c r="AJ90" s="630">
        <f>IF('Data Export'!$D90="","", 'Night Covers'!K15)</f>
        <v>0</v>
      </c>
      <c r="AK90" s="614" t="str">
        <f>IF('Data Export'!$D90="","", "")</f>
        <v/>
      </c>
      <c r="AL90" s="614"/>
      <c r="AM90" s="644" t="str">
        <f>IF('Data Export'!$D90="","",'Night Covers'!U15)</f>
        <v/>
      </c>
      <c r="AN90" s="644" t="str">
        <f>IF('Data Export'!$D90="","",'Night Covers'!T15)</f>
        <v/>
      </c>
      <c r="AO90" s="636" t="str">
        <f>IF('Data Export'!$D90="","", IFERROR(ROUND($F90/$D90, 2), ""))</f>
        <v/>
      </c>
      <c r="AP90" s="641">
        <f>IF('Data Export'!$D90="","",'Project Summary'!$C$11)</f>
        <v>0</v>
      </c>
      <c r="AQ90" s="614"/>
      <c r="AR90" s="614"/>
    </row>
    <row r="91" spans="1:44" x14ac:dyDescent="0.2">
      <c r="A91" s="618" t="str">
        <f>'Night Covers'!$B$3</f>
        <v>Night Covers for Display Cases</v>
      </c>
      <c r="B91" s="614" t="s">
        <v>224</v>
      </c>
      <c r="C91" s="614">
        <v>89</v>
      </c>
      <c r="D91" s="630">
        <f>IF('Night Covers'!W16&gt;0,'Night Covers'!L16,"")</f>
        <v>0</v>
      </c>
      <c r="E91" s="630" t="str">
        <f>IF($D91="","",'Look Up Tables'!$AS$62)</f>
        <v>NightCover</v>
      </c>
      <c r="F91" s="636" t="str">
        <f>IF('Data Export'!$D91="","", 'Night Covers'!W16)</f>
        <v/>
      </c>
      <c r="G91" s="641">
        <f>IF('Data Export'!D91="","", 'Project Summary'!$C$6)</f>
        <v>0</v>
      </c>
      <c r="H91" s="635" t="str">
        <f>IF('Data Export'!$D91="","",'Night Covers'!R16)</f>
        <v/>
      </c>
      <c r="I91" s="644" t="str">
        <f>IF('Data Export'!$D91="","",'Night Covers'!S16)</f>
        <v/>
      </c>
      <c r="J91" s="630">
        <f>IF('Data Export'!$D91="","", 'Project Summary'!$J$1)</f>
        <v>5.01</v>
      </c>
      <c r="K91" s="630">
        <f>IF('Data Export'!$D91="","",'Night Covers'!D16)</f>
        <v>0</v>
      </c>
      <c r="L91" s="630">
        <f>IF('Data Export'!$D91="","",'Night Covers'!E16)</f>
        <v>0</v>
      </c>
      <c r="M91" s="630">
        <f>IF('Data Export'!$D91="","", 'Project Summary'!$C$13)</f>
        <v>0</v>
      </c>
      <c r="N91" s="614" t="str">
        <f>IF('Data Export'!$D91="","", "")</f>
        <v/>
      </c>
      <c r="O91" s="614" t="str">
        <f>IF('Data Export'!$D91="","", "")</f>
        <v/>
      </c>
      <c r="P91" s="614"/>
      <c r="Q91" s="614" t="str">
        <f>IF('Data Export'!$D91="","", "")</f>
        <v/>
      </c>
      <c r="R91" s="614" t="str">
        <f>IF('Data Export'!$D91="","", "")</f>
        <v/>
      </c>
      <c r="S91" s="614" t="str">
        <f>IF('Data Export'!$D91="","", "")</f>
        <v/>
      </c>
      <c r="T91" s="614" t="str">
        <f>IF('Data Export'!$D91="","", "")</f>
        <v/>
      </c>
      <c r="U91" s="614" t="str">
        <f>IF('Data Export'!$D91="","", "")</f>
        <v/>
      </c>
      <c r="V91" s="614" t="str">
        <f>IF('Data Export'!$D91="","", "")</f>
        <v/>
      </c>
      <c r="W91" s="614" t="str">
        <f>IF('Data Export'!$D91="","", "")</f>
        <v/>
      </c>
      <c r="X91" s="614"/>
      <c r="Y91" s="614" t="str">
        <f>IF('Data Export'!$D91="","", "")</f>
        <v/>
      </c>
      <c r="Z91" s="614" t="str">
        <f>IF('Data Export'!$D91="","", "")</f>
        <v/>
      </c>
      <c r="AA91" s="614" t="str">
        <f>IF('Data Export'!$D91="","", "")</f>
        <v/>
      </c>
      <c r="AB91" s="614" t="str">
        <f>IF('Data Export'!$D91="","", "")</f>
        <v/>
      </c>
      <c r="AC91" s="614" t="str">
        <f>IF('Data Export'!$D91="","", "")</f>
        <v/>
      </c>
      <c r="AD91" s="614" t="str">
        <f>IF('Data Export'!$D91="","", "")</f>
        <v/>
      </c>
      <c r="AE91" s="614" t="str">
        <f>IF('Data Export'!$D91="","", "")</f>
        <v/>
      </c>
      <c r="AF91" s="614"/>
      <c r="AG91" s="614" t="str">
        <f>IF('Data Export'!$D91="","", "")</f>
        <v/>
      </c>
      <c r="AH91" s="614" t="str">
        <f>IF('Data Export'!$D91="","", "")</f>
        <v/>
      </c>
      <c r="AI91" s="630">
        <f>IF('Data Export'!$D91="","", 'Night Covers'!J16)</f>
        <v>0</v>
      </c>
      <c r="AJ91" s="630">
        <f>IF('Data Export'!$D91="","", 'Night Covers'!K16)</f>
        <v>0</v>
      </c>
      <c r="AK91" s="614" t="str">
        <f>IF('Data Export'!$D91="","", "")</f>
        <v/>
      </c>
      <c r="AL91" s="614"/>
      <c r="AM91" s="644" t="str">
        <f>IF('Data Export'!$D91="","",'Night Covers'!U16)</f>
        <v/>
      </c>
      <c r="AN91" s="644" t="str">
        <f>IF('Data Export'!$D91="","",'Night Covers'!T16)</f>
        <v/>
      </c>
      <c r="AO91" s="636" t="str">
        <f>IF('Data Export'!$D91="","", IFERROR(ROUND($F91/$D91, 2), ""))</f>
        <v/>
      </c>
      <c r="AP91" s="641">
        <f>IF('Data Export'!$D91="","",'Project Summary'!$C$11)</f>
        <v>0</v>
      </c>
      <c r="AQ91" s="614"/>
      <c r="AR91" s="614"/>
    </row>
    <row r="92" spans="1:44" ht="15" thickBot="1" x14ac:dyDescent="0.25">
      <c r="A92" s="625" t="str">
        <f>'Night Covers'!$B$3</f>
        <v>Night Covers for Display Cases</v>
      </c>
      <c r="B92" s="626" t="s">
        <v>224</v>
      </c>
      <c r="C92" s="626">
        <v>90</v>
      </c>
      <c r="D92" s="631">
        <f>IF('Night Covers'!W17&gt;0,'Night Covers'!L17,"")</f>
        <v>0</v>
      </c>
      <c r="E92" s="631" t="str">
        <f>IF($D92="","",'Look Up Tables'!$AS$62)</f>
        <v>NightCover</v>
      </c>
      <c r="F92" s="638" t="str">
        <f>IF('Data Export'!$D92="","", 'Night Covers'!W17)</f>
        <v/>
      </c>
      <c r="G92" s="642">
        <f>IF('Data Export'!D92="","", 'Project Summary'!$C$6)</f>
        <v>0</v>
      </c>
      <c r="H92" s="639" t="str">
        <f>IF('Data Export'!$D92="","",'Night Covers'!R17)</f>
        <v/>
      </c>
      <c r="I92" s="659" t="str">
        <f>IF('Data Export'!$D92="","",'Night Covers'!S17)</f>
        <v/>
      </c>
      <c r="J92" s="631">
        <f>IF('Data Export'!$D92="","", 'Project Summary'!$J$1)</f>
        <v>5.01</v>
      </c>
      <c r="K92" s="631">
        <f>IF('Data Export'!$D92="","",'Night Covers'!D17)</f>
        <v>0</v>
      </c>
      <c r="L92" s="631">
        <f>IF('Data Export'!$D92="","",'Night Covers'!E17)</f>
        <v>0</v>
      </c>
      <c r="M92" s="631">
        <f>IF('Data Export'!$D92="","", 'Project Summary'!$C$13)</f>
        <v>0</v>
      </c>
      <c r="N92" s="626" t="str">
        <f>IF('Data Export'!$D92="","", "")</f>
        <v/>
      </c>
      <c r="O92" s="626" t="str">
        <f>IF('Data Export'!$D92="","", "")</f>
        <v/>
      </c>
      <c r="P92" s="626"/>
      <c r="Q92" s="626" t="str">
        <f>IF('Data Export'!$D92="","", "")</f>
        <v/>
      </c>
      <c r="R92" s="626" t="str">
        <f>IF('Data Export'!$D92="","", "")</f>
        <v/>
      </c>
      <c r="S92" s="626" t="str">
        <f>IF('Data Export'!$D92="","", "")</f>
        <v/>
      </c>
      <c r="T92" s="626" t="str">
        <f>IF('Data Export'!$D92="","", "")</f>
        <v/>
      </c>
      <c r="U92" s="626" t="str">
        <f>IF('Data Export'!$D92="","", "")</f>
        <v/>
      </c>
      <c r="V92" s="626" t="str">
        <f>IF('Data Export'!$D92="","", "")</f>
        <v/>
      </c>
      <c r="W92" s="626" t="str">
        <f>IF('Data Export'!$D92="","", "")</f>
        <v/>
      </c>
      <c r="X92" s="626" t="str">
        <f>IF('Data Export'!$D92="","", "")</f>
        <v/>
      </c>
      <c r="Y92" s="626" t="str">
        <f>IF('Data Export'!$D92="","", "")</f>
        <v/>
      </c>
      <c r="Z92" s="626" t="str">
        <f>IF('Data Export'!$D92="","", "")</f>
        <v/>
      </c>
      <c r="AA92" s="626" t="str">
        <f>IF('Data Export'!$D92="","", "")</f>
        <v/>
      </c>
      <c r="AB92" s="626" t="str">
        <f>IF('Data Export'!$D92="","", "")</f>
        <v/>
      </c>
      <c r="AC92" s="626" t="str">
        <f>IF('Data Export'!$D92="","", "")</f>
        <v/>
      </c>
      <c r="AD92" s="626" t="str">
        <f>IF('Data Export'!$D92="","", "")</f>
        <v/>
      </c>
      <c r="AE92" s="626" t="str">
        <f>IF('Data Export'!$D92="","", "")</f>
        <v/>
      </c>
      <c r="AF92" s="626" t="str">
        <f>IF('Data Export'!$D92="","", "")</f>
        <v/>
      </c>
      <c r="AG92" s="626" t="str">
        <f>IF('Data Export'!$D92="","", "")</f>
        <v/>
      </c>
      <c r="AH92" s="626" t="str">
        <f>IF('Data Export'!$D92="","", "")</f>
        <v/>
      </c>
      <c r="AI92" s="631">
        <f>IF('Data Export'!$D92="","", 'Night Covers'!J17)</f>
        <v>0</v>
      </c>
      <c r="AJ92" s="631">
        <f>IF('Data Export'!$D92="","", 'Night Covers'!K17)</f>
        <v>0</v>
      </c>
      <c r="AK92" s="626" t="str">
        <f>IF('Data Export'!$D92="","", "")</f>
        <v/>
      </c>
      <c r="AL92" s="626"/>
      <c r="AM92" s="659" t="str">
        <f>IF('Data Export'!$D92="","",'Night Covers'!U17)</f>
        <v/>
      </c>
      <c r="AN92" s="659" t="str">
        <f>IF('Data Export'!$D92="","",'Night Covers'!T17)</f>
        <v/>
      </c>
      <c r="AO92" s="638" t="str">
        <f>IF('Data Export'!$D92="","", IFERROR(ROUND($F92/$D92, 2), ""))</f>
        <v/>
      </c>
      <c r="AP92" s="642">
        <f>IF('Data Export'!$D92="","",'Project Summary'!$C$11)</f>
        <v>0</v>
      </c>
      <c r="AQ92" s="626"/>
      <c r="AR92" s="626"/>
    </row>
    <row r="93" spans="1:44" ht="15" thickTop="1" x14ac:dyDescent="0.2">
      <c r="A93" s="620" t="str">
        <f>'Auto Closer'!$B$3</f>
        <v>Auto Closer (Walk Ins Only)</v>
      </c>
      <c r="B93" s="621" t="s">
        <v>319</v>
      </c>
      <c r="C93" s="621">
        <v>91</v>
      </c>
      <c r="D93" s="632">
        <f>IF('Auto Closer'!Q8&gt;0,'Auto Closer'!H8,"")</f>
        <v>0</v>
      </c>
      <c r="E93" s="632" t="str">
        <f>IF($D93="","",IF('Auto Closer'!G8="Freezer",'Look Up Tables'!$AS$37,'Look Up Tables'!$AS$36))</f>
        <v>DoorCloseWICooler</v>
      </c>
      <c r="F93" s="637" t="str">
        <f>IF('Data Export'!$D93="","", 'Auto Closer'!Q8)</f>
        <v/>
      </c>
      <c r="G93" s="643">
        <f>IF('Data Export'!D93="","", 'Project Summary'!$C$6)</f>
        <v>0</v>
      </c>
      <c r="H93" s="640" t="str">
        <f>IF('Data Export'!$D93="","",'Auto Closer'!L8)</f>
        <v/>
      </c>
      <c r="I93" s="658" t="str">
        <f>IF('Data Export'!$D93="","",'Auto Closer'!M8)</f>
        <v/>
      </c>
      <c r="J93" s="632">
        <f>IF('Data Export'!$D93="","", 'Project Summary'!$J$1)</f>
        <v>5.01</v>
      </c>
      <c r="K93" s="632">
        <f>IF('Data Export'!$D93="","",'Auto Closer'!D8)</f>
        <v>0</v>
      </c>
      <c r="L93" s="632">
        <f>IF('Data Export'!$D93="","",'Auto Closer'!E8)</f>
        <v>0</v>
      </c>
      <c r="M93" s="632">
        <f>IF('Data Export'!$D93="","", 'Project Summary'!$C$13)</f>
        <v>0</v>
      </c>
      <c r="N93" s="621" t="str">
        <f>IF('Data Export'!$D93="","", "")</f>
        <v/>
      </c>
      <c r="O93" s="621" t="str">
        <f>IF('Data Export'!$D93="","", "")</f>
        <v/>
      </c>
      <c r="P93" s="632">
        <f>IF('Data Export'!$D93="","", IF('Auto Closer'!G8="Refrigeration","Refrigerator",'Auto Closer'!G8))</f>
        <v>0</v>
      </c>
      <c r="Q93" s="621" t="str">
        <f>IF('Data Export'!$D93="","", "")</f>
        <v/>
      </c>
      <c r="R93" s="621" t="str">
        <f>IF('Data Export'!$D93="","", "")</f>
        <v/>
      </c>
      <c r="S93" s="621" t="str">
        <f>IF('Data Export'!$D93="","", "")</f>
        <v/>
      </c>
      <c r="T93" s="621" t="str">
        <f>IF('Data Export'!$D93="","", "")</f>
        <v/>
      </c>
      <c r="U93" s="621" t="str">
        <f>IF('Data Export'!$D93="","", "")</f>
        <v/>
      </c>
      <c r="V93" s="621" t="str">
        <f>IF('Data Export'!$D93="","", "")</f>
        <v/>
      </c>
      <c r="W93" s="621" t="str">
        <f>IF('Data Export'!$D93="","", "")</f>
        <v/>
      </c>
      <c r="X93" s="621" t="str">
        <f>IF('Data Export'!$D93="","", "")</f>
        <v/>
      </c>
      <c r="Y93" s="621" t="str">
        <f>IF('Data Export'!$D93="","", "")</f>
        <v/>
      </c>
      <c r="Z93" s="621" t="str">
        <f>IF('Data Export'!$D93="","", "")</f>
        <v/>
      </c>
      <c r="AA93" s="621" t="str">
        <f>IF('Data Export'!$D93="","", "")</f>
        <v/>
      </c>
      <c r="AB93" s="621" t="str">
        <f>IF('Data Export'!$D93="","", "")</f>
        <v/>
      </c>
      <c r="AC93" s="621" t="str">
        <f>IF('Data Export'!$D93="","", "")</f>
        <v/>
      </c>
      <c r="AD93" s="621" t="str">
        <f>IF('Data Export'!$D93="","", "")</f>
        <v/>
      </c>
      <c r="AE93" s="621" t="str">
        <f>IF('Data Export'!$D93="","", "")</f>
        <v/>
      </c>
      <c r="AF93" s="621"/>
      <c r="AG93" s="621" t="str">
        <f>IF('Data Export'!$D93="","", "")</f>
        <v/>
      </c>
      <c r="AH93" s="621" t="str">
        <f>IF('Data Export'!$D93="","", "")</f>
        <v/>
      </c>
      <c r="AI93" s="621" t="str">
        <f>IF('Data Export'!$D93="","", "")</f>
        <v/>
      </c>
      <c r="AJ93" s="621" t="str">
        <f>IF('Data Export'!$D93="","", "")</f>
        <v/>
      </c>
      <c r="AK93" s="621" t="str">
        <f>IF('Data Export'!$D93="","", "")</f>
        <v/>
      </c>
      <c r="AL93" s="621"/>
      <c r="AM93" s="658" t="str">
        <f>IF('Data Export'!$D93="","",'Auto Closer'!O8)</f>
        <v/>
      </c>
      <c r="AN93" s="658" t="str">
        <f>IF('Data Export'!$D93="","",'Auto Closer'!N8)</f>
        <v/>
      </c>
      <c r="AO93" s="637" t="str">
        <f>IF('Data Export'!$D93="","", IFERROR(ROUND($F93/$D93, 2), ""))</f>
        <v/>
      </c>
      <c r="AP93" s="643">
        <f>IF('Data Export'!$D93="","",'Project Summary'!$C$11)</f>
        <v>0</v>
      </c>
      <c r="AQ93" s="621"/>
      <c r="AR93" s="621"/>
    </row>
    <row r="94" spans="1:44" x14ac:dyDescent="0.2">
      <c r="A94" s="618" t="str">
        <f>'Auto Closer'!$B$3</f>
        <v>Auto Closer (Walk Ins Only)</v>
      </c>
      <c r="B94" s="614" t="s">
        <v>319</v>
      </c>
      <c r="C94" s="614">
        <v>92</v>
      </c>
      <c r="D94" s="630">
        <f>IF('Auto Closer'!Q9&gt;0,'Auto Closer'!H9,"")</f>
        <v>0</v>
      </c>
      <c r="E94" s="630" t="str">
        <f>IF($D94="","",IF('Auto Closer'!G9="Freezer",'Look Up Tables'!$AS$37,'Look Up Tables'!$AS$36))</f>
        <v>DoorCloseWICooler</v>
      </c>
      <c r="F94" s="636" t="str">
        <f>IF('Data Export'!$D94="","", 'Auto Closer'!Q9)</f>
        <v/>
      </c>
      <c r="G94" s="641">
        <f>IF('Data Export'!D94="","", 'Project Summary'!$C$6)</f>
        <v>0</v>
      </c>
      <c r="H94" s="635" t="str">
        <f>IF('Data Export'!$D94="","",'Auto Closer'!L9)</f>
        <v/>
      </c>
      <c r="I94" s="644" t="str">
        <f>IF('Data Export'!$D94="","",'Auto Closer'!M9)</f>
        <v/>
      </c>
      <c r="J94" s="630">
        <f>IF('Data Export'!$D94="","", 'Project Summary'!$J$1)</f>
        <v>5.01</v>
      </c>
      <c r="K94" s="630">
        <f>IF('Data Export'!$D94="","",'Auto Closer'!D9)</f>
        <v>0</v>
      </c>
      <c r="L94" s="630">
        <f>IF('Data Export'!$D94="","",'Auto Closer'!E9)</f>
        <v>0</v>
      </c>
      <c r="M94" s="630">
        <f>IF('Data Export'!$D94="","", 'Project Summary'!$C$13)</f>
        <v>0</v>
      </c>
      <c r="N94" s="614" t="str">
        <f>IF('Data Export'!$D94="","", "")</f>
        <v/>
      </c>
      <c r="O94" s="614" t="str">
        <f>IF('Data Export'!$D94="","", "")</f>
        <v/>
      </c>
      <c r="P94" s="630">
        <f>IF('Data Export'!$D94="","", IF('Auto Closer'!G9="Refrigeration","Refrigerator",'Auto Closer'!G9))</f>
        <v>0</v>
      </c>
      <c r="Q94" s="614" t="str">
        <f>IF('Data Export'!$D94="","", "")</f>
        <v/>
      </c>
      <c r="R94" s="614" t="str">
        <f>IF('Data Export'!$D94="","", "")</f>
        <v/>
      </c>
      <c r="S94" s="614" t="str">
        <f>IF('Data Export'!$D94="","", "")</f>
        <v/>
      </c>
      <c r="T94" s="614" t="str">
        <f>IF('Data Export'!$D94="","", "")</f>
        <v/>
      </c>
      <c r="U94" s="614" t="str">
        <f>IF('Data Export'!$D94="","", "")</f>
        <v/>
      </c>
      <c r="V94" s="614" t="str">
        <f>IF('Data Export'!$D94="","", "")</f>
        <v/>
      </c>
      <c r="W94" s="614" t="str">
        <f>IF('Data Export'!$D94="","", "")</f>
        <v/>
      </c>
      <c r="X94" s="614" t="str">
        <f>IF('Data Export'!$D94="","", "")</f>
        <v/>
      </c>
      <c r="Y94" s="614" t="str">
        <f>IF('Data Export'!$D94="","", "")</f>
        <v/>
      </c>
      <c r="Z94" s="614" t="str">
        <f>IF('Data Export'!$D94="","", "")</f>
        <v/>
      </c>
      <c r="AA94" s="614" t="str">
        <f>IF('Data Export'!$D94="","", "")</f>
        <v/>
      </c>
      <c r="AB94" s="614" t="str">
        <f>IF('Data Export'!$D94="","", "")</f>
        <v/>
      </c>
      <c r="AC94" s="614" t="str">
        <f>IF('Data Export'!$D94="","", "")</f>
        <v/>
      </c>
      <c r="AD94" s="614" t="str">
        <f>IF('Data Export'!$D94="","", "")</f>
        <v/>
      </c>
      <c r="AE94" s="614" t="str">
        <f>IF('Data Export'!$D94="","", "")</f>
        <v/>
      </c>
      <c r="AF94" s="614"/>
      <c r="AG94" s="614" t="str">
        <f>IF('Data Export'!$D94="","", "")</f>
        <v/>
      </c>
      <c r="AH94" s="614" t="str">
        <f>IF('Data Export'!$D94="","", "")</f>
        <v/>
      </c>
      <c r="AI94" s="614" t="str">
        <f>IF('Data Export'!$D94="","", "")</f>
        <v/>
      </c>
      <c r="AJ94" s="614" t="str">
        <f>IF('Data Export'!$D94="","", "")</f>
        <v/>
      </c>
      <c r="AK94" s="614" t="str">
        <f>IF('Data Export'!$D94="","", "")</f>
        <v/>
      </c>
      <c r="AL94" s="614"/>
      <c r="AM94" s="644" t="str">
        <f>IF('Data Export'!$D94="","",'Auto Closer'!O9)</f>
        <v/>
      </c>
      <c r="AN94" s="644" t="str">
        <f>IF('Data Export'!$D94="","",'Auto Closer'!N9)</f>
        <v/>
      </c>
      <c r="AO94" s="636" t="str">
        <f>IF('Data Export'!$D94="","", IFERROR(ROUND($F94/$D94, 2), ""))</f>
        <v/>
      </c>
      <c r="AP94" s="641">
        <f>IF('Data Export'!$D94="","",'Project Summary'!$C$11)</f>
        <v>0</v>
      </c>
      <c r="AQ94" s="614"/>
      <c r="AR94" s="614"/>
    </row>
    <row r="95" spans="1:44" x14ac:dyDescent="0.2">
      <c r="A95" s="618" t="str">
        <f>'Auto Closer'!$B$3</f>
        <v>Auto Closer (Walk Ins Only)</v>
      </c>
      <c r="B95" s="614" t="s">
        <v>319</v>
      </c>
      <c r="C95" s="614">
        <v>93</v>
      </c>
      <c r="D95" s="630">
        <f>IF('Auto Closer'!Q10&gt;0,'Auto Closer'!H10,"")</f>
        <v>0</v>
      </c>
      <c r="E95" s="630" t="str">
        <f>IF($D95="","",IF('Auto Closer'!G10="Freezer",'Look Up Tables'!$AS$37,'Look Up Tables'!$AS$36))</f>
        <v>DoorCloseWICooler</v>
      </c>
      <c r="F95" s="636" t="str">
        <f>IF('Data Export'!$D95="","", 'Auto Closer'!Q10)</f>
        <v/>
      </c>
      <c r="G95" s="641">
        <f>IF('Data Export'!D95="","", 'Project Summary'!$C$6)</f>
        <v>0</v>
      </c>
      <c r="H95" s="635" t="str">
        <f>IF('Data Export'!$D95="","",'Auto Closer'!L10)</f>
        <v/>
      </c>
      <c r="I95" s="644" t="str">
        <f>IF('Data Export'!$D95="","",'Auto Closer'!M10)</f>
        <v/>
      </c>
      <c r="J95" s="630">
        <f>IF('Data Export'!$D95="","", 'Project Summary'!$J$1)</f>
        <v>5.01</v>
      </c>
      <c r="K95" s="630">
        <f>IF('Data Export'!$D95="","",'Auto Closer'!D10)</f>
        <v>0</v>
      </c>
      <c r="L95" s="630">
        <f>IF('Data Export'!$D95="","",'Auto Closer'!E10)</f>
        <v>0</v>
      </c>
      <c r="M95" s="630">
        <f>IF('Data Export'!$D95="","", 'Project Summary'!$C$13)</f>
        <v>0</v>
      </c>
      <c r="N95" s="614" t="str">
        <f>IF('Data Export'!$D95="","", "")</f>
        <v/>
      </c>
      <c r="O95" s="614" t="str">
        <f>IF('Data Export'!$D95="","", "")</f>
        <v/>
      </c>
      <c r="P95" s="630">
        <f>IF('Data Export'!$D95="","", IF('Auto Closer'!G10="Refrigeration","Refrigerator",'Auto Closer'!G10))</f>
        <v>0</v>
      </c>
      <c r="Q95" s="614" t="str">
        <f>IF('Data Export'!$D95="","", "")</f>
        <v/>
      </c>
      <c r="R95" s="614" t="str">
        <f>IF('Data Export'!$D95="","", "")</f>
        <v/>
      </c>
      <c r="S95" s="614" t="str">
        <f>IF('Data Export'!$D95="","", "")</f>
        <v/>
      </c>
      <c r="T95" s="614" t="str">
        <f>IF('Data Export'!$D95="","", "")</f>
        <v/>
      </c>
      <c r="U95" s="614" t="str">
        <f>IF('Data Export'!$D95="","", "")</f>
        <v/>
      </c>
      <c r="V95" s="614" t="str">
        <f>IF('Data Export'!$D95="","", "")</f>
        <v/>
      </c>
      <c r="W95" s="614" t="str">
        <f>IF('Data Export'!$D95="","", "")</f>
        <v/>
      </c>
      <c r="X95" s="614" t="str">
        <f>IF('Data Export'!$D95="","", "")</f>
        <v/>
      </c>
      <c r="Y95" s="614" t="str">
        <f>IF('Data Export'!$D95="","", "")</f>
        <v/>
      </c>
      <c r="Z95" s="614" t="str">
        <f>IF('Data Export'!$D95="","", "")</f>
        <v/>
      </c>
      <c r="AA95" s="614" t="str">
        <f>IF('Data Export'!$D95="","", "")</f>
        <v/>
      </c>
      <c r="AB95" s="614" t="str">
        <f>IF('Data Export'!$D95="","", "")</f>
        <v/>
      </c>
      <c r="AC95" s="614" t="str">
        <f>IF('Data Export'!$D95="","", "")</f>
        <v/>
      </c>
      <c r="AD95" s="614" t="str">
        <f>IF('Data Export'!$D95="","", "")</f>
        <v/>
      </c>
      <c r="AE95" s="614" t="str">
        <f>IF('Data Export'!$D95="","", "")</f>
        <v/>
      </c>
      <c r="AF95" s="614"/>
      <c r="AG95" s="614" t="str">
        <f>IF('Data Export'!$D95="","", "")</f>
        <v/>
      </c>
      <c r="AH95" s="614" t="str">
        <f>IF('Data Export'!$D95="","", "")</f>
        <v/>
      </c>
      <c r="AI95" s="614" t="str">
        <f>IF('Data Export'!$D95="","", "")</f>
        <v/>
      </c>
      <c r="AJ95" s="614" t="str">
        <f>IF('Data Export'!$D95="","", "")</f>
        <v/>
      </c>
      <c r="AK95" s="614" t="str">
        <f>IF('Data Export'!$D95="","", "")</f>
        <v/>
      </c>
      <c r="AL95" s="614"/>
      <c r="AM95" s="644" t="str">
        <f>IF('Data Export'!$D95="","",'Auto Closer'!O10)</f>
        <v/>
      </c>
      <c r="AN95" s="644" t="str">
        <f>IF('Data Export'!$D95="","",'Auto Closer'!N10)</f>
        <v/>
      </c>
      <c r="AO95" s="636" t="str">
        <f>IF('Data Export'!$D95="","", IFERROR(ROUND($F95/$D95, 2), ""))</f>
        <v/>
      </c>
      <c r="AP95" s="641">
        <f>IF('Data Export'!$D95="","",'Project Summary'!$C$11)</f>
        <v>0</v>
      </c>
      <c r="AQ95" s="614"/>
      <c r="AR95" s="614"/>
    </row>
    <row r="96" spans="1:44" x14ac:dyDescent="0.2">
      <c r="A96" s="618" t="str">
        <f>'Auto Closer'!$B$3</f>
        <v>Auto Closer (Walk Ins Only)</v>
      </c>
      <c r="B96" s="614" t="s">
        <v>319</v>
      </c>
      <c r="C96" s="614">
        <v>94</v>
      </c>
      <c r="D96" s="630">
        <f>IF('Auto Closer'!Q11&gt;0,'Auto Closer'!H11,"")</f>
        <v>0</v>
      </c>
      <c r="E96" s="630" t="str">
        <f>IF($D96="","",IF('Auto Closer'!G11="Freezer",'Look Up Tables'!$AS$37,'Look Up Tables'!$AS$36))</f>
        <v>DoorCloseWICooler</v>
      </c>
      <c r="F96" s="636" t="str">
        <f>IF('Data Export'!$D96="","", 'Auto Closer'!Q11)</f>
        <v/>
      </c>
      <c r="G96" s="641">
        <f>IF('Data Export'!D96="","", 'Project Summary'!$C$6)</f>
        <v>0</v>
      </c>
      <c r="H96" s="635" t="str">
        <f>IF('Data Export'!$D96="","",'Auto Closer'!L11)</f>
        <v/>
      </c>
      <c r="I96" s="644" t="str">
        <f>IF('Data Export'!$D96="","",'Auto Closer'!M11)</f>
        <v/>
      </c>
      <c r="J96" s="630">
        <f>IF('Data Export'!$D96="","", 'Project Summary'!$J$1)</f>
        <v>5.01</v>
      </c>
      <c r="K96" s="630">
        <f>IF('Data Export'!$D96="","",'Auto Closer'!D11)</f>
        <v>0</v>
      </c>
      <c r="L96" s="630">
        <f>IF('Data Export'!$D96="","",'Auto Closer'!E11)</f>
        <v>0</v>
      </c>
      <c r="M96" s="630">
        <f>IF('Data Export'!$D96="","", 'Project Summary'!$C$13)</f>
        <v>0</v>
      </c>
      <c r="N96" s="614" t="str">
        <f>IF('Data Export'!$D96="","", "")</f>
        <v/>
      </c>
      <c r="O96" s="614" t="str">
        <f>IF('Data Export'!$D96="","", "")</f>
        <v/>
      </c>
      <c r="P96" s="630">
        <f>IF('Data Export'!$D96="","", IF('Auto Closer'!G11="Refrigeration","Refrigerator",'Auto Closer'!G11))</f>
        <v>0</v>
      </c>
      <c r="Q96" s="614" t="str">
        <f>IF('Data Export'!$D96="","", "")</f>
        <v/>
      </c>
      <c r="R96" s="614" t="str">
        <f>IF('Data Export'!$D96="","", "")</f>
        <v/>
      </c>
      <c r="S96" s="614" t="str">
        <f>IF('Data Export'!$D96="","", "")</f>
        <v/>
      </c>
      <c r="T96" s="614" t="str">
        <f>IF('Data Export'!$D96="","", "")</f>
        <v/>
      </c>
      <c r="U96" s="614" t="str">
        <f>IF('Data Export'!$D96="","", "")</f>
        <v/>
      </c>
      <c r="V96" s="614" t="str">
        <f>IF('Data Export'!$D96="","", "")</f>
        <v/>
      </c>
      <c r="W96" s="614" t="str">
        <f>IF('Data Export'!$D96="","", "")</f>
        <v/>
      </c>
      <c r="X96" s="614" t="str">
        <f>IF('Data Export'!$D96="","", "")</f>
        <v/>
      </c>
      <c r="Y96" s="614" t="str">
        <f>IF('Data Export'!$D96="","", "")</f>
        <v/>
      </c>
      <c r="Z96" s="614" t="str">
        <f>IF('Data Export'!$D96="","", "")</f>
        <v/>
      </c>
      <c r="AA96" s="614" t="str">
        <f>IF('Data Export'!$D96="","", "")</f>
        <v/>
      </c>
      <c r="AB96" s="614" t="str">
        <f>IF('Data Export'!$D96="","", "")</f>
        <v/>
      </c>
      <c r="AC96" s="614" t="str">
        <f>IF('Data Export'!$D96="","", "")</f>
        <v/>
      </c>
      <c r="AD96" s="614" t="str">
        <f>IF('Data Export'!$D96="","", "")</f>
        <v/>
      </c>
      <c r="AE96" s="614" t="str">
        <f>IF('Data Export'!$D96="","", "")</f>
        <v/>
      </c>
      <c r="AF96" s="614"/>
      <c r="AG96" s="614" t="str">
        <f>IF('Data Export'!$D96="","", "")</f>
        <v/>
      </c>
      <c r="AH96" s="614" t="str">
        <f>IF('Data Export'!$D96="","", "")</f>
        <v/>
      </c>
      <c r="AI96" s="614" t="str">
        <f>IF('Data Export'!$D96="","", "")</f>
        <v/>
      </c>
      <c r="AJ96" s="614" t="str">
        <f>IF('Data Export'!$D96="","", "")</f>
        <v/>
      </c>
      <c r="AK96" s="614" t="str">
        <f>IF('Data Export'!$D96="","", "")</f>
        <v/>
      </c>
      <c r="AL96" s="614"/>
      <c r="AM96" s="644" t="str">
        <f>IF('Data Export'!$D96="","",'Auto Closer'!O11)</f>
        <v/>
      </c>
      <c r="AN96" s="644" t="str">
        <f>IF('Data Export'!$D96="","",'Auto Closer'!N11)</f>
        <v/>
      </c>
      <c r="AO96" s="636" t="str">
        <f>IF('Data Export'!$D96="","", IFERROR(ROUND($F96/$D96, 2), ""))</f>
        <v/>
      </c>
      <c r="AP96" s="641">
        <f>IF('Data Export'!$D96="","",'Project Summary'!$C$11)</f>
        <v>0</v>
      </c>
      <c r="AQ96" s="614"/>
      <c r="AR96" s="614"/>
    </row>
    <row r="97" spans="1:44" x14ac:dyDescent="0.2">
      <c r="A97" s="618" t="str">
        <f>'Auto Closer'!$B$3</f>
        <v>Auto Closer (Walk Ins Only)</v>
      </c>
      <c r="B97" s="614" t="s">
        <v>319</v>
      </c>
      <c r="C97" s="614">
        <v>95</v>
      </c>
      <c r="D97" s="630">
        <f>IF('Auto Closer'!Q12&gt;0,'Auto Closer'!H12,"")</f>
        <v>0</v>
      </c>
      <c r="E97" s="630" t="str">
        <f>IF($D97="","",IF('Auto Closer'!G12="Freezer",'Look Up Tables'!$AS$37,'Look Up Tables'!$AS$36))</f>
        <v>DoorCloseWICooler</v>
      </c>
      <c r="F97" s="636" t="str">
        <f>IF('Data Export'!$D97="","", 'Auto Closer'!Q12)</f>
        <v/>
      </c>
      <c r="G97" s="641">
        <f>IF('Data Export'!D97="","", 'Project Summary'!$C$6)</f>
        <v>0</v>
      </c>
      <c r="H97" s="635" t="str">
        <f>IF('Data Export'!$D97="","",'Auto Closer'!L12)</f>
        <v/>
      </c>
      <c r="I97" s="644" t="str">
        <f>IF('Data Export'!$D97="","",'Auto Closer'!M12)</f>
        <v/>
      </c>
      <c r="J97" s="630">
        <f>IF('Data Export'!$D97="","", 'Project Summary'!$J$1)</f>
        <v>5.01</v>
      </c>
      <c r="K97" s="630">
        <f>IF('Data Export'!$D97="","",'Auto Closer'!D12)</f>
        <v>0</v>
      </c>
      <c r="L97" s="630">
        <f>IF('Data Export'!$D97="","",'Auto Closer'!E12)</f>
        <v>0</v>
      </c>
      <c r="M97" s="630">
        <f>IF('Data Export'!$D97="","", 'Project Summary'!$C$13)</f>
        <v>0</v>
      </c>
      <c r="N97" s="614" t="str">
        <f>IF('Data Export'!$D97="","", "")</f>
        <v/>
      </c>
      <c r="O97" s="614" t="str">
        <f>IF('Data Export'!$D97="","", "")</f>
        <v/>
      </c>
      <c r="P97" s="630">
        <f>IF('Data Export'!$D97="","", IF('Auto Closer'!G12="Refrigeration","Refrigerator",'Auto Closer'!G12))</f>
        <v>0</v>
      </c>
      <c r="Q97" s="614" t="str">
        <f>IF('Data Export'!$D97="","", "")</f>
        <v/>
      </c>
      <c r="R97" s="614" t="str">
        <f>IF('Data Export'!$D97="","", "")</f>
        <v/>
      </c>
      <c r="S97" s="614" t="str">
        <f>IF('Data Export'!$D97="","", "")</f>
        <v/>
      </c>
      <c r="T97" s="614" t="str">
        <f>IF('Data Export'!$D97="","", "")</f>
        <v/>
      </c>
      <c r="U97" s="614" t="str">
        <f>IF('Data Export'!$D97="","", "")</f>
        <v/>
      </c>
      <c r="V97" s="614" t="str">
        <f>IF('Data Export'!$D97="","", "")</f>
        <v/>
      </c>
      <c r="W97" s="614" t="str">
        <f>IF('Data Export'!$D97="","", "")</f>
        <v/>
      </c>
      <c r="X97" s="614" t="str">
        <f>IF('Data Export'!$D97="","", "")</f>
        <v/>
      </c>
      <c r="Y97" s="614" t="str">
        <f>IF('Data Export'!$D97="","", "")</f>
        <v/>
      </c>
      <c r="Z97" s="614" t="str">
        <f>IF('Data Export'!$D97="","", "")</f>
        <v/>
      </c>
      <c r="AA97" s="614" t="str">
        <f>IF('Data Export'!$D97="","", "")</f>
        <v/>
      </c>
      <c r="AB97" s="614" t="str">
        <f>IF('Data Export'!$D97="","", "")</f>
        <v/>
      </c>
      <c r="AC97" s="614" t="str">
        <f>IF('Data Export'!$D97="","", "")</f>
        <v/>
      </c>
      <c r="AD97" s="614" t="str">
        <f>IF('Data Export'!$D97="","", "")</f>
        <v/>
      </c>
      <c r="AE97" s="614" t="str">
        <f>IF('Data Export'!$D97="","", "")</f>
        <v/>
      </c>
      <c r="AF97" s="614"/>
      <c r="AG97" s="614" t="str">
        <f>IF('Data Export'!$D97="","", "")</f>
        <v/>
      </c>
      <c r="AH97" s="614" t="str">
        <f>IF('Data Export'!$D97="","", "")</f>
        <v/>
      </c>
      <c r="AI97" s="614" t="str">
        <f>IF('Data Export'!$D97="","", "")</f>
        <v/>
      </c>
      <c r="AJ97" s="614" t="str">
        <f>IF('Data Export'!$D97="","", "")</f>
        <v/>
      </c>
      <c r="AK97" s="614" t="str">
        <f>IF('Data Export'!$D97="","", "")</f>
        <v/>
      </c>
      <c r="AL97" s="614"/>
      <c r="AM97" s="644" t="str">
        <f>IF('Data Export'!$D97="","",'Auto Closer'!O12)</f>
        <v/>
      </c>
      <c r="AN97" s="644" t="str">
        <f>IF('Data Export'!$D97="","",'Auto Closer'!N12)</f>
        <v/>
      </c>
      <c r="AO97" s="636" t="str">
        <f>IF('Data Export'!$D97="","", IFERROR(ROUND($F97/$D97, 2), ""))</f>
        <v/>
      </c>
      <c r="AP97" s="641">
        <f>IF('Data Export'!$D97="","",'Project Summary'!$C$11)</f>
        <v>0</v>
      </c>
      <c r="AQ97" s="614"/>
      <c r="AR97" s="614"/>
    </row>
    <row r="98" spans="1:44" x14ac:dyDescent="0.2">
      <c r="A98" s="618" t="str">
        <f>'Auto Closer'!$B$3</f>
        <v>Auto Closer (Walk Ins Only)</v>
      </c>
      <c r="B98" s="614" t="s">
        <v>319</v>
      </c>
      <c r="C98" s="614">
        <v>96</v>
      </c>
      <c r="D98" s="630">
        <f>IF('Auto Closer'!Q13&gt;0,'Auto Closer'!H13,"")</f>
        <v>0</v>
      </c>
      <c r="E98" s="630" t="str">
        <f>IF($D98="","",IF('Auto Closer'!G13="Freezer",'Look Up Tables'!$AS$37,'Look Up Tables'!$AS$36))</f>
        <v>DoorCloseWICooler</v>
      </c>
      <c r="F98" s="636" t="str">
        <f>IF('Data Export'!$D98="","", 'Auto Closer'!Q13)</f>
        <v/>
      </c>
      <c r="G98" s="641">
        <f>IF('Data Export'!D98="","", 'Project Summary'!$C$6)</f>
        <v>0</v>
      </c>
      <c r="H98" s="635" t="str">
        <f>IF('Data Export'!$D98="","",'Auto Closer'!L13)</f>
        <v/>
      </c>
      <c r="I98" s="644" t="str">
        <f>IF('Data Export'!$D98="","",'Auto Closer'!M13)</f>
        <v/>
      </c>
      <c r="J98" s="630">
        <f>IF('Data Export'!$D98="","", 'Project Summary'!$J$1)</f>
        <v>5.01</v>
      </c>
      <c r="K98" s="630">
        <f>IF('Data Export'!$D98="","",'Auto Closer'!D13)</f>
        <v>0</v>
      </c>
      <c r="L98" s="630">
        <f>IF('Data Export'!$D98="","",'Auto Closer'!E13)</f>
        <v>0</v>
      </c>
      <c r="M98" s="630">
        <f>IF('Data Export'!$D98="","", 'Project Summary'!$C$13)</f>
        <v>0</v>
      </c>
      <c r="N98" s="614" t="str">
        <f>IF('Data Export'!$D98="","", "")</f>
        <v/>
      </c>
      <c r="O98" s="614" t="str">
        <f>IF('Data Export'!$D98="","", "")</f>
        <v/>
      </c>
      <c r="P98" s="630">
        <f>IF('Data Export'!$D98="","", IF('Auto Closer'!G13="Refrigeration","Refrigerator",'Auto Closer'!G13))</f>
        <v>0</v>
      </c>
      <c r="Q98" s="614" t="str">
        <f>IF('Data Export'!$D98="","", "")</f>
        <v/>
      </c>
      <c r="R98" s="614" t="str">
        <f>IF('Data Export'!$D98="","", "")</f>
        <v/>
      </c>
      <c r="S98" s="614" t="str">
        <f>IF('Data Export'!$D98="","", "")</f>
        <v/>
      </c>
      <c r="T98" s="614" t="str">
        <f>IF('Data Export'!$D98="","", "")</f>
        <v/>
      </c>
      <c r="U98" s="614" t="str">
        <f>IF('Data Export'!$D98="","", "")</f>
        <v/>
      </c>
      <c r="V98" s="614" t="str">
        <f>IF('Data Export'!$D98="","", "")</f>
        <v/>
      </c>
      <c r="W98" s="614" t="str">
        <f>IF('Data Export'!$D98="","", "")</f>
        <v/>
      </c>
      <c r="X98" s="614" t="str">
        <f>IF('Data Export'!$D98="","", "")</f>
        <v/>
      </c>
      <c r="Y98" s="614" t="str">
        <f>IF('Data Export'!$D98="","", "")</f>
        <v/>
      </c>
      <c r="Z98" s="614" t="str">
        <f>IF('Data Export'!$D98="","", "")</f>
        <v/>
      </c>
      <c r="AA98" s="614" t="str">
        <f>IF('Data Export'!$D98="","", "")</f>
        <v/>
      </c>
      <c r="AB98" s="614" t="str">
        <f>IF('Data Export'!$D98="","", "")</f>
        <v/>
      </c>
      <c r="AC98" s="614" t="str">
        <f>IF('Data Export'!$D98="","", "")</f>
        <v/>
      </c>
      <c r="AD98" s="614" t="str">
        <f>IF('Data Export'!$D98="","", "")</f>
        <v/>
      </c>
      <c r="AE98" s="614" t="str">
        <f>IF('Data Export'!$D98="","", "")</f>
        <v/>
      </c>
      <c r="AF98" s="614"/>
      <c r="AG98" s="614" t="str">
        <f>IF('Data Export'!$D98="","", "")</f>
        <v/>
      </c>
      <c r="AH98" s="614" t="str">
        <f>IF('Data Export'!$D98="","", "")</f>
        <v/>
      </c>
      <c r="AI98" s="614" t="str">
        <f>IF('Data Export'!$D98="","", "")</f>
        <v/>
      </c>
      <c r="AJ98" s="614" t="str">
        <f>IF('Data Export'!$D98="","", "")</f>
        <v/>
      </c>
      <c r="AK98" s="614" t="str">
        <f>IF('Data Export'!$D98="","", "")</f>
        <v/>
      </c>
      <c r="AL98" s="614"/>
      <c r="AM98" s="644" t="str">
        <f>IF('Data Export'!$D98="","",'Auto Closer'!O13)</f>
        <v/>
      </c>
      <c r="AN98" s="644" t="str">
        <f>IF('Data Export'!$D98="","",'Auto Closer'!N13)</f>
        <v/>
      </c>
      <c r="AO98" s="636" t="str">
        <f>IF('Data Export'!$D98="","", IFERROR(ROUND($F98/$D98, 2), ""))</f>
        <v/>
      </c>
      <c r="AP98" s="641">
        <f>IF('Data Export'!$D98="","",'Project Summary'!$C$11)</f>
        <v>0</v>
      </c>
      <c r="AQ98" s="614"/>
      <c r="AR98" s="614"/>
    </row>
    <row r="99" spans="1:44" x14ac:dyDescent="0.2">
      <c r="A99" s="618" t="str">
        <f>'Auto Closer'!$B$3</f>
        <v>Auto Closer (Walk Ins Only)</v>
      </c>
      <c r="B99" s="614" t="s">
        <v>319</v>
      </c>
      <c r="C99" s="614">
        <v>97</v>
      </c>
      <c r="D99" s="630">
        <f>IF('Auto Closer'!Q14&gt;0,'Auto Closer'!H14,"")</f>
        <v>0</v>
      </c>
      <c r="E99" s="630" t="str">
        <f>IF($D99="","",IF('Auto Closer'!G14="Freezer",'Look Up Tables'!$AS$37,'Look Up Tables'!$AS$36))</f>
        <v>DoorCloseWICooler</v>
      </c>
      <c r="F99" s="636" t="str">
        <f>IF('Data Export'!$D99="","", 'Auto Closer'!Q14)</f>
        <v/>
      </c>
      <c r="G99" s="641">
        <f>IF('Data Export'!D99="","", 'Project Summary'!$C$6)</f>
        <v>0</v>
      </c>
      <c r="H99" s="635" t="str">
        <f>IF('Data Export'!$D99="","",'Auto Closer'!L14)</f>
        <v/>
      </c>
      <c r="I99" s="644" t="str">
        <f>IF('Data Export'!$D99="","",'Auto Closer'!M14)</f>
        <v/>
      </c>
      <c r="J99" s="630">
        <f>IF('Data Export'!$D99="","", 'Project Summary'!$J$1)</f>
        <v>5.01</v>
      </c>
      <c r="K99" s="630">
        <f>IF('Data Export'!$D99="","",'Auto Closer'!D14)</f>
        <v>0</v>
      </c>
      <c r="L99" s="630">
        <f>IF('Data Export'!$D99="","",'Auto Closer'!E14)</f>
        <v>0</v>
      </c>
      <c r="M99" s="630">
        <f>IF('Data Export'!$D99="","", 'Project Summary'!$C$13)</f>
        <v>0</v>
      </c>
      <c r="N99" s="614" t="str">
        <f>IF('Data Export'!$D99="","", "")</f>
        <v/>
      </c>
      <c r="O99" s="614" t="str">
        <f>IF('Data Export'!$D99="","", "")</f>
        <v/>
      </c>
      <c r="P99" s="630">
        <f>IF('Data Export'!$D99="","", IF('Auto Closer'!G14="Refrigeration","Refrigerator",'Auto Closer'!G14))</f>
        <v>0</v>
      </c>
      <c r="Q99" s="614" t="str">
        <f>IF('Data Export'!$D99="","", "")</f>
        <v/>
      </c>
      <c r="R99" s="614" t="str">
        <f>IF('Data Export'!$D99="","", "")</f>
        <v/>
      </c>
      <c r="S99" s="614" t="str">
        <f>IF('Data Export'!$D99="","", "")</f>
        <v/>
      </c>
      <c r="T99" s="614" t="str">
        <f>IF('Data Export'!$D99="","", "")</f>
        <v/>
      </c>
      <c r="U99" s="614" t="str">
        <f>IF('Data Export'!$D99="","", "")</f>
        <v/>
      </c>
      <c r="V99" s="614" t="str">
        <f>IF('Data Export'!$D99="","", "")</f>
        <v/>
      </c>
      <c r="W99" s="614" t="str">
        <f>IF('Data Export'!$D99="","", "")</f>
        <v/>
      </c>
      <c r="X99" s="614" t="str">
        <f>IF('Data Export'!$D99="","", "")</f>
        <v/>
      </c>
      <c r="Y99" s="614" t="str">
        <f>IF('Data Export'!$D99="","", "")</f>
        <v/>
      </c>
      <c r="Z99" s="614" t="str">
        <f>IF('Data Export'!$D99="","", "")</f>
        <v/>
      </c>
      <c r="AA99" s="614" t="str">
        <f>IF('Data Export'!$D99="","", "")</f>
        <v/>
      </c>
      <c r="AB99" s="614" t="str">
        <f>IF('Data Export'!$D99="","", "")</f>
        <v/>
      </c>
      <c r="AC99" s="614" t="str">
        <f>IF('Data Export'!$D99="","", "")</f>
        <v/>
      </c>
      <c r="AD99" s="614" t="str">
        <f>IF('Data Export'!$D99="","", "")</f>
        <v/>
      </c>
      <c r="AE99" s="614" t="str">
        <f>IF('Data Export'!$D99="","", "")</f>
        <v/>
      </c>
      <c r="AF99" s="614"/>
      <c r="AG99" s="614" t="str">
        <f>IF('Data Export'!$D99="","", "")</f>
        <v/>
      </c>
      <c r="AH99" s="614" t="str">
        <f>IF('Data Export'!$D99="","", "")</f>
        <v/>
      </c>
      <c r="AI99" s="614" t="str">
        <f>IF('Data Export'!$D99="","", "")</f>
        <v/>
      </c>
      <c r="AJ99" s="614" t="str">
        <f>IF('Data Export'!$D99="","", "")</f>
        <v/>
      </c>
      <c r="AK99" s="614" t="str">
        <f>IF('Data Export'!$D99="","", "")</f>
        <v/>
      </c>
      <c r="AL99" s="614"/>
      <c r="AM99" s="644" t="str">
        <f>IF('Data Export'!$D99="","",'Auto Closer'!O14)</f>
        <v/>
      </c>
      <c r="AN99" s="644" t="str">
        <f>IF('Data Export'!$D99="","",'Auto Closer'!N14)</f>
        <v/>
      </c>
      <c r="AO99" s="636" t="str">
        <f>IF('Data Export'!$D99="","", IFERROR(ROUND($F99/$D99, 2), ""))</f>
        <v/>
      </c>
      <c r="AP99" s="641">
        <f>IF('Data Export'!$D99="","",'Project Summary'!$C$11)</f>
        <v>0</v>
      </c>
      <c r="AQ99" s="614"/>
      <c r="AR99" s="614"/>
    </row>
    <row r="100" spans="1:44" x14ac:dyDescent="0.2">
      <c r="A100" s="618" t="str">
        <f>'Auto Closer'!$B$3</f>
        <v>Auto Closer (Walk Ins Only)</v>
      </c>
      <c r="B100" s="614" t="s">
        <v>319</v>
      </c>
      <c r="C100" s="614">
        <v>98</v>
      </c>
      <c r="D100" s="630">
        <f>IF('Auto Closer'!Q15&gt;0,'Auto Closer'!H15,"")</f>
        <v>0</v>
      </c>
      <c r="E100" s="630" t="str">
        <f>IF($D100="","",IF('Auto Closer'!G15="Freezer",'Look Up Tables'!$AS$37,'Look Up Tables'!$AS$36))</f>
        <v>DoorCloseWICooler</v>
      </c>
      <c r="F100" s="636" t="str">
        <f>IF('Data Export'!$D100="","", 'Auto Closer'!Q15)</f>
        <v/>
      </c>
      <c r="G100" s="641">
        <f>IF('Data Export'!D100="","", 'Project Summary'!$C$6)</f>
        <v>0</v>
      </c>
      <c r="H100" s="635" t="str">
        <f>IF('Data Export'!$D100="","",'Auto Closer'!L15)</f>
        <v/>
      </c>
      <c r="I100" s="644" t="str">
        <f>IF('Data Export'!$D100="","",'Auto Closer'!M15)</f>
        <v/>
      </c>
      <c r="J100" s="630">
        <f>IF('Data Export'!$D100="","", 'Project Summary'!$J$1)</f>
        <v>5.01</v>
      </c>
      <c r="K100" s="630">
        <f>IF('Data Export'!$D100="","",'Auto Closer'!D15)</f>
        <v>0</v>
      </c>
      <c r="L100" s="630">
        <f>IF('Data Export'!$D100="","",'Auto Closer'!E15)</f>
        <v>0</v>
      </c>
      <c r="M100" s="630">
        <f>IF('Data Export'!$D100="","", 'Project Summary'!$C$13)</f>
        <v>0</v>
      </c>
      <c r="N100" s="614" t="str">
        <f>IF('Data Export'!$D100="","", "")</f>
        <v/>
      </c>
      <c r="O100" s="614" t="str">
        <f>IF('Data Export'!$D100="","", "")</f>
        <v/>
      </c>
      <c r="P100" s="630">
        <f>IF('Data Export'!$D100="","", IF('Auto Closer'!G15="Refrigeration","Refrigerator",'Auto Closer'!G15))</f>
        <v>0</v>
      </c>
      <c r="Q100" s="614" t="str">
        <f>IF('Data Export'!$D100="","", "")</f>
        <v/>
      </c>
      <c r="R100" s="614" t="str">
        <f>IF('Data Export'!$D100="","", "")</f>
        <v/>
      </c>
      <c r="S100" s="614" t="str">
        <f>IF('Data Export'!$D100="","", "")</f>
        <v/>
      </c>
      <c r="T100" s="614" t="str">
        <f>IF('Data Export'!$D100="","", "")</f>
        <v/>
      </c>
      <c r="U100" s="614" t="str">
        <f>IF('Data Export'!$D100="","", "")</f>
        <v/>
      </c>
      <c r="V100" s="614" t="str">
        <f>IF('Data Export'!$D100="","", "")</f>
        <v/>
      </c>
      <c r="W100" s="614" t="str">
        <f>IF('Data Export'!$D100="","", "")</f>
        <v/>
      </c>
      <c r="X100" s="614" t="str">
        <f>IF('Data Export'!$D100="","", "")</f>
        <v/>
      </c>
      <c r="Y100" s="614" t="str">
        <f>IF('Data Export'!$D100="","", "")</f>
        <v/>
      </c>
      <c r="Z100" s="614" t="str">
        <f>IF('Data Export'!$D100="","", "")</f>
        <v/>
      </c>
      <c r="AA100" s="614" t="str">
        <f>IF('Data Export'!$D100="","", "")</f>
        <v/>
      </c>
      <c r="AB100" s="614" t="str">
        <f>IF('Data Export'!$D100="","", "")</f>
        <v/>
      </c>
      <c r="AC100" s="614" t="str">
        <f>IF('Data Export'!$D100="","", "")</f>
        <v/>
      </c>
      <c r="AD100" s="614" t="str">
        <f>IF('Data Export'!$D100="","", "")</f>
        <v/>
      </c>
      <c r="AE100" s="614" t="str">
        <f>IF('Data Export'!$D100="","", "")</f>
        <v/>
      </c>
      <c r="AF100" s="614"/>
      <c r="AG100" s="614" t="str">
        <f>IF('Data Export'!$D100="","", "")</f>
        <v/>
      </c>
      <c r="AH100" s="614" t="str">
        <f>IF('Data Export'!$D100="","", "")</f>
        <v/>
      </c>
      <c r="AI100" s="614" t="str">
        <f>IF('Data Export'!$D100="","", "")</f>
        <v/>
      </c>
      <c r="AJ100" s="614" t="str">
        <f>IF('Data Export'!$D100="","", "")</f>
        <v/>
      </c>
      <c r="AK100" s="614" t="str">
        <f>IF('Data Export'!$D100="","", "")</f>
        <v/>
      </c>
      <c r="AL100" s="614"/>
      <c r="AM100" s="644" t="str">
        <f>IF('Data Export'!$D100="","",'Auto Closer'!O15)</f>
        <v/>
      </c>
      <c r="AN100" s="644" t="str">
        <f>IF('Data Export'!$D100="","",'Auto Closer'!N15)</f>
        <v/>
      </c>
      <c r="AO100" s="636" t="str">
        <f>IF('Data Export'!$D100="","", IFERROR(ROUND($F100/$D100, 2), ""))</f>
        <v/>
      </c>
      <c r="AP100" s="641">
        <f>IF('Data Export'!$D100="","",'Project Summary'!$C$11)</f>
        <v>0</v>
      </c>
      <c r="AQ100" s="614"/>
      <c r="AR100" s="614"/>
    </row>
    <row r="101" spans="1:44" x14ac:dyDescent="0.2">
      <c r="A101" s="618" t="str">
        <f>'Auto Closer'!$B$3</f>
        <v>Auto Closer (Walk Ins Only)</v>
      </c>
      <c r="B101" s="614" t="s">
        <v>319</v>
      </c>
      <c r="C101" s="614">
        <v>99</v>
      </c>
      <c r="D101" s="630">
        <f>IF('Auto Closer'!Q16&gt;0,'Auto Closer'!H16,"")</f>
        <v>0</v>
      </c>
      <c r="E101" s="630" t="str">
        <f>IF($D101="","",IF('Auto Closer'!G16="Freezer",'Look Up Tables'!$AS$37,'Look Up Tables'!$AS$36))</f>
        <v>DoorCloseWICooler</v>
      </c>
      <c r="F101" s="636" t="str">
        <f>IF('Data Export'!$D101="","", 'Auto Closer'!Q16)</f>
        <v/>
      </c>
      <c r="G101" s="641">
        <f>IF('Data Export'!D101="","", 'Project Summary'!$C$6)</f>
        <v>0</v>
      </c>
      <c r="H101" s="635" t="str">
        <f>IF('Data Export'!$D101="","",'Auto Closer'!L16)</f>
        <v/>
      </c>
      <c r="I101" s="644" t="str">
        <f>IF('Data Export'!$D101="","",'Auto Closer'!M16)</f>
        <v/>
      </c>
      <c r="J101" s="630">
        <f>IF('Data Export'!$D101="","", 'Project Summary'!$J$1)</f>
        <v>5.01</v>
      </c>
      <c r="K101" s="630">
        <f>IF('Data Export'!$D101="","",'Auto Closer'!D16)</f>
        <v>0</v>
      </c>
      <c r="L101" s="630">
        <f>IF('Data Export'!$D101="","",'Auto Closer'!E16)</f>
        <v>0</v>
      </c>
      <c r="M101" s="630">
        <f>IF('Data Export'!$D101="","", 'Project Summary'!$C$13)</f>
        <v>0</v>
      </c>
      <c r="N101" s="614" t="str">
        <f>IF('Data Export'!$D101="","", "")</f>
        <v/>
      </c>
      <c r="O101" s="614" t="str">
        <f>IF('Data Export'!$D101="","", "")</f>
        <v/>
      </c>
      <c r="P101" s="630">
        <f>IF('Data Export'!$D101="","", IF('Auto Closer'!G16="Refrigeration","Refrigerator",'Auto Closer'!G16))</f>
        <v>0</v>
      </c>
      <c r="Q101" s="614" t="str">
        <f>IF('Data Export'!$D101="","", "")</f>
        <v/>
      </c>
      <c r="R101" s="614" t="str">
        <f>IF('Data Export'!$D101="","", "")</f>
        <v/>
      </c>
      <c r="S101" s="614" t="str">
        <f>IF('Data Export'!$D101="","", "")</f>
        <v/>
      </c>
      <c r="T101" s="614" t="str">
        <f>IF('Data Export'!$D101="","", "")</f>
        <v/>
      </c>
      <c r="U101" s="614" t="str">
        <f>IF('Data Export'!$D101="","", "")</f>
        <v/>
      </c>
      <c r="V101" s="614" t="str">
        <f>IF('Data Export'!$D101="","", "")</f>
        <v/>
      </c>
      <c r="W101" s="614" t="str">
        <f>IF('Data Export'!$D101="","", "")</f>
        <v/>
      </c>
      <c r="X101" s="614" t="str">
        <f>IF('Data Export'!$D101="","", "")</f>
        <v/>
      </c>
      <c r="Y101" s="614" t="str">
        <f>IF('Data Export'!$D101="","", "")</f>
        <v/>
      </c>
      <c r="Z101" s="614" t="str">
        <f>IF('Data Export'!$D101="","", "")</f>
        <v/>
      </c>
      <c r="AA101" s="614" t="str">
        <f>IF('Data Export'!$D101="","", "")</f>
        <v/>
      </c>
      <c r="AB101" s="614" t="str">
        <f>IF('Data Export'!$D101="","", "")</f>
        <v/>
      </c>
      <c r="AC101" s="614" t="str">
        <f>IF('Data Export'!$D101="","", "")</f>
        <v/>
      </c>
      <c r="AD101" s="614" t="str">
        <f>IF('Data Export'!$D101="","", "")</f>
        <v/>
      </c>
      <c r="AE101" s="614" t="str">
        <f>IF('Data Export'!$D101="","", "")</f>
        <v/>
      </c>
      <c r="AF101" s="614"/>
      <c r="AG101" s="614" t="str">
        <f>IF('Data Export'!$D101="","", "")</f>
        <v/>
      </c>
      <c r="AH101" s="614" t="str">
        <f>IF('Data Export'!$D101="","", "")</f>
        <v/>
      </c>
      <c r="AI101" s="614" t="str">
        <f>IF('Data Export'!$D101="","", "")</f>
        <v/>
      </c>
      <c r="AJ101" s="614" t="str">
        <f>IF('Data Export'!$D101="","", "")</f>
        <v/>
      </c>
      <c r="AK101" s="614" t="str">
        <f>IF('Data Export'!$D101="","", "")</f>
        <v/>
      </c>
      <c r="AL101" s="614"/>
      <c r="AM101" s="644" t="str">
        <f>IF('Data Export'!$D101="","",'Auto Closer'!O16)</f>
        <v/>
      </c>
      <c r="AN101" s="644" t="str">
        <f>IF('Data Export'!$D101="","",'Auto Closer'!N16)</f>
        <v/>
      </c>
      <c r="AO101" s="636" t="str">
        <f>IF('Data Export'!$D101="","", IFERROR(ROUND($F101/$D101, 2), ""))</f>
        <v/>
      </c>
      <c r="AP101" s="641">
        <f>IF('Data Export'!$D101="","",'Project Summary'!$C$11)</f>
        <v>0</v>
      </c>
      <c r="AQ101" s="614"/>
      <c r="AR101" s="614"/>
    </row>
    <row r="102" spans="1:44" ht="15" thickBot="1" x14ac:dyDescent="0.25">
      <c r="A102" s="625" t="str">
        <f>'Auto Closer'!$B$3</f>
        <v>Auto Closer (Walk Ins Only)</v>
      </c>
      <c r="B102" s="626" t="s">
        <v>319</v>
      </c>
      <c r="C102" s="626">
        <v>100</v>
      </c>
      <c r="D102" s="631">
        <f>IF('Auto Closer'!Q17&gt;0,'Auto Closer'!H17,"")</f>
        <v>0</v>
      </c>
      <c r="E102" s="631" t="str">
        <f>IF($D102="","",IF('Auto Closer'!G17="Freezer",'Look Up Tables'!$AS$37,'Look Up Tables'!$AS$36))</f>
        <v>DoorCloseWICooler</v>
      </c>
      <c r="F102" s="638" t="str">
        <f>IF('Data Export'!$D102="","", 'Auto Closer'!Q17)</f>
        <v/>
      </c>
      <c r="G102" s="642">
        <f>IF('Data Export'!D102="","", 'Project Summary'!$C$6)</f>
        <v>0</v>
      </c>
      <c r="H102" s="639" t="str">
        <f>IF('Data Export'!$D102="","",'Auto Closer'!L17)</f>
        <v/>
      </c>
      <c r="I102" s="659" t="str">
        <f>IF('Data Export'!$D102="","",'Auto Closer'!M17)</f>
        <v/>
      </c>
      <c r="J102" s="631">
        <f>IF('Data Export'!$D102="","", 'Project Summary'!$J$1)</f>
        <v>5.01</v>
      </c>
      <c r="K102" s="631">
        <f>IF('Data Export'!$D102="","",'Auto Closer'!D17)</f>
        <v>0</v>
      </c>
      <c r="L102" s="631">
        <f>IF('Data Export'!$D102="","",'Auto Closer'!E17)</f>
        <v>0</v>
      </c>
      <c r="M102" s="631">
        <f>IF('Data Export'!$D102="","", 'Project Summary'!$C$13)</f>
        <v>0</v>
      </c>
      <c r="N102" s="626" t="str">
        <f>IF('Data Export'!$D102="","", "")</f>
        <v/>
      </c>
      <c r="O102" s="626" t="str">
        <f>IF('Data Export'!$D102="","", "")</f>
        <v/>
      </c>
      <c r="P102" s="631">
        <f>IF('Data Export'!$D102="","", IF('Auto Closer'!G17="Refrigeration","Refrigerator",'Auto Closer'!G17))</f>
        <v>0</v>
      </c>
      <c r="Q102" s="626" t="str">
        <f>IF('Data Export'!$D102="","", "")</f>
        <v/>
      </c>
      <c r="R102" s="626" t="str">
        <f>IF('Data Export'!$D102="","", "")</f>
        <v/>
      </c>
      <c r="S102" s="626" t="str">
        <f>IF('Data Export'!$D102="","", "")</f>
        <v/>
      </c>
      <c r="T102" s="626" t="str">
        <f>IF('Data Export'!$D102="","", "")</f>
        <v/>
      </c>
      <c r="U102" s="626" t="str">
        <f>IF('Data Export'!$D102="","", "")</f>
        <v/>
      </c>
      <c r="V102" s="626" t="str">
        <f>IF('Data Export'!$D102="","", "")</f>
        <v/>
      </c>
      <c r="W102" s="626" t="str">
        <f>IF('Data Export'!$D102="","", "")</f>
        <v/>
      </c>
      <c r="X102" s="626" t="str">
        <f>IF('Data Export'!$D102="","", "")</f>
        <v/>
      </c>
      <c r="Y102" s="626" t="str">
        <f>IF('Data Export'!$D102="","", "")</f>
        <v/>
      </c>
      <c r="Z102" s="626" t="str">
        <f>IF('Data Export'!$D102="","", "")</f>
        <v/>
      </c>
      <c r="AA102" s="626" t="str">
        <f>IF('Data Export'!$D102="","", "")</f>
        <v/>
      </c>
      <c r="AB102" s="626" t="str">
        <f>IF('Data Export'!$D102="","", "")</f>
        <v/>
      </c>
      <c r="AC102" s="626" t="str">
        <f>IF('Data Export'!$D102="","", "")</f>
        <v/>
      </c>
      <c r="AD102" s="626" t="str">
        <f>IF('Data Export'!$D102="","", "")</f>
        <v/>
      </c>
      <c r="AE102" s="626" t="str">
        <f>IF('Data Export'!$D102="","", "")</f>
        <v/>
      </c>
      <c r="AF102" s="626"/>
      <c r="AG102" s="626" t="str">
        <f>IF('Data Export'!$D102="","", "")</f>
        <v/>
      </c>
      <c r="AH102" s="626" t="str">
        <f>IF('Data Export'!$D102="","", "")</f>
        <v/>
      </c>
      <c r="AI102" s="626" t="str">
        <f>IF('Data Export'!$D102="","", "")</f>
        <v/>
      </c>
      <c r="AJ102" s="626" t="str">
        <f>IF('Data Export'!$D102="","", "")</f>
        <v/>
      </c>
      <c r="AK102" s="626" t="str">
        <f>IF('Data Export'!$D102="","", "")</f>
        <v/>
      </c>
      <c r="AL102" s="626"/>
      <c r="AM102" s="659" t="str">
        <f>IF('Data Export'!$D102="","",'Auto Closer'!O17)</f>
        <v/>
      </c>
      <c r="AN102" s="659" t="str">
        <f>IF('Data Export'!$D102="","",'Auto Closer'!N17)</f>
        <v/>
      </c>
      <c r="AO102" s="638" t="str">
        <f>IF('Data Export'!$D102="","", IFERROR(ROUND($F102/$D102, 2), ""))</f>
        <v/>
      </c>
      <c r="AP102" s="642">
        <f>IF('Data Export'!$D102="","",'Project Summary'!$C$11)</f>
        <v>0</v>
      </c>
      <c r="AQ102" s="626"/>
      <c r="AR102" s="626"/>
    </row>
    <row r="103" spans="1:44" ht="15" thickTop="1" x14ac:dyDescent="0.2">
      <c r="A103" s="620" t="str">
        <f>'Special Doors'!$B$3</f>
        <v>Special Doors with Low or Anti Sweat Heat for Low Temp Case</v>
      </c>
      <c r="B103" s="621" t="s">
        <v>320</v>
      </c>
      <c r="C103" s="621">
        <v>101</v>
      </c>
      <c r="D103" s="632">
        <f>IF('Special Doors'!R8&gt;0,'Special Doors'!H8,"")</f>
        <v>0</v>
      </c>
      <c r="E103" s="632" t="str">
        <f>IF($D103="","",'Look Up Tables'!$AS$78)</f>
        <v>SpecDoors</v>
      </c>
      <c r="F103" s="637" t="str">
        <f>IF('Data Export'!$D103="","", 'Special Doors'!R8)</f>
        <v/>
      </c>
      <c r="G103" s="643">
        <f>IF('Data Export'!D103="","", 'Project Summary'!$C$6)</f>
        <v>0</v>
      </c>
      <c r="H103" s="640" t="str">
        <f>IF('Data Export'!$D103="","",'Special Doors'!M8)</f>
        <v/>
      </c>
      <c r="I103" s="658" t="str">
        <f>IF('Data Export'!$D103="","",'Special Doors'!N8)</f>
        <v/>
      </c>
      <c r="J103" s="632">
        <f>IF('Data Export'!$D103="","", 'Project Summary'!$J$1)</f>
        <v>5.01</v>
      </c>
      <c r="K103" s="632">
        <f>IF('Data Export'!$D103="","",'Special Doors'!D8)</f>
        <v>0</v>
      </c>
      <c r="L103" s="632">
        <f>IF('Data Export'!$D103="","",'Special Doors'!E8)</f>
        <v>0</v>
      </c>
      <c r="M103" s="632">
        <f>IF('Data Export'!$D103="","", 'Project Summary'!$C$13)</f>
        <v>0</v>
      </c>
      <c r="N103" s="621" t="str">
        <f>IF('Data Export'!$D103="","", "")</f>
        <v/>
      </c>
      <c r="O103" s="632">
        <f>IF('Data Export'!$D103="","", D103)</f>
        <v>0</v>
      </c>
      <c r="P103" s="632">
        <f>IF('Data Export'!$D103="","",IF('Special Doors'!G8="Refrigeration","Refrigerator",'Special Doors'!G8))</f>
        <v>0</v>
      </c>
      <c r="Q103" s="621" t="str">
        <f>IF('Data Export'!$D103="","", "")</f>
        <v/>
      </c>
      <c r="R103" s="621" t="str">
        <f>IF('Data Export'!$D103="","", "")</f>
        <v/>
      </c>
      <c r="S103" s="621" t="str">
        <f>IF('Data Export'!$D103="","", "")</f>
        <v/>
      </c>
      <c r="T103" s="621" t="str">
        <f>IF('Data Export'!$D103="","", "")</f>
        <v/>
      </c>
      <c r="U103" s="621" t="str">
        <f>IF('Data Export'!$D103="","", "")</f>
        <v/>
      </c>
      <c r="V103" s="621" t="str">
        <f>IF('Data Export'!$D103="","", "")</f>
        <v/>
      </c>
      <c r="W103" s="621" t="str">
        <f>IF('Data Export'!$D103="","", "")</f>
        <v/>
      </c>
      <c r="X103" s="621" t="str">
        <f>IF('Data Export'!$D103="","", "")</f>
        <v/>
      </c>
      <c r="Y103" s="621" t="str">
        <f>IF('Data Export'!$D103="","", "")</f>
        <v/>
      </c>
      <c r="Z103" s="621" t="str">
        <f>IF('Data Export'!$D103="","", "")</f>
        <v/>
      </c>
      <c r="AA103" s="621" t="str">
        <f>IF('Data Export'!$D103="","", "")</f>
        <v/>
      </c>
      <c r="AB103" s="621" t="str">
        <f>IF('Data Export'!$D103="","", "")</f>
        <v/>
      </c>
      <c r="AC103" s="621" t="str">
        <f>IF('Data Export'!$D103="","", "")</f>
        <v/>
      </c>
      <c r="AD103" s="621" t="str">
        <f>IF('Data Export'!$D103="","", "")</f>
        <v/>
      </c>
      <c r="AE103" s="621" t="str">
        <f>IF('Data Export'!$D103="","", "")</f>
        <v/>
      </c>
      <c r="AF103" s="621" t="str">
        <f>IF('Data Export'!$D103="","", "")</f>
        <v/>
      </c>
      <c r="AG103" s="637">
        <f>IF('Data Export'!$D103="","",'Special Doors'!K8)</f>
        <v>0</v>
      </c>
      <c r="AH103" s="637">
        <f>IF('Data Export'!$D103="","", 'Special Doors'!L8)</f>
        <v>0</v>
      </c>
      <c r="AI103" s="645">
        <f>IF('Data Export'!$D103="","", 'Special Doors'!G8)</f>
        <v>0</v>
      </c>
      <c r="AJ103" s="621" t="str">
        <f>IF('Data Export'!$D103="","", "")</f>
        <v/>
      </c>
      <c r="AK103" s="621" t="str">
        <f>IF('Data Export'!$D103="","", "")</f>
        <v/>
      </c>
      <c r="AL103" s="621"/>
      <c r="AM103" s="658" t="str">
        <f>IF('Data Export'!$D103="","", 'Special Doors'!P8)</f>
        <v/>
      </c>
      <c r="AN103" s="658" t="str">
        <f>IF('Data Export'!$D103="","", 'Special Doors'!O8)</f>
        <v/>
      </c>
      <c r="AO103" s="637" t="str">
        <f>IF('Data Export'!$D103="","", IFERROR(ROUND($F103/$D103, 2), ""))</f>
        <v/>
      </c>
      <c r="AP103" s="643">
        <f>IF('Data Export'!$D103="","",'Project Summary'!$C$11)</f>
        <v>0</v>
      </c>
      <c r="AQ103" s="649"/>
      <c r="AR103" s="649"/>
    </row>
    <row r="104" spans="1:44" x14ac:dyDescent="0.2">
      <c r="A104" s="618" t="str">
        <f>'Special Doors'!$B$3</f>
        <v>Special Doors with Low or Anti Sweat Heat for Low Temp Case</v>
      </c>
      <c r="B104" s="614" t="s">
        <v>320</v>
      </c>
      <c r="C104" s="614">
        <v>102</v>
      </c>
      <c r="D104" s="630">
        <f>IF('Special Doors'!R9&gt;0,'Special Doors'!H9,"")</f>
        <v>0</v>
      </c>
      <c r="E104" s="630" t="str">
        <f>IF($D104="","",'Look Up Tables'!$AS$78)</f>
        <v>SpecDoors</v>
      </c>
      <c r="F104" s="636" t="str">
        <f>IF('Data Export'!$D104="","", 'Special Doors'!R9)</f>
        <v/>
      </c>
      <c r="G104" s="641">
        <f>IF('Data Export'!D104="","", 'Project Summary'!$C$6)</f>
        <v>0</v>
      </c>
      <c r="H104" s="635" t="str">
        <f>IF('Data Export'!$D104="","",'Special Doors'!M9)</f>
        <v/>
      </c>
      <c r="I104" s="644" t="str">
        <f>IF('Data Export'!$D104="","",'Special Doors'!N9)</f>
        <v/>
      </c>
      <c r="J104" s="630">
        <f>IF('Data Export'!$D104="","", 'Project Summary'!$J$1)</f>
        <v>5.01</v>
      </c>
      <c r="K104" s="630">
        <f>IF('Data Export'!$D104="","",'Special Doors'!D9)</f>
        <v>0</v>
      </c>
      <c r="L104" s="630">
        <f>IF('Data Export'!$D104="","",'Special Doors'!E9)</f>
        <v>0</v>
      </c>
      <c r="M104" s="630">
        <f>IF('Data Export'!$D104="","", 'Project Summary'!$C$13)</f>
        <v>0</v>
      </c>
      <c r="N104" s="614" t="str">
        <f>IF('Data Export'!$D104="","", "")</f>
        <v/>
      </c>
      <c r="O104" s="630">
        <f>IF('Data Export'!$D104="","", D104)</f>
        <v>0</v>
      </c>
      <c r="P104" s="630">
        <f>IF('Data Export'!$D104="","",IF('Special Doors'!G9="Refrigeration","Refrigerator",'Special Doors'!G9))</f>
        <v>0</v>
      </c>
      <c r="Q104" s="614" t="str">
        <f>IF('Data Export'!$D104="","", "")</f>
        <v/>
      </c>
      <c r="R104" s="614" t="str">
        <f>IF('Data Export'!$D104="","", "")</f>
        <v/>
      </c>
      <c r="S104" s="614" t="str">
        <f>IF('Data Export'!$D104="","", "")</f>
        <v/>
      </c>
      <c r="T104" s="614" t="str">
        <f>IF('Data Export'!$D104="","", "")</f>
        <v/>
      </c>
      <c r="U104" s="614" t="str">
        <f>IF('Data Export'!$D104="","", "")</f>
        <v/>
      </c>
      <c r="V104" s="614" t="str">
        <f>IF('Data Export'!$D104="","", "")</f>
        <v/>
      </c>
      <c r="W104" s="614" t="str">
        <f>IF('Data Export'!$D104="","", "")</f>
        <v/>
      </c>
      <c r="X104" s="614" t="str">
        <f>IF('Data Export'!$D104="","", "")</f>
        <v/>
      </c>
      <c r="Y104" s="614" t="str">
        <f>IF('Data Export'!$D104="","", "")</f>
        <v/>
      </c>
      <c r="Z104" s="614" t="str">
        <f>IF('Data Export'!$D104="","", "")</f>
        <v/>
      </c>
      <c r="AA104" s="614" t="str">
        <f>IF('Data Export'!$D104="","", "")</f>
        <v/>
      </c>
      <c r="AB104" s="614" t="str">
        <f>IF('Data Export'!$D104="","", "")</f>
        <v/>
      </c>
      <c r="AC104" s="614" t="str">
        <f>IF('Data Export'!$D104="","", "")</f>
        <v/>
      </c>
      <c r="AD104" s="614" t="str">
        <f>IF('Data Export'!$D104="","", "")</f>
        <v/>
      </c>
      <c r="AE104" s="614" t="str">
        <f>IF('Data Export'!$D104="","", "")</f>
        <v/>
      </c>
      <c r="AF104" s="614" t="str">
        <f>IF('Data Export'!$D104="","", "")</f>
        <v/>
      </c>
      <c r="AG104" s="636">
        <f>IF('Data Export'!$D104="","",'Special Doors'!K9)</f>
        <v>0</v>
      </c>
      <c r="AH104" s="636">
        <f>IF('Data Export'!$D104="","", 'Special Doors'!L9)</f>
        <v>0</v>
      </c>
      <c r="AI104" s="632">
        <f>IF('Data Export'!$D104="","", 'Special Doors'!G9)</f>
        <v>0</v>
      </c>
      <c r="AJ104" s="614" t="str">
        <f>IF('Data Export'!$D104="","", "")</f>
        <v/>
      </c>
      <c r="AK104" s="614" t="str">
        <f>IF('Data Export'!$D104="","", "")</f>
        <v/>
      </c>
      <c r="AL104" s="614"/>
      <c r="AM104" s="644" t="str">
        <f>IF('Data Export'!$D104="","", 'Special Doors'!P9)</f>
        <v/>
      </c>
      <c r="AN104" s="644" t="str">
        <f>IF('Data Export'!$D104="","", 'Special Doors'!O9)</f>
        <v/>
      </c>
      <c r="AO104" s="636" t="str">
        <f>IF('Data Export'!$D104="","", IFERROR(ROUND($F104/$D104, 2), ""))</f>
        <v/>
      </c>
      <c r="AP104" s="641">
        <f>IF('Data Export'!$D104="","",'Project Summary'!$C$11)</f>
        <v>0</v>
      </c>
      <c r="AQ104" s="650"/>
      <c r="AR104" s="650"/>
    </row>
    <row r="105" spans="1:44" x14ac:dyDescent="0.2">
      <c r="A105" s="618" t="str">
        <f>'Special Doors'!$B$3</f>
        <v>Special Doors with Low or Anti Sweat Heat for Low Temp Case</v>
      </c>
      <c r="B105" s="614" t="s">
        <v>320</v>
      </c>
      <c r="C105" s="614">
        <v>103</v>
      </c>
      <c r="D105" s="630">
        <f>IF('Special Doors'!R10&gt;0,'Special Doors'!H10,"")</f>
        <v>0</v>
      </c>
      <c r="E105" s="630" t="str">
        <f>IF($D105="","",'Look Up Tables'!$AS$78)</f>
        <v>SpecDoors</v>
      </c>
      <c r="F105" s="636" t="str">
        <f>IF('Data Export'!$D105="","", 'Special Doors'!R10)</f>
        <v/>
      </c>
      <c r="G105" s="641">
        <f>IF('Data Export'!D105="","", 'Project Summary'!$C$6)</f>
        <v>0</v>
      </c>
      <c r="H105" s="635" t="str">
        <f>IF('Data Export'!$D105="","",'Special Doors'!M10)</f>
        <v/>
      </c>
      <c r="I105" s="644" t="str">
        <f>IF('Data Export'!$D105="","",'Special Doors'!N10)</f>
        <v/>
      </c>
      <c r="J105" s="630">
        <f>IF('Data Export'!$D105="","", 'Project Summary'!$J$1)</f>
        <v>5.01</v>
      </c>
      <c r="K105" s="630">
        <f>IF('Data Export'!$D105="","",'Special Doors'!D10)</f>
        <v>0</v>
      </c>
      <c r="L105" s="630">
        <f>IF('Data Export'!$D105="","",'Special Doors'!E10)</f>
        <v>0</v>
      </c>
      <c r="M105" s="630">
        <f>IF('Data Export'!$D105="","", 'Project Summary'!$C$13)</f>
        <v>0</v>
      </c>
      <c r="N105" s="614" t="str">
        <f>IF('Data Export'!$D105="","", "")</f>
        <v/>
      </c>
      <c r="O105" s="630">
        <f>IF('Data Export'!$D105="","", D105)</f>
        <v>0</v>
      </c>
      <c r="P105" s="630">
        <f>IF('Data Export'!$D105="","",IF('Special Doors'!G10="Refrigeration","Refrigerator",'Special Doors'!G10))</f>
        <v>0</v>
      </c>
      <c r="Q105" s="614" t="str">
        <f>IF('Data Export'!$D105="","", "")</f>
        <v/>
      </c>
      <c r="R105" s="614" t="str">
        <f>IF('Data Export'!$D105="","", "")</f>
        <v/>
      </c>
      <c r="S105" s="614" t="str">
        <f>IF('Data Export'!$D105="","", "")</f>
        <v/>
      </c>
      <c r="T105" s="614" t="str">
        <f>IF('Data Export'!$D105="","", "")</f>
        <v/>
      </c>
      <c r="U105" s="614" t="str">
        <f>IF('Data Export'!$D105="","", "")</f>
        <v/>
      </c>
      <c r="V105" s="614" t="str">
        <f>IF('Data Export'!$D105="","", "")</f>
        <v/>
      </c>
      <c r="W105" s="614" t="str">
        <f>IF('Data Export'!$D105="","", "")</f>
        <v/>
      </c>
      <c r="X105" s="614" t="str">
        <f>IF('Data Export'!$D105="","", "")</f>
        <v/>
      </c>
      <c r="Y105" s="614" t="str">
        <f>IF('Data Export'!$D105="","", "")</f>
        <v/>
      </c>
      <c r="Z105" s="614" t="str">
        <f>IF('Data Export'!$D105="","", "")</f>
        <v/>
      </c>
      <c r="AA105" s="614" t="str">
        <f>IF('Data Export'!$D105="","", "")</f>
        <v/>
      </c>
      <c r="AB105" s="614" t="str">
        <f>IF('Data Export'!$D105="","", "")</f>
        <v/>
      </c>
      <c r="AC105" s="614" t="str">
        <f>IF('Data Export'!$D105="","", "")</f>
        <v/>
      </c>
      <c r="AD105" s="614" t="str">
        <f>IF('Data Export'!$D105="","", "")</f>
        <v/>
      </c>
      <c r="AE105" s="614" t="str">
        <f>IF('Data Export'!$D105="","", "")</f>
        <v/>
      </c>
      <c r="AF105" s="614" t="str">
        <f>IF('Data Export'!$D105="","", "")</f>
        <v/>
      </c>
      <c r="AG105" s="636">
        <f>IF('Data Export'!$D105="","",'Special Doors'!K10)</f>
        <v>0</v>
      </c>
      <c r="AH105" s="636">
        <f>IF('Data Export'!$D105="","", 'Special Doors'!L10)</f>
        <v>0</v>
      </c>
      <c r="AI105" s="632">
        <f>IF('Data Export'!$D105="","", 'Special Doors'!G10)</f>
        <v>0</v>
      </c>
      <c r="AJ105" s="614" t="str">
        <f>IF('Data Export'!$D105="","", "")</f>
        <v/>
      </c>
      <c r="AK105" s="614" t="str">
        <f>IF('Data Export'!$D105="","", "")</f>
        <v/>
      </c>
      <c r="AL105" s="614"/>
      <c r="AM105" s="644" t="str">
        <f>IF('Data Export'!$D105="","", 'Special Doors'!P10)</f>
        <v/>
      </c>
      <c r="AN105" s="644" t="str">
        <f>IF('Data Export'!$D105="","", 'Special Doors'!O10)</f>
        <v/>
      </c>
      <c r="AO105" s="636" t="str">
        <f>IF('Data Export'!$D105="","", IFERROR(ROUND($F105/$D105, 2), ""))</f>
        <v/>
      </c>
      <c r="AP105" s="641">
        <f>IF('Data Export'!$D105="","",'Project Summary'!$C$11)</f>
        <v>0</v>
      </c>
      <c r="AQ105" s="650"/>
      <c r="AR105" s="650"/>
    </row>
    <row r="106" spans="1:44" x14ac:dyDescent="0.2">
      <c r="A106" s="618" t="str">
        <f>'Special Doors'!$B$3</f>
        <v>Special Doors with Low or Anti Sweat Heat for Low Temp Case</v>
      </c>
      <c r="B106" s="614" t="s">
        <v>320</v>
      </c>
      <c r="C106" s="614">
        <v>104</v>
      </c>
      <c r="D106" s="630">
        <f>IF('Special Doors'!R11&gt;0,'Special Doors'!H11,"")</f>
        <v>0</v>
      </c>
      <c r="E106" s="630" t="str">
        <f>IF($D106="","",'Look Up Tables'!$AS$78)</f>
        <v>SpecDoors</v>
      </c>
      <c r="F106" s="636" t="str">
        <f>IF('Data Export'!$D106="","", 'Special Doors'!R11)</f>
        <v/>
      </c>
      <c r="G106" s="641">
        <f>IF('Data Export'!D106="","", 'Project Summary'!$C$6)</f>
        <v>0</v>
      </c>
      <c r="H106" s="635" t="str">
        <f>IF('Data Export'!$D106="","",'Special Doors'!M11)</f>
        <v/>
      </c>
      <c r="I106" s="644" t="str">
        <f>IF('Data Export'!$D106="","",'Special Doors'!N11)</f>
        <v/>
      </c>
      <c r="J106" s="630">
        <f>IF('Data Export'!$D106="","", 'Project Summary'!$J$1)</f>
        <v>5.01</v>
      </c>
      <c r="K106" s="630">
        <f>IF('Data Export'!$D106="","",'Special Doors'!D11)</f>
        <v>0</v>
      </c>
      <c r="L106" s="630">
        <f>IF('Data Export'!$D106="","",'Special Doors'!E11)</f>
        <v>0</v>
      </c>
      <c r="M106" s="630">
        <f>IF('Data Export'!$D106="","", 'Project Summary'!$C$13)</f>
        <v>0</v>
      </c>
      <c r="N106" s="614" t="str">
        <f>IF('Data Export'!$D106="","", "")</f>
        <v/>
      </c>
      <c r="O106" s="630">
        <f>IF('Data Export'!$D106="","", D106)</f>
        <v>0</v>
      </c>
      <c r="P106" s="630">
        <f>IF('Data Export'!$D106="","",IF('Special Doors'!G11="Refrigeration","Refrigerator",'Special Doors'!G11))</f>
        <v>0</v>
      </c>
      <c r="Q106" s="614" t="str">
        <f>IF('Data Export'!$D106="","", "")</f>
        <v/>
      </c>
      <c r="R106" s="614" t="str">
        <f>IF('Data Export'!$D106="","", "")</f>
        <v/>
      </c>
      <c r="S106" s="614" t="str">
        <f>IF('Data Export'!$D106="","", "")</f>
        <v/>
      </c>
      <c r="T106" s="614" t="str">
        <f>IF('Data Export'!$D106="","", "")</f>
        <v/>
      </c>
      <c r="U106" s="614" t="str">
        <f>IF('Data Export'!$D106="","", "")</f>
        <v/>
      </c>
      <c r="V106" s="614" t="str">
        <f>IF('Data Export'!$D106="","", "")</f>
        <v/>
      </c>
      <c r="W106" s="614" t="str">
        <f>IF('Data Export'!$D106="","", "")</f>
        <v/>
      </c>
      <c r="X106" s="614" t="str">
        <f>IF('Data Export'!$D106="","", "")</f>
        <v/>
      </c>
      <c r="Y106" s="614" t="str">
        <f>IF('Data Export'!$D106="","", "")</f>
        <v/>
      </c>
      <c r="Z106" s="614" t="str">
        <f>IF('Data Export'!$D106="","", "")</f>
        <v/>
      </c>
      <c r="AA106" s="614" t="str">
        <f>IF('Data Export'!$D106="","", "")</f>
        <v/>
      </c>
      <c r="AB106" s="614" t="str">
        <f>IF('Data Export'!$D106="","", "")</f>
        <v/>
      </c>
      <c r="AC106" s="614" t="str">
        <f>IF('Data Export'!$D106="","", "")</f>
        <v/>
      </c>
      <c r="AD106" s="614" t="str">
        <f>IF('Data Export'!$D106="","", "")</f>
        <v/>
      </c>
      <c r="AE106" s="614" t="str">
        <f>IF('Data Export'!$D106="","", "")</f>
        <v/>
      </c>
      <c r="AF106" s="614" t="str">
        <f>IF('Data Export'!$D106="","", "")</f>
        <v/>
      </c>
      <c r="AG106" s="636">
        <f>IF('Data Export'!$D106="","",'Special Doors'!K11)</f>
        <v>0</v>
      </c>
      <c r="AH106" s="636">
        <f>IF('Data Export'!$D106="","", 'Special Doors'!L11)</f>
        <v>0</v>
      </c>
      <c r="AI106" s="632">
        <f>IF('Data Export'!$D106="","", 'Special Doors'!G11)</f>
        <v>0</v>
      </c>
      <c r="AJ106" s="614" t="str">
        <f>IF('Data Export'!$D106="","", "")</f>
        <v/>
      </c>
      <c r="AK106" s="614" t="str">
        <f>IF('Data Export'!$D106="","", "")</f>
        <v/>
      </c>
      <c r="AL106" s="614"/>
      <c r="AM106" s="644" t="str">
        <f>IF('Data Export'!$D106="","", 'Special Doors'!P11)</f>
        <v/>
      </c>
      <c r="AN106" s="644" t="str">
        <f>IF('Data Export'!$D106="","", 'Special Doors'!O11)</f>
        <v/>
      </c>
      <c r="AO106" s="636" t="str">
        <f>IF('Data Export'!$D106="","", IFERROR(ROUND($F106/$D106, 2), ""))</f>
        <v/>
      </c>
      <c r="AP106" s="641">
        <f>IF('Data Export'!$D106="","",'Project Summary'!$C$11)</f>
        <v>0</v>
      </c>
      <c r="AQ106" s="650"/>
      <c r="AR106" s="650"/>
    </row>
    <row r="107" spans="1:44" x14ac:dyDescent="0.2">
      <c r="A107" s="618" t="str">
        <f>'Special Doors'!$B$3</f>
        <v>Special Doors with Low or Anti Sweat Heat for Low Temp Case</v>
      </c>
      <c r="B107" s="614" t="s">
        <v>320</v>
      </c>
      <c r="C107" s="614">
        <v>105</v>
      </c>
      <c r="D107" s="630">
        <f>IF('Special Doors'!R12&gt;0,'Special Doors'!H12,"")</f>
        <v>0</v>
      </c>
      <c r="E107" s="630" t="str">
        <f>IF($D107="","",'Look Up Tables'!$AS$78)</f>
        <v>SpecDoors</v>
      </c>
      <c r="F107" s="636" t="str">
        <f>IF('Data Export'!$D107="","", 'Special Doors'!R12)</f>
        <v/>
      </c>
      <c r="G107" s="641">
        <f>IF('Data Export'!D107="","", 'Project Summary'!$C$6)</f>
        <v>0</v>
      </c>
      <c r="H107" s="635" t="str">
        <f>IF('Data Export'!$D107="","",'Special Doors'!M12)</f>
        <v/>
      </c>
      <c r="I107" s="644" t="str">
        <f>IF('Data Export'!$D107="","",'Special Doors'!N12)</f>
        <v/>
      </c>
      <c r="J107" s="630">
        <f>IF('Data Export'!$D107="","", 'Project Summary'!$J$1)</f>
        <v>5.01</v>
      </c>
      <c r="K107" s="630">
        <f>IF('Data Export'!$D107="","",'Special Doors'!D12)</f>
        <v>0</v>
      </c>
      <c r="L107" s="630">
        <f>IF('Data Export'!$D107="","",'Special Doors'!E12)</f>
        <v>0</v>
      </c>
      <c r="M107" s="630">
        <f>IF('Data Export'!$D107="","", 'Project Summary'!$C$13)</f>
        <v>0</v>
      </c>
      <c r="N107" s="614" t="str">
        <f>IF('Data Export'!$D107="","", "")</f>
        <v/>
      </c>
      <c r="O107" s="630">
        <f>IF('Data Export'!$D107="","", D107)</f>
        <v>0</v>
      </c>
      <c r="P107" s="630">
        <f>IF('Data Export'!$D107="","",IF('Special Doors'!G12="Refrigeration","Refrigerator",'Special Doors'!G12))</f>
        <v>0</v>
      </c>
      <c r="Q107" s="614" t="str">
        <f>IF('Data Export'!$D107="","", "")</f>
        <v/>
      </c>
      <c r="R107" s="614" t="str">
        <f>IF('Data Export'!$D107="","", "")</f>
        <v/>
      </c>
      <c r="S107" s="614" t="str">
        <f>IF('Data Export'!$D107="","", "")</f>
        <v/>
      </c>
      <c r="T107" s="614" t="str">
        <f>IF('Data Export'!$D107="","", "")</f>
        <v/>
      </c>
      <c r="U107" s="614" t="str">
        <f>IF('Data Export'!$D107="","", "")</f>
        <v/>
      </c>
      <c r="V107" s="614" t="str">
        <f>IF('Data Export'!$D107="","", "")</f>
        <v/>
      </c>
      <c r="W107" s="614" t="str">
        <f>IF('Data Export'!$D107="","", "")</f>
        <v/>
      </c>
      <c r="X107" s="614" t="str">
        <f>IF('Data Export'!$D107="","", "")</f>
        <v/>
      </c>
      <c r="Y107" s="614" t="str">
        <f>IF('Data Export'!$D107="","", "")</f>
        <v/>
      </c>
      <c r="Z107" s="614" t="str">
        <f>IF('Data Export'!$D107="","", "")</f>
        <v/>
      </c>
      <c r="AA107" s="614" t="str">
        <f>IF('Data Export'!$D107="","", "")</f>
        <v/>
      </c>
      <c r="AB107" s="614" t="str">
        <f>IF('Data Export'!$D107="","", "")</f>
        <v/>
      </c>
      <c r="AC107" s="614" t="str">
        <f>IF('Data Export'!$D107="","", "")</f>
        <v/>
      </c>
      <c r="AD107" s="614" t="str">
        <f>IF('Data Export'!$D107="","", "")</f>
        <v/>
      </c>
      <c r="AE107" s="614" t="str">
        <f>IF('Data Export'!$D107="","", "")</f>
        <v/>
      </c>
      <c r="AF107" s="614" t="str">
        <f>IF('Data Export'!$D107="","", "")</f>
        <v/>
      </c>
      <c r="AG107" s="636">
        <f>IF('Data Export'!$D107="","",'Special Doors'!K12)</f>
        <v>0</v>
      </c>
      <c r="AH107" s="636">
        <f>IF('Data Export'!$D107="","", 'Special Doors'!L12)</f>
        <v>0</v>
      </c>
      <c r="AI107" s="632">
        <f>IF('Data Export'!$D107="","", 'Special Doors'!G12)</f>
        <v>0</v>
      </c>
      <c r="AJ107" s="614" t="str">
        <f>IF('Data Export'!$D107="","", "")</f>
        <v/>
      </c>
      <c r="AK107" s="614" t="str">
        <f>IF('Data Export'!$D107="","", "")</f>
        <v/>
      </c>
      <c r="AL107" s="614"/>
      <c r="AM107" s="644" t="str">
        <f>IF('Data Export'!$D107="","", 'Special Doors'!P12)</f>
        <v/>
      </c>
      <c r="AN107" s="644" t="str">
        <f>IF('Data Export'!$D107="","", 'Special Doors'!O12)</f>
        <v/>
      </c>
      <c r="AO107" s="636" t="str">
        <f>IF('Data Export'!$D107="","", IFERROR(ROUND($F107/$D107, 2), ""))</f>
        <v/>
      </c>
      <c r="AP107" s="641">
        <f>IF('Data Export'!$D107="","",'Project Summary'!$C$11)</f>
        <v>0</v>
      </c>
      <c r="AQ107" s="650"/>
      <c r="AR107" s="650"/>
    </row>
    <row r="108" spans="1:44" x14ac:dyDescent="0.2">
      <c r="A108" s="618" t="str">
        <f>'Special Doors'!$B$3</f>
        <v>Special Doors with Low or Anti Sweat Heat for Low Temp Case</v>
      </c>
      <c r="B108" s="614" t="s">
        <v>320</v>
      </c>
      <c r="C108" s="614">
        <v>106</v>
      </c>
      <c r="D108" s="630">
        <f>IF('Special Doors'!R13&gt;0,'Special Doors'!H13,"")</f>
        <v>0</v>
      </c>
      <c r="E108" s="630" t="str">
        <f>IF($D108="","",'Look Up Tables'!$AS$78)</f>
        <v>SpecDoors</v>
      </c>
      <c r="F108" s="636" t="str">
        <f>IF('Data Export'!$D108="","", 'Special Doors'!R13)</f>
        <v/>
      </c>
      <c r="G108" s="641">
        <f>IF('Data Export'!D108="","", 'Project Summary'!$C$6)</f>
        <v>0</v>
      </c>
      <c r="H108" s="635" t="str">
        <f>IF('Data Export'!$D108="","",'Special Doors'!M13)</f>
        <v/>
      </c>
      <c r="I108" s="644" t="str">
        <f>IF('Data Export'!$D108="","",'Special Doors'!N13)</f>
        <v/>
      </c>
      <c r="J108" s="630">
        <f>IF('Data Export'!$D108="","", 'Project Summary'!$J$1)</f>
        <v>5.01</v>
      </c>
      <c r="K108" s="630">
        <f>IF('Data Export'!$D108="","",'Special Doors'!D13)</f>
        <v>0</v>
      </c>
      <c r="L108" s="630">
        <f>IF('Data Export'!$D108="","",'Special Doors'!E13)</f>
        <v>0</v>
      </c>
      <c r="M108" s="630">
        <f>IF('Data Export'!$D108="","", 'Project Summary'!$C$13)</f>
        <v>0</v>
      </c>
      <c r="N108" s="614" t="str">
        <f>IF('Data Export'!$D108="","", "")</f>
        <v/>
      </c>
      <c r="O108" s="630">
        <f>IF('Data Export'!$D108="","", D108)</f>
        <v>0</v>
      </c>
      <c r="P108" s="630">
        <f>IF('Data Export'!$D108="","",IF('Special Doors'!G13="Refrigeration","Refrigerator",'Special Doors'!G13))</f>
        <v>0</v>
      </c>
      <c r="Q108" s="614" t="str">
        <f>IF('Data Export'!$D108="","", "")</f>
        <v/>
      </c>
      <c r="R108" s="614" t="str">
        <f>IF('Data Export'!$D108="","", "")</f>
        <v/>
      </c>
      <c r="S108" s="614" t="str">
        <f>IF('Data Export'!$D108="","", "")</f>
        <v/>
      </c>
      <c r="T108" s="614" t="str">
        <f>IF('Data Export'!$D108="","", "")</f>
        <v/>
      </c>
      <c r="U108" s="614" t="str">
        <f>IF('Data Export'!$D108="","", "")</f>
        <v/>
      </c>
      <c r="V108" s="614" t="str">
        <f>IF('Data Export'!$D108="","", "")</f>
        <v/>
      </c>
      <c r="W108" s="614" t="str">
        <f>IF('Data Export'!$D108="","", "")</f>
        <v/>
      </c>
      <c r="X108" s="614" t="str">
        <f>IF('Data Export'!$D108="","", "")</f>
        <v/>
      </c>
      <c r="Y108" s="614" t="str">
        <f>IF('Data Export'!$D108="","", "")</f>
        <v/>
      </c>
      <c r="Z108" s="614" t="str">
        <f>IF('Data Export'!$D108="","", "")</f>
        <v/>
      </c>
      <c r="AA108" s="614" t="str">
        <f>IF('Data Export'!$D108="","", "")</f>
        <v/>
      </c>
      <c r="AB108" s="614" t="str">
        <f>IF('Data Export'!$D108="","", "")</f>
        <v/>
      </c>
      <c r="AC108" s="614" t="str">
        <f>IF('Data Export'!$D108="","", "")</f>
        <v/>
      </c>
      <c r="AD108" s="614" t="str">
        <f>IF('Data Export'!$D108="","", "")</f>
        <v/>
      </c>
      <c r="AE108" s="614" t="str">
        <f>IF('Data Export'!$D108="","", "")</f>
        <v/>
      </c>
      <c r="AF108" s="614" t="str">
        <f>IF('Data Export'!$D108="","", "")</f>
        <v/>
      </c>
      <c r="AG108" s="636">
        <f>IF('Data Export'!$D108="","",'Special Doors'!K13)</f>
        <v>0</v>
      </c>
      <c r="AH108" s="636">
        <f>IF('Data Export'!$D108="","", 'Special Doors'!L13)</f>
        <v>0</v>
      </c>
      <c r="AI108" s="632">
        <f>IF('Data Export'!$D108="","", 'Special Doors'!G13)</f>
        <v>0</v>
      </c>
      <c r="AJ108" s="614" t="str">
        <f>IF('Data Export'!$D108="","", "")</f>
        <v/>
      </c>
      <c r="AK108" s="614" t="str">
        <f>IF('Data Export'!$D108="","", "")</f>
        <v/>
      </c>
      <c r="AL108" s="614"/>
      <c r="AM108" s="644" t="str">
        <f>IF('Data Export'!$D108="","", 'Special Doors'!P13)</f>
        <v/>
      </c>
      <c r="AN108" s="644" t="str">
        <f>IF('Data Export'!$D108="","", 'Special Doors'!O13)</f>
        <v/>
      </c>
      <c r="AO108" s="636" t="str">
        <f>IF('Data Export'!$D108="","", IFERROR(ROUND($F108/$D108, 2), ""))</f>
        <v/>
      </c>
      <c r="AP108" s="641">
        <f>IF('Data Export'!$D108="","",'Project Summary'!$C$11)</f>
        <v>0</v>
      </c>
      <c r="AQ108" s="650"/>
      <c r="AR108" s="650"/>
    </row>
    <row r="109" spans="1:44" x14ac:dyDescent="0.2">
      <c r="A109" s="618" t="str">
        <f>'Special Doors'!$B$3</f>
        <v>Special Doors with Low or Anti Sweat Heat for Low Temp Case</v>
      </c>
      <c r="B109" s="614" t="s">
        <v>320</v>
      </c>
      <c r="C109" s="614">
        <v>107</v>
      </c>
      <c r="D109" s="630">
        <f>IF('Special Doors'!R14&gt;0,'Special Doors'!H14,"")</f>
        <v>0</v>
      </c>
      <c r="E109" s="630" t="str">
        <f>IF($D109="","",'Look Up Tables'!$AS$78)</f>
        <v>SpecDoors</v>
      </c>
      <c r="F109" s="636" t="str">
        <f>IF('Data Export'!$D109="","", 'Special Doors'!R14)</f>
        <v/>
      </c>
      <c r="G109" s="641">
        <f>IF('Data Export'!D109="","", 'Project Summary'!$C$6)</f>
        <v>0</v>
      </c>
      <c r="H109" s="635" t="str">
        <f>IF('Data Export'!$D109="","",'Special Doors'!M14)</f>
        <v/>
      </c>
      <c r="I109" s="644" t="str">
        <f>IF('Data Export'!$D109="","",'Special Doors'!N14)</f>
        <v/>
      </c>
      <c r="J109" s="630">
        <f>IF('Data Export'!$D109="","", 'Project Summary'!$J$1)</f>
        <v>5.01</v>
      </c>
      <c r="K109" s="630">
        <f>IF('Data Export'!$D109="","",'Special Doors'!D14)</f>
        <v>0</v>
      </c>
      <c r="L109" s="630">
        <f>IF('Data Export'!$D109="","",'Special Doors'!E14)</f>
        <v>0</v>
      </c>
      <c r="M109" s="630">
        <f>IF('Data Export'!$D109="","", 'Project Summary'!$C$13)</f>
        <v>0</v>
      </c>
      <c r="N109" s="614" t="str">
        <f>IF('Data Export'!$D109="","", "")</f>
        <v/>
      </c>
      <c r="O109" s="630">
        <f>IF('Data Export'!$D109="","", D109)</f>
        <v>0</v>
      </c>
      <c r="P109" s="630">
        <f>IF('Data Export'!$D109="","",IF('Special Doors'!G14="Refrigeration","Refrigerator",'Special Doors'!G14))</f>
        <v>0</v>
      </c>
      <c r="Q109" s="614" t="str">
        <f>IF('Data Export'!$D109="","", "")</f>
        <v/>
      </c>
      <c r="R109" s="614" t="str">
        <f>IF('Data Export'!$D109="","", "")</f>
        <v/>
      </c>
      <c r="S109" s="614" t="str">
        <f>IF('Data Export'!$D109="","", "")</f>
        <v/>
      </c>
      <c r="T109" s="614" t="str">
        <f>IF('Data Export'!$D109="","", "")</f>
        <v/>
      </c>
      <c r="U109" s="614" t="str">
        <f>IF('Data Export'!$D109="","", "")</f>
        <v/>
      </c>
      <c r="V109" s="614" t="str">
        <f>IF('Data Export'!$D109="","", "")</f>
        <v/>
      </c>
      <c r="W109" s="614" t="str">
        <f>IF('Data Export'!$D109="","", "")</f>
        <v/>
      </c>
      <c r="X109" s="614" t="str">
        <f>IF('Data Export'!$D109="","", "")</f>
        <v/>
      </c>
      <c r="Y109" s="614" t="str">
        <f>IF('Data Export'!$D109="","", "")</f>
        <v/>
      </c>
      <c r="Z109" s="614" t="str">
        <f>IF('Data Export'!$D109="","", "")</f>
        <v/>
      </c>
      <c r="AA109" s="614" t="str">
        <f>IF('Data Export'!$D109="","", "")</f>
        <v/>
      </c>
      <c r="AB109" s="614" t="str">
        <f>IF('Data Export'!$D109="","", "")</f>
        <v/>
      </c>
      <c r="AC109" s="614" t="str">
        <f>IF('Data Export'!$D109="","", "")</f>
        <v/>
      </c>
      <c r="AD109" s="614" t="str">
        <f>IF('Data Export'!$D109="","", "")</f>
        <v/>
      </c>
      <c r="AE109" s="614" t="str">
        <f>IF('Data Export'!$D109="","", "")</f>
        <v/>
      </c>
      <c r="AF109" s="614" t="str">
        <f>IF('Data Export'!$D109="","", "")</f>
        <v/>
      </c>
      <c r="AG109" s="636">
        <f>IF('Data Export'!$D109="","",'Special Doors'!K14)</f>
        <v>0</v>
      </c>
      <c r="AH109" s="636">
        <f>IF('Data Export'!$D109="","", 'Special Doors'!L14)</f>
        <v>0</v>
      </c>
      <c r="AI109" s="632">
        <f>IF('Data Export'!$D109="","", 'Special Doors'!G14)</f>
        <v>0</v>
      </c>
      <c r="AJ109" s="614" t="str">
        <f>IF('Data Export'!$D109="","", "")</f>
        <v/>
      </c>
      <c r="AK109" s="614" t="str">
        <f>IF('Data Export'!$D109="","", "")</f>
        <v/>
      </c>
      <c r="AL109" s="614"/>
      <c r="AM109" s="644" t="str">
        <f>IF('Data Export'!$D109="","", 'Special Doors'!P14)</f>
        <v/>
      </c>
      <c r="AN109" s="644" t="str">
        <f>IF('Data Export'!$D109="","", 'Special Doors'!O14)</f>
        <v/>
      </c>
      <c r="AO109" s="636" t="str">
        <f>IF('Data Export'!$D109="","", IFERROR(ROUND($F109/$D109, 2), ""))</f>
        <v/>
      </c>
      <c r="AP109" s="641">
        <f>IF('Data Export'!$D109="","",'Project Summary'!$C$11)</f>
        <v>0</v>
      </c>
      <c r="AQ109" s="650"/>
      <c r="AR109" s="650"/>
    </row>
    <row r="110" spans="1:44" x14ac:dyDescent="0.2">
      <c r="A110" s="618" t="str">
        <f>'Special Doors'!$B$3</f>
        <v>Special Doors with Low or Anti Sweat Heat for Low Temp Case</v>
      </c>
      <c r="B110" s="614" t="s">
        <v>320</v>
      </c>
      <c r="C110" s="614">
        <v>108</v>
      </c>
      <c r="D110" s="630">
        <f>IF('Special Doors'!R15&gt;0,'Special Doors'!H15,"")</f>
        <v>0</v>
      </c>
      <c r="E110" s="630" t="str">
        <f>IF($D110="","",'Look Up Tables'!$AS$78)</f>
        <v>SpecDoors</v>
      </c>
      <c r="F110" s="636" t="str">
        <f>IF('Data Export'!$D110="","", 'Special Doors'!R15)</f>
        <v/>
      </c>
      <c r="G110" s="641">
        <f>IF('Data Export'!D110="","", 'Project Summary'!$C$6)</f>
        <v>0</v>
      </c>
      <c r="H110" s="635" t="str">
        <f>IF('Data Export'!$D110="","",'Special Doors'!M15)</f>
        <v/>
      </c>
      <c r="I110" s="644" t="str">
        <f>IF('Data Export'!$D110="","",'Special Doors'!N15)</f>
        <v/>
      </c>
      <c r="J110" s="630">
        <f>IF('Data Export'!$D110="","", 'Project Summary'!$J$1)</f>
        <v>5.01</v>
      </c>
      <c r="K110" s="630">
        <f>IF('Data Export'!$D110="","",'Special Doors'!D15)</f>
        <v>0</v>
      </c>
      <c r="L110" s="630">
        <f>IF('Data Export'!$D110="","",'Special Doors'!E15)</f>
        <v>0</v>
      </c>
      <c r="M110" s="630">
        <f>IF('Data Export'!$D110="","", 'Project Summary'!$C$13)</f>
        <v>0</v>
      </c>
      <c r="N110" s="614" t="str">
        <f>IF('Data Export'!$D110="","", "")</f>
        <v/>
      </c>
      <c r="O110" s="630">
        <f>IF('Data Export'!$D110="","", D110)</f>
        <v>0</v>
      </c>
      <c r="P110" s="630">
        <f>IF('Data Export'!$D110="","",IF('Special Doors'!G15="Refrigeration","Refrigerator",'Special Doors'!G15))</f>
        <v>0</v>
      </c>
      <c r="Q110" s="614" t="str">
        <f>IF('Data Export'!$D110="","", "")</f>
        <v/>
      </c>
      <c r="R110" s="614" t="str">
        <f>IF('Data Export'!$D110="","", "")</f>
        <v/>
      </c>
      <c r="S110" s="614" t="str">
        <f>IF('Data Export'!$D110="","", "")</f>
        <v/>
      </c>
      <c r="T110" s="614" t="str">
        <f>IF('Data Export'!$D110="","", "")</f>
        <v/>
      </c>
      <c r="U110" s="614" t="str">
        <f>IF('Data Export'!$D110="","", "")</f>
        <v/>
      </c>
      <c r="V110" s="614" t="str">
        <f>IF('Data Export'!$D110="","", "")</f>
        <v/>
      </c>
      <c r="W110" s="614" t="str">
        <f>IF('Data Export'!$D110="","", "")</f>
        <v/>
      </c>
      <c r="X110" s="614" t="str">
        <f>IF('Data Export'!$D110="","", "")</f>
        <v/>
      </c>
      <c r="Y110" s="614" t="str">
        <f>IF('Data Export'!$D110="","", "")</f>
        <v/>
      </c>
      <c r="Z110" s="614" t="str">
        <f>IF('Data Export'!$D110="","", "")</f>
        <v/>
      </c>
      <c r="AA110" s="614" t="str">
        <f>IF('Data Export'!$D110="","", "")</f>
        <v/>
      </c>
      <c r="AB110" s="614" t="str">
        <f>IF('Data Export'!$D110="","", "")</f>
        <v/>
      </c>
      <c r="AC110" s="614" t="str">
        <f>IF('Data Export'!$D110="","", "")</f>
        <v/>
      </c>
      <c r="AD110" s="614" t="str">
        <f>IF('Data Export'!$D110="","", "")</f>
        <v/>
      </c>
      <c r="AE110" s="614" t="str">
        <f>IF('Data Export'!$D110="","", "")</f>
        <v/>
      </c>
      <c r="AF110" s="614" t="str">
        <f>IF('Data Export'!$D110="","", "")</f>
        <v/>
      </c>
      <c r="AG110" s="636">
        <f>IF('Data Export'!$D110="","",'Special Doors'!K15)</f>
        <v>0</v>
      </c>
      <c r="AH110" s="636">
        <f>IF('Data Export'!$D110="","", 'Special Doors'!L15)</f>
        <v>0</v>
      </c>
      <c r="AI110" s="632">
        <f>IF('Data Export'!$D110="","", 'Special Doors'!G15)</f>
        <v>0</v>
      </c>
      <c r="AJ110" s="614" t="str">
        <f>IF('Data Export'!$D110="","", "")</f>
        <v/>
      </c>
      <c r="AK110" s="614" t="str">
        <f>IF('Data Export'!$D110="","", "")</f>
        <v/>
      </c>
      <c r="AL110" s="614"/>
      <c r="AM110" s="644" t="str">
        <f>IF('Data Export'!$D110="","", 'Special Doors'!P15)</f>
        <v/>
      </c>
      <c r="AN110" s="644" t="str">
        <f>IF('Data Export'!$D110="","", 'Special Doors'!O15)</f>
        <v/>
      </c>
      <c r="AO110" s="636" t="str">
        <f>IF('Data Export'!$D110="","", IFERROR(ROUND($F110/$D110, 2), ""))</f>
        <v/>
      </c>
      <c r="AP110" s="641">
        <f>IF('Data Export'!$D110="","",'Project Summary'!$C$11)</f>
        <v>0</v>
      </c>
      <c r="AQ110" s="650"/>
      <c r="AR110" s="650"/>
    </row>
    <row r="111" spans="1:44" x14ac:dyDescent="0.2">
      <c r="A111" s="618" t="str">
        <f>'Special Doors'!$B$3</f>
        <v>Special Doors with Low or Anti Sweat Heat for Low Temp Case</v>
      </c>
      <c r="B111" s="614" t="s">
        <v>320</v>
      </c>
      <c r="C111" s="614">
        <v>109</v>
      </c>
      <c r="D111" s="630">
        <f>IF('Special Doors'!R16&gt;0,'Special Doors'!H16,"")</f>
        <v>0</v>
      </c>
      <c r="E111" s="630" t="str">
        <f>IF($D111="","",'Look Up Tables'!$AS$78)</f>
        <v>SpecDoors</v>
      </c>
      <c r="F111" s="636" t="str">
        <f>IF('Data Export'!$D111="","", 'Special Doors'!R16)</f>
        <v/>
      </c>
      <c r="G111" s="641">
        <f>IF('Data Export'!D111="","", 'Project Summary'!$C$6)</f>
        <v>0</v>
      </c>
      <c r="H111" s="635" t="str">
        <f>IF('Data Export'!$D111="","",'Special Doors'!M16)</f>
        <v/>
      </c>
      <c r="I111" s="644" t="str">
        <f>IF('Data Export'!$D111="","",'Special Doors'!N16)</f>
        <v/>
      </c>
      <c r="J111" s="630">
        <f>IF('Data Export'!$D111="","", 'Project Summary'!$J$1)</f>
        <v>5.01</v>
      </c>
      <c r="K111" s="630">
        <f>IF('Data Export'!$D111="","",'Special Doors'!D16)</f>
        <v>0</v>
      </c>
      <c r="L111" s="630">
        <f>IF('Data Export'!$D111="","",'Special Doors'!E16)</f>
        <v>0</v>
      </c>
      <c r="M111" s="630">
        <f>IF('Data Export'!$D111="","", 'Project Summary'!$C$13)</f>
        <v>0</v>
      </c>
      <c r="N111" s="614" t="str">
        <f>IF('Data Export'!$D111="","", "")</f>
        <v/>
      </c>
      <c r="O111" s="630">
        <f>IF('Data Export'!$D111="","", D111)</f>
        <v>0</v>
      </c>
      <c r="P111" s="630">
        <f>IF('Data Export'!$D111="","",IF('Special Doors'!G16="Refrigeration","Refrigerator",'Special Doors'!G16))</f>
        <v>0</v>
      </c>
      <c r="Q111" s="614" t="str">
        <f>IF('Data Export'!$D111="","", "")</f>
        <v/>
      </c>
      <c r="R111" s="614" t="str">
        <f>IF('Data Export'!$D111="","", "")</f>
        <v/>
      </c>
      <c r="S111" s="614" t="str">
        <f>IF('Data Export'!$D111="","", "")</f>
        <v/>
      </c>
      <c r="T111" s="614" t="str">
        <f>IF('Data Export'!$D111="","", "")</f>
        <v/>
      </c>
      <c r="U111" s="614" t="str">
        <f>IF('Data Export'!$D111="","", "")</f>
        <v/>
      </c>
      <c r="V111" s="614" t="str">
        <f>IF('Data Export'!$D111="","", "")</f>
        <v/>
      </c>
      <c r="W111" s="614" t="str">
        <f>IF('Data Export'!$D111="","", "")</f>
        <v/>
      </c>
      <c r="X111" s="614" t="str">
        <f>IF('Data Export'!$D111="","", "")</f>
        <v/>
      </c>
      <c r="Y111" s="614" t="str">
        <f>IF('Data Export'!$D111="","", "")</f>
        <v/>
      </c>
      <c r="Z111" s="614" t="str">
        <f>IF('Data Export'!$D111="","", "")</f>
        <v/>
      </c>
      <c r="AA111" s="614" t="str">
        <f>IF('Data Export'!$D111="","", "")</f>
        <v/>
      </c>
      <c r="AB111" s="614" t="str">
        <f>IF('Data Export'!$D111="","", "")</f>
        <v/>
      </c>
      <c r="AC111" s="614" t="str">
        <f>IF('Data Export'!$D111="","", "")</f>
        <v/>
      </c>
      <c r="AD111" s="614" t="str">
        <f>IF('Data Export'!$D111="","", "")</f>
        <v/>
      </c>
      <c r="AE111" s="614" t="str">
        <f>IF('Data Export'!$D111="","", "")</f>
        <v/>
      </c>
      <c r="AF111" s="614" t="str">
        <f>IF('Data Export'!$D111="","", "")</f>
        <v/>
      </c>
      <c r="AG111" s="636">
        <f>IF('Data Export'!$D111="","",'Special Doors'!K16)</f>
        <v>0</v>
      </c>
      <c r="AH111" s="636">
        <f>IF('Data Export'!$D111="","", 'Special Doors'!L16)</f>
        <v>0</v>
      </c>
      <c r="AI111" s="632">
        <f>IF('Data Export'!$D111="","", 'Special Doors'!G16)</f>
        <v>0</v>
      </c>
      <c r="AJ111" s="614" t="str">
        <f>IF('Data Export'!$D111="","", "")</f>
        <v/>
      </c>
      <c r="AK111" s="614" t="str">
        <f>IF('Data Export'!$D111="","", "")</f>
        <v/>
      </c>
      <c r="AL111" s="614"/>
      <c r="AM111" s="644" t="str">
        <f>IF('Data Export'!$D111="","", 'Special Doors'!P16)</f>
        <v/>
      </c>
      <c r="AN111" s="644" t="str">
        <f>IF('Data Export'!$D111="","", 'Special Doors'!O16)</f>
        <v/>
      </c>
      <c r="AO111" s="636" t="str">
        <f>IF('Data Export'!$D111="","", IFERROR(ROUND($F111/$D111, 2), ""))</f>
        <v/>
      </c>
      <c r="AP111" s="641">
        <f>IF('Data Export'!$D111="","",'Project Summary'!$C$11)</f>
        <v>0</v>
      </c>
      <c r="AQ111" s="650"/>
      <c r="AR111" s="650"/>
    </row>
    <row r="112" spans="1:44" ht="15" thickBot="1" x14ac:dyDescent="0.25">
      <c r="A112" s="625" t="str">
        <f>'Special Doors'!$B$3</f>
        <v>Special Doors with Low or Anti Sweat Heat for Low Temp Case</v>
      </c>
      <c r="B112" s="626" t="s">
        <v>320</v>
      </c>
      <c r="C112" s="626">
        <v>110</v>
      </c>
      <c r="D112" s="631">
        <f>IF('Special Doors'!R17&gt;0,'Special Doors'!H17,"")</f>
        <v>0</v>
      </c>
      <c r="E112" s="631" t="str">
        <f>IF($D112="","",'Look Up Tables'!$AS$78)</f>
        <v>SpecDoors</v>
      </c>
      <c r="F112" s="638" t="str">
        <f>IF('Data Export'!$D112="","", 'Special Doors'!R17)</f>
        <v/>
      </c>
      <c r="G112" s="642">
        <f>IF('Data Export'!D112="","", 'Project Summary'!$C$6)</f>
        <v>0</v>
      </c>
      <c r="H112" s="639" t="str">
        <f>IF('Data Export'!$D112="","",'Special Doors'!M17)</f>
        <v/>
      </c>
      <c r="I112" s="659" t="str">
        <f>IF('Data Export'!$D112="","",'Special Doors'!N17)</f>
        <v/>
      </c>
      <c r="J112" s="631">
        <f>IF('Data Export'!$D112="","", 'Project Summary'!$J$1)</f>
        <v>5.01</v>
      </c>
      <c r="K112" s="631">
        <f>IF('Data Export'!$D112="","",'Special Doors'!D17)</f>
        <v>0</v>
      </c>
      <c r="L112" s="631">
        <f>IF('Data Export'!$D112="","",'Special Doors'!E17)</f>
        <v>0</v>
      </c>
      <c r="M112" s="631">
        <f>IF('Data Export'!$D112="","", 'Project Summary'!$C$13)</f>
        <v>0</v>
      </c>
      <c r="N112" s="626" t="str">
        <f>IF('Data Export'!$D112="","", "")</f>
        <v/>
      </c>
      <c r="O112" s="631">
        <f>IF('Data Export'!$D112="","", D112)</f>
        <v>0</v>
      </c>
      <c r="P112" s="631">
        <f>IF('Data Export'!$D112="","",IF('Special Doors'!G17="Refrigeration","Refrigerator",'Special Doors'!G17))</f>
        <v>0</v>
      </c>
      <c r="Q112" s="626" t="str">
        <f>IF('Data Export'!$D112="","", "")</f>
        <v/>
      </c>
      <c r="R112" s="626" t="str">
        <f>IF('Data Export'!$D112="","", "")</f>
        <v/>
      </c>
      <c r="S112" s="626" t="str">
        <f>IF('Data Export'!$D112="","", "")</f>
        <v/>
      </c>
      <c r="T112" s="626" t="str">
        <f>IF('Data Export'!$D112="","", "")</f>
        <v/>
      </c>
      <c r="U112" s="626" t="str">
        <f>IF('Data Export'!$D112="","", "")</f>
        <v/>
      </c>
      <c r="V112" s="626" t="str">
        <f>IF('Data Export'!$D112="","", "")</f>
        <v/>
      </c>
      <c r="W112" s="626" t="str">
        <f>IF('Data Export'!$D112="","", "")</f>
        <v/>
      </c>
      <c r="X112" s="626" t="str">
        <f>IF('Data Export'!$D112="","", "")</f>
        <v/>
      </c>
      <c r="Y112" s="626" t="str">
        <f>IF('Data Export'!$D112="","", "")</f>
        <v/>
      </c>
      <c r="Z112" s="626" t="str">
        <f>IF('Data Export'!$D112="","", "")</f>
        <v/>
      </c>
      <c r="AA112" s="626" t="str">
        <f>IF('Data Export'!$D112="","", "")</f>
        <v/>
      </c>
      <c r="AB112" s="626" t="str">
        <f>IF('Data Export'!$D112="","", "")</f>
        <v/>
      </c>
      <c r="AC112" s="626" t="str">
        <f>IF('Data Export'!$D112="","", "")</f>
        <v/>
      </c>
      <c r="AD112" s="626" t="str">
        <f>IF('Data Export'!$D112="","", "")</f>
        <v/>
      </c>
      <c r="AE112" s="626" t="str">
        <f>IF('Data Export'!$D112="","", "")</f>
        <v/>
      </c>
      <c r="AF112" s="626" t="str">
        <f>IF('Data Export'!$D112="","", "")</f>
        <v/>
      </c>
      <c r="AG112" s="638">
        <f>IF('Data Export'!$D112="","",'Special Doors'!K17)</f>
        <v>0</v>
      </c>
      <c r="AH112" s="638">
        <f>IF('Data Export'!$D112="","", 'Special Doors'!L17)</f>
        <v>0</v>
      </c>
      <c r="AI112" s="646">
        <f>IF('Data Export'!$D112="","", 'Special Doors'!G17)</f>
        <v>0</v>
      </c>
      <c r="AJ112" s="626" t="str">
        <f>IF('Data Export'!$D112="","", "")</f>
        <v/>
      </c>
      <c r="AK112" s="626" t="str">
        <f>IF('Data Export'!$D112="","", "")</f>
        <v/>
      </c>
      <c r="AL112" s="626"/>
      <c r="AM112" s="659" t="str">
        <f>IF('Data Export'!$D112="","", 'Special Doors'!P17)</f>
        <v/>
      </c>
      <c r="AN112" s="659" t="str">
        <f>IF('Data Export'!$D112="","", 'Special Doors'!O17)</f>
        <v/>
      </c>
      <c r="AO112" s="638" t="str">
        <f>IF('Data Export'!$D112="","", IFERROR(ROUND($F112/$D112, 2), ""))</f>
        <v/>
      </c>
      <c r="AP112" s="642">
        <f>IF('Data Export'!$D112="","",'Project Summary'!$C$11)</f>
        <v>0</v>
      </c>
      <c r="AQ112" s="651"/>
      <c r="AR112" s="651"/>
    </row>
    <row r="113" spans="1:44" ht="15" thickTop="1" x14ac:dyDescent="0.2">
      <c r="A113" s="620" t="str">
        <f>'Pipe Insulation'!$B$3</f>
        <v>Suction Pipe Insulation For Walk In Coolers and Freezers</v>
      </c>
      <c r="B113" s="621" t="s">
        <v>321</v>
      </c>
      <c r="C113" s="621">
        <v>111</v>
      </c>
      <c r="D113" s="632">
        <f>IF('Pipe Insulation'!Q8&gt;0,'Pipe Insulation'!I8,"")</f>
        <v>0</v>
      </c>
      <c r="E113" s="632" t="str">
        <f>IF($D113="","",IF('Pipe Insulation'!G8='Look Up Tables'!$F$97,'Look Up Tables'!$AS$71,'Look Up Tables'!$AS$72))</f>
        <v>SucPipeInsulLowTemp</v>
      </c>
      <c r="F113" s="637" t="str">
        <f>IF('Data Export'!$D113="","", 'Pipe Insulation'!Q8)</f>
        <v/>
      </c>
      <c r="G113" s="643">
        <f>IF('Data Export'!D113="","", 'Project Summary'!$C$6)</f>
        <v>0</v>
      </c>
      <c r="H113" s="640" t="str">
        <f>IF('Data Export'!$D113="","",'Pipe Insulation'!L8)</f>
        <v/>
      </c>
      <c r="I113" s="644" t="str">
        <f>IF('Data Export'!$D113="","",'Pipe Insulation'!O8)</f>
        <v/>
      </c>
      <c r="J113" s="632">
        <f>IF('Data Export'!$D113="","", 'Project Summary'!$J$1)</f>
        <v>5.01</v>
      </c>
      <c r="K113" s="632">
        <f>IF('Data Export'!$D113="","",'Pipe Insulation'!D8)</f>
        <v>0</v>
      </c>
      <c r="L113" s="632">
        <f>IF('Data Export'!$D113="","",'Pipe Insulation'!E8)</f>
        <v>0</v>
      </c>
      <c r="M113" s="632">
        <f>IF('Data Export'!$D113="","", 'Project Summary'!$C$13)</f>
        <v>0</v>
      </c>
      <c r="N113" s="621" t="str">
        <f>IF('Data Export'!$D113="","", "")</f>
        <v/>
      </c>
      <c r="O113" s="621" t="str">
        <f>IF('Data Export'!$D113="","", "")</f>
        <v/>
      </c>
      <c r="P113" s="645">
        <f>IF('Data Export'!$D113="","",'Pipe Insulation'!G8)</f>
        <v>0</v>
      </c>
      <c r="Q113" s="621" t="str">
        <f>IF('Data Export'!$D113="","", "")</f>
        <v/>
      </c>
      <c r="R113" s="621" t="str">
        <f>IF('Data Export'!$D113="","", "")</f>
        <v/>
      </c>
      <c r="S113" s="621" t="str">
        <f>IF('Data Export'!$D113="","", "")</f>
        <v/>
      </c>
      <c r="T113" s="621" t="str">
        <f>IF('Data Export'!$D113="","", "")</f>
        <v/>
      </c>
      <c r="U113" s="621" t="str">
        <f>IF('Data Export'!$D113="","", "")</f>
        <v/>
      </c>
      <c r="V113" s="621" t="str">
        <f>IF('Data Export'!$D113="","", "")</f>
        <v/>
      </c>
      <c r="W113" s="621" t="str">
        <f>IF('Data Export'!$D113="","", "")</f>
        <v/>
      </c>
      <c r="X113" s="621" t="str">
        <f>IF('Data Export'!$D113="","", "")</f>
        <v/>
      </c>
      <c r="Y113" s="621" t="str">
        <f>IF('Data Export'!$D113="","", "")</f>
        <v/>
      </c>
      <c r="Z113" s="621" t="str">
        <f>IF('Data Export'!$D113="","", "")</f>
        <v/>
      </c>
      <c r="AA113" s="621" t="str">
        <f>IF('Data Export'!$D113="","", "")</f>
        <v/>
      </c>
      <c r="AB113" s="621" t="str">
        <f>IF('Data Export'!$D113="","", "")</f>
        <v/>
      </c>
      <c r="AC113" s="621" t="str">
        <f>IF('Data Export'!$D113="","", "")</f>
        <v/>
      </c>
      <c r="AD113" s="621" t="str">
        <f>IF('Data Export'!$D113="","", "")</f>
        <v/>
      </c>
      <c r="AE113" s="621" t="str">
        <f>IF('Data Export'!$D113="","", "")</f>
        <v/>
      </c>
      <c r="AF113" s="621"/>
      <c r="AG113" s="621" t="str">
        <f>IF('Data Export'!$D113="","", "")</f>
        <v/>
      </c>
      <c r="AH113" s="621" t="str">
        <f>IF('Data Export'!$D113="","", "")</f>
        <v/>
      </c>
      <c r="AI113" s="632">
        <f>IF('Data Export'!$D113="","", 'Pipe Insulation'!G8)</f>
        <v>0</v>
      </c>
      <c r="AJ113" s="621" t="str">
        <f>IF('Data Export'!$D113="","", "")</f>
        <v/>
      </c>
      <c r="AK113" s="632">
        <f>IF('Data Export'!$D113="","", 'Pipe Insulation'!H8)</f>
        <v>0</v>
      </c>
      <c r="AL113" s="621"/>
      <c r="AM113" s="658" t="str">
        <f>IF('Data Export'!$D113="","", 'Pipe Insulation'!O8)</f>
        <v/>
      </c>
      <c r="AN113" s="658" t="str">
        <f>IF('Data Export'!$D113="","", 'Pipe Insulation'!N8)</f>
        <v/>
      </c>
      <c r="AO113" s="637" t="str">
        <f>IF('Data Export'!$D113="","", IFERROR(ROUND($F113/$D113, 2), ""))</f>
        <v/>
      </c>
      <c r="AP113" s="643">
        <f>IF('Data Export'!$D113="","",'Project Summary'!$C$11)</f>
        <v>0</v>
      </c>
      <c r="AQ113" s="653">
        <f>IF('Data Export'!$D113="","", 'Look Up Tables'!$C$167)</f>
        <v>3.4600000000000001E-5</v>
      </c>
      <c r="AR113" s="653">
        <f>IF('Data Export'!$D113="","", 'Look Up Tables'!$C$166)</f>
        <v>2.7399999999999999E-5</v>
      </c>
    </row>
    <row r="114" spans="1:44" x14ac:dyDescent="0.2">
      <c r="A114" s="618" t="str">
        <f>'Pipe Insulation'!$B$3</f>
        <v>Suction Pipe Insulation For Walk In Coolers and Freezers</v>
      </c>
      <c r="B114" s="614" t="s">
        <v>321</v>
      </c>
      <c r="C114" s="614">
        <v>112</v>
      </c>
      <c r="D114" s="630">
        <f>IF('Pipe Insulation'!Q9&gt;0,'Pipe Insulation'!I9,"")</f>
        <v>0</v>
      </c>
      <c r="E114" s="630" t="str">
        <f>IF($D114="","",IF('Pipe Insulation'!G9='Look Up Tables'!$F$97,'Look Up Tables'!$AS$71,'Look Up Tables'!$AS$72))</f>
        <v>SucPipeInsulLowTemp</v>
      </c>
      <c r="F114" s="636" t="str">
        <f>IF('Data Export'!$D114="","", 'Pipe Insulation'!Q9)</f>
        <v/>
      </c>
      <c r="G114" s="641">
        <f>IF('Data Export'!D114="","", 'Project Summary'!$C$6)</f>
        <v>0</v>
      </c>
      <c r="H114" s="635" t="str">
        <f>IF('Data Export'!$D114="","",'Pipe Insulation'!L9)</f>
        <v/>
      </c>
      <c r="I114" s="633" t="str">
        <f>IF('Data Export'!$D114="","",'Pipe Insulation'!O9)</f>
        <v/>
      </c>
      <c r="J114" s="630">
        <f>IF('Data Export'!$D114="","", 'Project Summary'!$J$1)</f>
        <v>5.01</v>
      </c>
      <c r="K114" s="630">
        <f>IF('Data Export'!$D114="","",'Pipe Insulation'!D9)</f>
        <v>0</v>
      </c>
      <c r="L114" s="630">
        <f>IF('Data Export'!$D114="","",'Pipe Insulation'!E9)</f>
        <v>0</v>
      </c>
      <c r="M114" s="630">
        <f>IF('Data Export'!$D114="","", 'Project Summary'!$C$13)</f>
        <v>0</v>
      </c>
      <c r="N114" s="614" t="str">
        <f>IF('Data Export'!$D114="","", "")</f>
        <v/>
      </c>
      <c r="O114" s="614" t="str">
        <f>IF('Data Export'!$D114="","", "")</f>
        <v/>
      </c>
      <c r="P114" s="632">
        <f>IF('Data Export'!$D114="","",'Pipe Insulation'!G9)</f>
        <v>0</v>
      </c>
      <c r="Q114" s="614" t="str">
        <f>IF('Data Export'!$D114="","", "")</f>
        <v/>
      </c>
      <c r="R114" s="614" t="str">
        <f>IF('Data Export'!$D114="","", "")</f>
        <v/>
      </c>
      <c r="S114" s="614" t="str">
        <f>IF('Data Export'!$D114="","", "")</f>
        <v/>
      </c>
      <c r="T114" s="614" t="str">
        <f>IF('Data Export'!$D114="","", "")</f>
        <v/>
      </c>
      <c r="U114" s="614" t="str">
        <f>IF('Data Export'!$D114="","", "")</f>
        <v/>
      </c>
      <c r="V114" s="614" t="str">
        <f>IF('Data Export'!$D114="","", "")</f>
        <v/>
      </c>
      <c r="W114" s="614" t="str">
        <f>IF('Data Export'!$D114="","", "")</f>
        <v/>
      </c>
      <c r="X114" s="614" t="str">
        <f>IF('Data Export'!$D114="","", "")</f>
        <v/>
      </c>
      <c r="Y114" s="614" t="str">
        <f>IF('Data Export'!$D114="","", "")</f>
        <v/>
      </c>
      <c r="Z114" s="614" t="str">
        <f>IF('Data Export'!$D114="","", "")</f>
        <v/>
      </c>
      <c r="AA114" s="614" t="str">
        <f>IF('Data Export'!$D114="","", "")</f>
        <v/>
      </c>
      <c r="AB114" s="614" t="str">
        <f>IF('Data Export'!$D114="","", "")</f>
        <v/>
      </c>
      <c r="AC114" s="614" t="str">
        <f>IF('Data Export'!$D114="","", "")</f>
        <v/>
      </c>
      <c r="AD114" s="614" t="str">
        <f>IF('Data Export'!$D114="","", "")</f>
        <v/>
      </c>
      <c r="AE114" s="614" t="str">
        <f>IF('Data Export'!$D114="","", "")</f>
        <v/>
      </c>
      <c r="AF114" s="614"/>
      <c r="AG114" s="614" t="str">
        <f>IF('Data Export'!$D114="","", "")</f>
        <v/>
      </c>
      <c r="AH114" s="614" t="str">
        <f>IF('Data Export'!$D114="","", "")</f>
        <v/>
      </c>
      <c r="AI114" s="630">
        <f>IF('Data Export'!$D114="","", 'Pipe Insulation'!G9)</f>
        <v>0</v>
      </c>
      <c r="AJ114" s="614" t="str">
        <f>IF('Data Export'!$D114="","", "")</f>
        <v/>
      </c>
      <c r="AK114" s="630">
        <f>IF('Data Export'!$D114="","", 'Pipe Insulation'!H9)</f>
        <v>0</v>
      </c>
      <c r="AL114" s="614"/>
      <c r="AM114" s="644" t="str">
        <f>IF('Data Export'!$D114="","", 'Pipe Insulation'!O9)</f>
        <v/>
      </c>
      <c r="AN114" s="644" t="str">
        <f>IF('Data Export'!$D114="","", 'Pipe Insulation'!N9)</f>
        <v/>
      </c>
      <c r="AO114" s="636" t="str">
        <f>IF('Data Export'!$D114="","", IFERROR(ROUND($F114/$D114, 2), ""))</f>
        <v/>
      </c>
      <c r="AP114" s="641">
        <f>IF('Data Export'!$D114="","",'Project Summary'!$C$11)</f>
        <v>0</v>
      </c>
      <c r="AQ114" s="652">
        <f>IF('Data Export'!$D114="","", 'Look Up Tables'!$C$167)</f>
        <v>3.4600000000000001E-5</v>
      </c>
      <c r="AR114" s="652">
        <f>IF('Data Export'!$D114="","", 'Look Up Tables'!$C$166)</f>
        <v>2.7399999999999999E-5</v>
      </c>
    </row>
    <row r="115" spans="1:44" x14ac:dyDescent="0.2">
      <c r="A115" s="618" t="str">
        <f>'Pipe Insulation'!$B$3</f>
        <v>Suction Pipe Insulation For Walk In Coolers and Freezers</v>
      </c>
      <c r="B115" s="614" t="s">
        <v>321</v>
      </c>
      <c r="C115" s="614">
        <v>113</v>
      </c>
      <c r="D115" s="630">
        <f>IF('Pipe Insulation'!Q10&gt;0,'Pipe Insulation'!I10,"")</f>
        <v>0</v>
      </c>
      <c r="E115" s="630" t="str">
        <f>IF($D115="","",IF('Pipe Insulation'!G10='Look Up Tables'!$F$97,'Look Up Tables'!$AS$71,'Look Up Tables'!$AS$72))</f>
        <v>SucPipeInsulLowTemp</v>
      </c>
      <c r="F115" s="636" t="str">
        <f>IF('Data Export'!$D115="","", 'Pipe Insulation'!Q10)</f>
        <v/>
      </c>
      <c r="G115" s="641">
        <f>IF('Data Export'!D115="","", 'Project Summary'!$C$6)</f>
        <v>0</v>
      </c>
      <c r="H115" s="635" t="str">
        <f>IF('Data Export'!$D115="","",'Pipe Insulation'!L10)</f>
        <v/>
      </c>
      <c r="I115" s="633" t="str">
        <f>IF('Data Export'!$D115="","",'Pipe Insulation'!O10)</f>
        <v/>
      </c>
      <c r="J115" s="630">
        <f>IF('Data Export'!$D115="","", 'Project Summary'!$J$1)</f>
        <v>5.01</v>
      </c>
      <c r="K115" s="630">
        <f>IF('Data Export'!$D115="","",'Pipe Insulation'!D10)</f>
        <v>0</v>
      </c>
      <c r="L115" s="630">
        <f>IF('Data Export'!$D115="","",'Pipe Insulation'!E10)</f>
        <v>0</v>
      </c>
      <c r="M115" s="630">
        <f>IF('Data Export'!$D115="","", 'Project Summary'!$C$13)</f>
        <v>0</v>
      </c>
      <c r="N115" s="614" t="str">
        <f>IF('Data Export'!$D115="","", "")</f>
        <v/>
      </c>
      <c r="O115" s="614" t="str">
        <f>IF('Data Export'!$D115="","", "")</f>
        <v/>
      </c>
      <c r="P115" s="632">
        <f>IF('Data Export'!$D115="","",'Pipe Insulation'!G10)</f>
        <v>0</v>
      </c>
      <c r="Q115" s="614" t="str">
        <f>IF('Data Export'!$D115="","", "")</f>
        <v/>
      </c>
      <c r="R115" s="614" t="str">
        <f>IF('Data Export'!$D115="","", "")</f>
        <v/>
      </c>
      <c r="S115" s="614" t="str">
        <f>IF('Data Export'!$D115="","", "")</f>
        <v/>
      </c>
      <c r="T115" s="614" t="str">
        <f>IF('Data Export'!$D115="","", "")</f>
        <v/>
      </c>
      <c r="U115" s="614" t="str">
        <f>IF('Data Export'!$D115="","", "")</f>
        <v/>
      </c>
      <c r="V115" s="614" t="str">
        <f>IF('Data Export'!$D115="","", "")</f>
        <v/>
      </c>
      <c r="W115" s="614" t="str">
        <f>IF('Data Export'!$D115="","", "")</f>
        <v/>
      </c>
      <c r="X115" s="614" t="str">
        <f>IF('Data Export'!$D115="","", "")</f>
        <v/>
      </c>
      <c r="Y115" s="614" t="str">
        <f>IF('Data Export'!$D115="","", "")</f>
        <v/>
      </c>
      <c r="Z115" s="614" t="str">
        <f>IF('Data Export'!$D115="","", "")</f>
        <v/>
      </c>
      <c r="AA115" s="614" t="str">
        <f>IF('Data Export'!$D115="","", "")</f>
        <v/>
      </c>
      <c r="AB115" s="614" t="str">
        <f>IF('Data Export'!$D115="","", "")</f>
        <v/>
      </c>
      <c r="AC115" s="614" t="str">
        <f>IF('Data Export'!$D115="","", "")</f>
        <v/>
      </c>
      <c r="AD115" s="614" t="str">
        <f>IF('Data Export'!$D115="","", "")</f>
        <v/>
      </c>
      <c r="AE115" s="614" t="str">
        <f>IF('Data Export'!$D115="","", "")</f>
        <v/>
      </c>
      <c r="AF115" s="614"/>
      <c r="AG115" s="614" t="str">
        <f>IF('Data Export'!$D115="","", "")</f>
        <v/>
      </c>
      <c r="AH115" s="614" t="str">
        <f>IF('Data Export'!$D115="","", "")</f>
        <v/>
      </c>
      <c r="AI115" s="630">
        <f>IF('Data Export'!$D115="","", 'Pipe Insulation'!G10)</f>
        <v>0</v>
      </c>
      <c r="AJ115" s="614" t="str">
        <f>IF('Data Export'!$D115="","", "")</f>
        <v/>
      </c>
      <c r="AK115" s="630">
        <f>IF('Data Export'!$D115="","", 'Pipe Insulation'!H10)</f>
        <v>0</v>
      </c>
      <c r="AL115" s="614"/>
      <c r="AM115" s="644" t="str">
        <f>IF('Data Export'!$D115="","", 'Pipe Insulation'!O10)</f>
        <v/>
      </c>
      <c r="AN115" s="644" t="str">
        <f>IF('Data Export'!$D115="","", 'Pipe Insulation'!N10)</f>
        <v/>
      </c>
      <c r="AO115" s="636" t="str">
        <f>IF('Data Export'!$D115="","", IFERROR(ROUND($F115/$D115, 2), ""))</f>
        <v/>
      </c>
      <c r="AP115" s="641">
        <f>IF('Data Export'!$D115="","",'Project Summary'!$C$11)</f>
        <v>0</v>
      </c>
      <c r="AQ115" s="652">
        <f>IF('Data Export'!$D115="","", 'Look Up Tables'!$C$167)</f>
        <v>3.4600000000000001E-5</v>
      </c>
      <c r="AR115" s="652">
        <f>IF('Data Export'!$D115="","", 'Look Up Tables'!$C$166)</f>
        <v>2.7399999999999999E-5</v>
      </c>
    </row>
    <row r="116" spans="1:44" x14ac:dyDescent="0.2">
      <c r="A116" s="618" t="str">
        <f>'Pipe Insulation'!$B$3</f>
        <v>Suction Pipe Insulation For Walk In Coolers and Freezers</v>
      </c>
      <c r="B116" s="614" t="s">
        <v>321</v>
      </c>
      <c r="C116" s="614">
        <v>114</v>
      </c>
      <c r="D116" s="630">
        <f>IF('Pipe Insulation'!Q11&gt;0,'Pipe Insulation'!I11,"")</f>
        <v>0</v>
      </c>
      <c r="E116" s="630" t="str">
        <f>IF($D116="","",IF('Pipe Insulation'!G11='Look Up Tables'!$F$97,'Look Up Tables'!$AS$71,'Look Up Tables'!$AS$72))</f>
        <v>SucPipeInsulLowTemp</v>
      </c>
      <c r="F116" s="636" t="str">
        <f>IF('Data Export'!$D116="","", 'Pipe Insulation'!Q11)</f>
        <v/>
      </c>
      <c r="G116" s="641">
        <f>IF('Data Export'!D116="","", 'Project Summary'!$C$6)</f>
        <v>0</v>
      </c>
      <c r="H116" s="635" t="str">
        <f>IF('Data Export'!$D116="","",'Pipe Insulation'!L11)</f>
        <v/>
      </c>
      <c r="I116" s="633" t="str">
        <f>IF('Data Export'!$D116="","",'Pipe Insulation'!O11)</f>
        <v/>
      </c>
      <c r="J116" s="630">
        <f>IF('Data Export'!$D116="","", 'Project Summary'!$J$1)</f>
        <v>5.01</v>
      </c>
      <c r="K116" s="630">
        <f>IF('Data Export'!$D116="","",'Pipe Insulation'!D11)</f>
        <v>0</v>
      </c>
      <c r="L116" s="630">
        <f>IF('Data Export'!$D116="","",'Pipe Insulation'!E11)</f>
        <v>0</v>
      </c>
      <c r="M116" s="630">
        <f>IF('Data Export'!$D116="","", 'Project Summary'!$C$13)</f>
        <v>0</v>
      </c>
      <c r="N116" s="614" t="str">
        <f>IF('Data Export'!$D116="","", "")</f>
        <v/>
      </c>
      <c r="O116" s="614" t="str">
        <f>IF('Data Export'!$D116="","", "")</f>
        <v/>
      </c>
      <c r="P116" s="632">
        <f>IF('Data Export'!$D116="","",'Pipe Insulation'!G11)</f>
        <v>0</v>
      </c>
      <c r="Q116" s="614" t="str">
        <f>IF('Data Export'!$D116="","", "")</f>
        <v/>
      </c>
      <c r="R116" s="614" t="str">
        <f>IF('Data Export'!$D116="","", "")</f>
        <v/>
      </c>
      <c r="S116" s="614" t="str">
        <f>IF('Data Export'!$D116="","", "")</f>
        <v/>
      </c>
      <c r="T116" s="614" t="str">
        <f>IF('Data Export'!$D116="","", "")</f>
        <v/>
      </c>
      <c r="U116" s="614" t="str">
        <f>IF('Data Export'!$D116="","", "")</f>
        <v/>
      </c>
      <c r="V116" s="614" t="str">
        <f>IF('Data Export'!$D116="","", "")</f>
        <v/>
      </c>
      <c r="W116" s="614" t="str">
        <f>IF('Data Export'!$D116="","", "")</f>
        <v/>
      </c>
      <c r="X116" s="614" t="str">
        <f>IF('Data Export'!$D116="","", "")</f>
        <v/>
      </c>
      <c r="Y116" s="614" t="str">
        <f>IF('Data Export'!$D116="","", "")</f>
        <v/>
      </c>
      <c r="Z116" s="614" t="str">
        <f>IF('Data Export'!$D116="","", "")</f>
        <v/>
      </c>
      <c r="AA116" s="614" t="str">
        <f>IF('Data Export'!$D116="","", "")</f>
        <v/>
      </c>
      <c r="AB116" s="614" t="str">
        <f>IF('Data Export'!$D116="","", "")</f>
        <v/>
      </c>
      <c r="AC116" s="614" t="str">
        <f>IF('Data Export'!$D116="","", "")</f>
        <v/>
      </c>
      <c r="AD116" s="614" t="str">
        <f>IF('Data Export'!$D116="","", "")</f>
        <v/>
      </c>
      <c r="AE116" s="614" t="str">
        <f>IF('Data Export'!$D116="","", "")</f>
        <v/>
      </c>
      <c r="AF116" s="614"/>
      <c r="AG116" s="614" t="str">
        <f>IF('Data Export'!$D116="","", "")</f>
        <v/>
      </c>
      <c r="AH116" s="614" t="str">
        <f>IF('Data Export'!$D116="","", "")</f>
        <v/>
      </c>
      <c r="AI116" s="630">
        <f>IF('Data Export'!$D116="","", 'Pipe Insulation'!G11)</f>
        <v>0</v>
      </c>
      <c r="AJ116" s="614" t="str">
        <f>IF('Data Export'!$D116="","", "")</f>
        <v/>
      </c>
      <c r="AK116" s="630">
        <f>IF('Data Export'!$D116="","", 'Pipe Insulation'!H11)</f>
        <v>0</v>
      </c>
      <c r="AL116" s="614"/>
      <c r="AM116" s="644" t="str">
        <f>IF('Data Export'!$D116="","", 'Pipe Insulation'!O11)</f>
        <v/>
      </c>
      <c r="AN116" s="644" t="str">
        <f>IF('Data Export'!$D116="","", 'Pipe Insulation'!N11)</f>
        <v/>
      </c>
      <c r="AO116" s="636" t="str">
        <f>IF('Data Export'!$D116="","", IFERROR(ROUND($F116/$D116, 2), ""))</f>
        <v/>
      </c>
      <c r="AP116" s="641">
        <f>IF('Data Export'!$D116="","",'Project Summary'!$C$11)</f>
        <v>0</v>
      </c>
      <c r="AQ116" s="652">
        <f>IF('Data Export'!$D116="","", 'Look Up Tables'!$C$167)</f>
        <v>3.4600000000000001E-5</v>
      </c>
      <c r="AR116" s="652">
        <f>IF('Data Export'!$D116="","", 'Look Up Tables'!$C$166)</f>
        <v>2.7399999999999999E-5</v>
      </c>
    </row>
    <row r="117" spans="1:44" x14ac:dyDescent="0.2">
      <c r="A117" s="618" t="str">
        <f>'Pipe Insulation'!$B$3</f>
        <v>Suction Pipe Insulation For Walk In Coolers and Freezers</v>
      </c>
      <c r="B117" s="614" t="s">
        <v>321</v>
      </c>
      <c r="C117" s="614">
        <v>115</v>
      </c>
      <c r="D117" s="630">
        <f>IF('Pipe Insulation'!Q12&gt;0,'Pipe Insulation'!I12,"")</f>
        <v>0</v>
      </c>
      <c r="E117" s="630" t="str">
        <f>IF($D117="","",IF('Pipe Insulation'!G12='Look Up Tables'!$F$97,'Look Up Tables'!$AS$71,'Look Up Tables'!$AS$72))</f>
        <v>SucPipeInsulLowTemp</v>
      </c>
      <c r="F117" s="636" t="str">
        <f>IF('Data Export'!$D117="","", 'Pipe Insulation'!Q12)</f>
        <v/>
      </c>
      <c r="G117" s="641">
        <f>IF('Data Export'!D117="","", 'Project Summary'!$C$6)</f>
        <v>0</v>
      </c>
      <c r="H117" s="635" t="str">
        <f>IF('Data Export'!$D117="","",'Pipe Insulation'!L12)</f>
        <v/>
      </c>
      <c r="I117" s="633" t="str">
        <f>IF('Data Export'!$D117="","",'Pipe Insulation'!O12)</f>
        <v/>
      </c>
      <c r="J117" s="630">
        <f>IF('Data Export'!$D117="","", 'Project Summary'!$J$1)</f>
        <v>5.01</v>
      </c>
      <c r="K117" s="630">
        <f>IF('Data Export'!$D117="","",'Pipe Insulation'!D12)</f>
        <v>0</v>
      </c>
      <c r="L117" s="630">
        <f>IF('Data Export'!$D117="","",'Pipe Insulation'!E12)</f>
        <v>0</v>
      </c>
      <c r="M117" s="630">
        <f>IF('Data Export'!$D117="","", 'Project Summary'!$C$13)</f>
        <v>0</v>
      </c>
      <c r="N117" s="614" t="str">
        <f>IF('Data Export'!$D117="","", "")</f>
        <v/>
      </c>
      <c r="O117" s="614" t="str">
        <f>IF('Data Export'!$D117="","", "")</f>
        <v/>
      </c>
      <c r="P117" s="632">
        <f>IF('Data Export'!$D117="","",'Pipe Insulation'!G12)</f>
        <v>0</v>
      </c>
      <c r="Q117" s="614" t="str">
        <f>IF('Data Export'!$D117="","", "")</f>
        <v/>
      </c>
      <c r="R117" s="614" t="str">
        <f>IF('Data Export'!$D117="","", "")</f>
        <v/>
      </c>
      <c r="S117" s="614" t="str">
        <f>IF('Data Export'!$D117="","", "")</f>
        <v/>
      </c>
      <c r="T117" s="614" t="str">
        <f>IF('Data Export'!$D117="","", "")</f>
        <v/>
      </c>
      <c r="U117" s="614" t="str">
        <f>IF('Data Export'!$D117="","", "")</f>
        <v/>
      </c>
      <c r="V117" s="614" t="str">
        <f>IF('Data Export'!$D117="","", "")</f>
        <v/>
      </c>
      <c r="W117" s="614" t="str">
        <f>IF('Data Export'!$D117="","", "")</f>
        <v/>
      </c>
      <c r="X117" s="614" t="str">
        <f>IF('Data Export'!$D117="","", "")</f>
        <v/>
      </c>
      <c r="Y117" s="614" t="str">
        <f>IF('Data Export'!$D117="","", "")</f>
        <v/>
      </c>
      <c r="Z117" s="614" t="str">
        <f>IF('Data Export'!$D117="","", "")</f>
        <v/>
      </c>
      <c r="AA117" s="614" t="str">
        <f>IF('Data Export'!$D117="","", "")</f>
        <v/>
      </c>
      <c r="AB117" s="614" t="str">
        <f>IF('Data Export'!$D117="","", "")</f>
        <v/>
      </c>
      <c r="AC117" s="614" t="str">
        <f>IF('Data Export'!$D117="","", "")</f>
        <v/>
      </c>
      <c r="AD117" s="614" t="str">
        <f>IF('Data Export'!$D117="","", "")</f>
        <v/>
      </c>
      <c r="AE117" s="614" t="str">
        <f>IF('Data Export'!$D117="","", "")</f>
        <v/>
      </c>
      <c r="AF117" s="614"/>
      <c r="AG117" s="614" t="str">
        <f>IF('Data Export'!$D117="","", "")</f>
        <v/>
      </c>
      <c r="AH117" s="614" t="str">
        <f>IF('Data Export'!$D117="","", "")</f>
        <v/>
      </c>
      <c r="AI117" s="630">
        <f>IF('Data Export'!$D117="","", 'Pipe Insulation'!G12)</f>
        <v>0</v>
      </c>
      <c r="AJ117" s="614" t="str">
        <f>IF('Data Export'!$D117="","", "")</f>
        <v/>
      </c>
      <c r="AK117" s="630">
        <f>IF('Data Export'!$D117="","", 'Pipe Insulation'!H12)</f>
        <v>0</v>
      </c>
      <c r="AL117" s="614"/>
      <c r="AM117" s="644" t="str">
        <f>IF('Data Export'!$D117="","", 'Pipe Insulation'!O12)</f>
        <v/>
      </c>
      <c r="AN117" s="644" t="str">
        <f>IF('Data Export'!$D117="","", 'Pipe Insulation'!N12)</f>
        <v/>
      </c>
      <c r="AO117" s="636" t="str">
        <f>IF('Data Export'!$D117="","", IFERROR(ROUND($F117/$D117, 2), ""))</f>
        <v/>
      </c>
      <c r="AP117" s="641">
        <f>IF('Data Export'!$D117="","",'Project Summary'!$C$11)</f>
        <v>0</v>
      </c>
      <c r="AQ117" s="652">
        <f>IF('Data Export'!$D117="","", 'Look Up Tables'!$C$167)</f>
        <v>3.4600000000000001E-5</v>
      </c>
      <c r="AR117" s="652">
        <f>IF('Data Export'!$D117="","", 'Look Up Tables'!$C$166)</f>
        <v>2.7399999999999999E-5</v>
      </c>
    </row>
    <row r="118" spans="1:44" x14ac:dyDescent="0.2">
      <c r="A118" s="618" t="str">
        <f>'Pipe Insulation'!$B$3</f>
        <v>Suction Pipe Insulation For Walk In Coolers and Freezers</v>
      </c>
      <c r="B118" s="614" t="s">
        <v>321</v>
      </c>
      <c r="C118" s="614">
        <v>116</v>
      </c>
      <c r="D118" s="630">
        <f>IF('Pipe Insulation'!Q13&gt;0,'Pipe Insulation'!I13,"")</f>
        <v>0</v>
      </c>
      <c r="E118" s="630" t="str">
        <f>IF($D118="","",IF('Pipe Insulation'!G13='Look Up Tables'!$F$97,'Look Up Tables'!$AS$71,'Look Up Tables'!$AS$72))</f>
        <v>SucPipeInsulLowTemp</v>
      </c>
      <c r="F118" s="636" t="str">
        <f>IF('Data Export'!$D118="","", 'Pipe Insulation'!Q13)</f>
        <v/>
      </c>
      <c r="G118" s="641">
        <f>IF('Data Export'!D118="","", 'Project Summary'!$C$6)</f>
        <v>0</v>
      </c>
      <c r="H118" s="635" t="str">
        <f>IF('Data Export'!$D118="","",'Pipe Insulation'!L13)</f>
        <v/>
      </c>
      <c r="I118" s="633" t="str">
        <f>IF('Data Export'!$D118="","",'Pipe Insulation'!O13)</f>
        <v/>
      </c>
      <c r="J118" s="630">
        <f>IF('Data Export'!$D118="","", 'Project Summary'!$J$1)</f>
        <v>5.01</v>
      </c>
      <c r="K118" s="630">
        <f>IF('Data Export'!$D118="","",'Pipe Insulation'!D13)</f>
        <v>0</v>
      </c>
      <c r="L118" s="630">
        <f>IF('Data Export'!$D118="","",'Pipe Insulation'!E13)</f>
        <v>0</v>
      </c>
      <c r="M118" s="630">
        <f>IF('Data Export'!$D118="","", 'Project Summary'!$C$13)</f>
        <v>0</v>
      </c>
      <c r="N118" s="614" t="str">
        <f>IF('Data Export'!$D118="","", "")</f>
        <v/>
      </c>
      <c r="O118" s="614" t="str">
        <f>IF('Data Export'!$D118="","", "")</f>
        <v/>
      </c>
      <c r="P118" s="632">
        <f>IF('Data Export'!$D118="","",'Pipe Insulation'!G13)</f>
        <v>0</v>
      </c>
      <c r="Q118" s="614" t="str">
        <f>IF('Data Export'!$D118="","", "")</f>
        <v/>
      </c>
      <c r="R118" s="614" t="str">
        <f>IF('Data Export'!$D118="","", "")</f>
        <v/>
      </c>
      <c r="S118" s="614" t="str">
        <f>IF('Data Export'!$D118="","", "")</f>
        <v/>
      </c>
      <c r="T118" s="614" t="str">
        <f>IF('Data Export'!$D118="","", "")</f>
        <v/>
      </c>
      <c r="U118" s="614" t="str">
        <f>IF('Data Export'!$D118="","", "")</f>
        <v/>
      </c>
      <c r="V118" s="614" t="str">
        <f>IF('Data Export'!$D118="","", "")</f>
        <v/>
      </c>
      <c r="W118" s="614" t="str">
        <f>IF('Data Export'!$D118="","", "")</f>
        <v/>
      </c>
      <c r="X118" s="614" t="str">
        <f>IF('Data Export'!$D118="","", "")</f>
        <v/>
      </c>
      <c r="Y118" s="614" t="str">
        <f>IF('Data Export'!$D118="","", "")</f>
        <v/>
      </c>
      <c r="Z118" s="614" t="str">
        <f>IF('Data Export'!$D118="","", "")</f>
        <v/>
      </c>
      <c r="AA118" s="614" t="str">
        <f>IF('Data Export'!$D118="","", "")</f>
        <v/>
      </c>
      <c r="AB118" s="614" t="str">
        <f>IF('Data Export'!$D118="","", "")</f>
        <v/>
      </c>
      <c r="AC118" s="614" t="str">
        <f>IF('Data Export'!$D118="","", "")</f>
        <v/>
      </c>
      <c r="AD118" s="614" t="str">
        <f>IF('Data Export'!$D118="","", "")</f>
        <v/>
      </c>
      <c r="AE118" s="614" t="str">
        <f>IF('Data Export'!$D118="","", "")</f>
        <v/>
      </c>
      <c r="AF118" s="614"/>
      <c r="AG118" s="614" t="str">
        <f>IF('Data Export'!$D118="","", "")</f>
        <v/>
      </c>
      <c r="AH118" s="614" t="str">
        <f>IF('Data Export'!$D118="","", "")</f>
        <v/>
      </c>
      <c r="AI118" s="630">
        <f>IF('Data Export'!$D118="","", 'Pipe Insulation'!G13)</f>
        <v>0</v>
      </c>
      <c r="AJ118" s="614" t="str">
        <f>IF('Data Export'!$D118="","", "")</f>
        <v/>
      </c>
      <c r="AK118" s="630">
        <f>IF('Data Export'!$D118="","", 'Pipe Insulation'!H13)</f>
        <v>0</v>
      </c>
      <c r="AL118" s="614"/>
      <c r="AM118" s="644" t="str">
        <f>IF('Data Export'!$D118="","", 'Pipe Insulation'!O13)</f>
        <v/>
      </c>
      <c r="AN118" s="644" t="str">
        <f>IF('Data Export'!$D118="","", 'Pipe Insulation'!N13)</f>
        <v/>
      </c>
      <c r="AO118" s="636" t="str">
        <f>IF('Data Export'!$D118="","", IFERROR(ROUND($F118/$D118, 2), ""))</f>
        <v/>
      </c>
      <c r="AP118" s="641">
        <f>IF('Data Export'!$D118="","",'Project Summary'!$C$11)</f>
        <v>0</v>
      </c>
      <c r="AQ118" s="652">
        <f>IF('Data Export'!$D118="","", 'Look Up Tables'!$C$167)</f>
        <v>3.4600000000000001E-5</v>
      </c>
      <c r="AR118" s="652">
        <f>IF('Data Export'!$D118="","", 'Look Up Tables'!$C$166)</f>
        <v>2.7399999999999999E-5</v>
      </c>
    </row>
    <row r="119" spans="1:44" x14ac:dyDescent="0.2">
      <c r="A119" s="618" t="str">
        <f>'Pipe Insulation'!$B$3</f>
        <v>Suction Pipe Insulation For Walk In Coolers and Freezers</v>
      </c>
      <c r="B119" s="614" t="s">
        <v>321</v>
      </c>
      <c r="C119" s="614">
        <v>117</v>
      </c>
      <c r="D119" s="630">
        <f>IF('Pipe Insulation'!Q14&gt;0,'Pipe Insulation'!I14,"")</f>
        <v>0</v>
      </c>
      <c r="E119" s="630" t="str">
        <f>IF($D119="","",IF('Pipe Insulation'!G14='Look Up Tables'!$F$97,'Look Up Tables'!$AS$71,'Look Up Tables'!$AS$72))</f>
        <v>SucPipeInsulLowTemp</v>
      </c>
      <c r="F119" s="636" t="str">
        <f>IF('Data Export'!$D119="","", 'Pipe Insulation'!Q14)</f>
        <v/>
      </c>
      <c r="G119" s="641">
        <f>IF('Data Export'!D119="","", 'Project Summary'!$C$6)</f>
        <v>0</v>
      </c>
      <c r="H119" s="635" t="str">
        <f>IF('Data Export'!$D119="","",'Pipe Insulation'!L14)</f>
        <v/>
      </c>
      <c r="I119" s="633" t="str">
        <f>IF('Data Export'!$D119="","",'Pipe Insulation'!O14)</f>
        <v/>
      </c>
      <c r="J119" s="630">
        <f>IF('Data Export'!$D119="","", 'Project Summary'!$J$1)</f>
        <v>5.01</v>
      </c>
      <c r="K119" s="630">
        <f>IF('Data Export'!$D119="","",'Pipe Insulation'!D14)</f>
        <v>0</v>
      </c>
      <c r="L119" s="630">
        <f>IF('Data Export'!$D119="","",'Pipe Insulation'!E14)</f>
        <v>0</v>
      </c>
      <c r="M119" s="630">
        <f>IF('Data Export'!$D119="","", 'Project Summary'!$C$13)</f>
        <v>0</v>
      </c>
      <c r="N119" s="614" t="str">
        <f>IF('Data Export'!$D119="","", "")</f>
        <v/>
      </c>
      <c r="O119" s="614" t="str">
        <f>IF('Data Export'!$D119="","", "")</f>
        <v/>
      </c>
      <c r="P119" s="632">
        <f>IF('Data Export'!$D119="","",'Pipe Insulation'!G14)</f>
        <v>0</v>
      </c>
      <c r="Q119" s="614" t="str">
        <f>IF('Data Export'!$D119="","", "")</f>
        <v/>
      </c>
      <c r="R119" s="614" t="str">
        <f>IF('Data Export'!$D119="","", "")</f>
        <v/>
      </c>
      <c r="S119" s="614" t="str">
        <f>IF('Data Export'!$D119="","", "")</f>
        <v/>
      </c>
      <c r="T119" s="614" t="str">
        <f>IF('Data Export'!$D119="","", "")</f>
        <v/>
      </c>
      <c r="U119" s="614" t="str">
        <f>IF('Data Export'!$D119="","", "")</f>
        <v/>
      </c>
      <c r="V119" s="614" t="str">
        <f>IF('Data Export'!$D119="","", "")</f>
        <v/>
      </c>
      <c r="W119" s="614" t="str">
        <f>IF('Data Export'!$D119="","", "")</f>
        <v/>
      </c>
      <c r="X119" s="614" t="str">
        <f>IF('Data Export'!$D119="","", "")</f>
        <v/>
      </c>
      <c r="Y119" s="614" t="str">
        <f>IF('Data Export'!$D119="","", "")</f>
        <v/>
      </c>
      <c r="Z119" s="614" t="str">
        <f>IF('Data Export'!$D119="","", "")</f>
        <v/>
      </c>
      <c r="AA119" s="614" t="str">
        <f>IF('Data Export'!$D119="","", "")</f>
        <v/>
      </c>
      <c r="AB119" s="614" t="str">
        <f>IF('Data Export'!$D119="","", "")</f>
        <v/>
      </c>
      <c r="AC119" s="614" t="str">
        <f>IF('Data Export'!$D119="","", "")</f>
        <v/>
      </c>
      <c r="AD119" s="614" t="str">
        <f>IF('Data Export'!$D119="","", "")</f>
        <v/>
      </c>
      <c r="AE119" s="614" t="str">
        <f>IF('Data Export'!$D119="","", "")</f>
        <v/>
      </c>
      <c r="AF119" s="614"/>
      <c r="AG119" s="614" t="str">
        <f>IF('Data Export'!$D119="","", "")</f>
        <v/>
      </c>
      <c r="AH119" s="614" t="str">
        <f>IF('Data Export'!$D119="","", "")</f>
        <v/>
      </c>
      <c r="AI119" s="630">
        <f>IF('Data Export'!$D119="","", 'Pipe Insulation'!G14)</f>
        <v>0</v>
      </c>
      <c r="AJ119" s="614" t="str">
        <f>IF('Data Export'!$D119="","", "")</f>
        <v/>
      </c>
      <c r="AK119" s="630">
        <f>IF('Data Export'!$D119="","", 'Pipe Insulation'!H14)</f>
        <v>0</v>
      </c>
      <c r="AL119" s="614"/>
      <c r="AM119" s="644" t="str">
        <f>IF('Data Export'!$D119="","", 'Pipe Insulation'!O14)</f>
        <v/>
      </c>
      <c r="AN119" s="644" t="str">
        <f>IF('Data Export'!$D119="","", 'Pipe Insulation'!N14)</f>
        <v/>
      </c>
      <c r="AO119" s="636" t="str">
        <f>IF('Data Export'!$D119="","", IFERROR(ROUND($F119/$D119, 2), ""))</f>
        <v/>
      </c>
      <c r="AP119" s="641">
        <f>IF('Data Export'!$D119="","",'Project Summary'!$C$11)</f>
        <v>0</v>
      </c>
      <c r="AQ119" s="652">
        <f>IF('Data Export'!$D119="","", 'Look Up Tables'!$C$167)</f>
        <v>3.4600000000000001E-5</v>
      </c>
      <c r="AR119" s="652">
        <f>IF('Data Export'!$D119="","", 'Look Up Tables'!$C$166)</f>
        <v>2.7399999999999999E-5</v>
      </c>
    </row>
    <row r="120" spans="1:44" x14ac:dyDescent="0.2">
      <c r="A120" s="618" t="str">
        <f>'Pipe Insulation'!$B$3</f>
        <v>Suction Pipe Insulation For Walk In Coolers and Freezers</v>
      </c>
      <c r="B120" s="614" t="s">
        <v>321</v>
      </c>
      <c r="C120" s="614">
        <v>118</v>
      </c>
      <c r="D120" s="630">
        <f>IF('Pipe Insulation'!Q15&gt;0,'Pipe Insulation'!I15,"")</f>
        <v>0</v>
      </c>
      <c r="E120" s="630" t="str">
        <f>IF($D120="","",IF('Pipe Insulation'!G15='Look Up Tables'!$F$97,'Look Up Tables'!$AS$71,'Look Up Tables'!$AS$72))</f>
        <v>SucPipeInsulLowTemp</v>
      </c>
      <c r="F120" s="636" t="str">
        <f>IF('Data Export'!$D120="","", 'Pipe Insulation'!Q15)</f>
        <v/>
      </c>
      <c r="G120" s="641">
        <f>IF('Data Export'!D120="","", 'Project Summary'!$C$6)</f>
        <v>0</v>
      </c>
      <c r="H120" s="635" t="str">
        <f>IF('Data Export'!$D120="","",'Pipe Insulation'!L15)</f>
        <v/>
      </c>
      <c r="I120" s="633" t="str">
        <f>IF('Data Export'!$D120="","",'Pipe Insulation'!O15)</f>
        <v/>
      </c>
      <c r="J120" s="630">
        <f>IF('Data Export'!$D120="","", 'Project Summary'!$J$1)</f>
        <v>5.01</v>
      </c>
      <c r="K120" s="630">
        <f>IF('Data Export'!$D120="","",'Pipe Insulation'!D15)</f>
        <v>0</v>
      </c>
      <c r="L120" s="630">
        <f>IF('Data Export'!$D120="","",'Pipe Insulation'!E15)</f>
        <v>0</v>
      </c>
      <c r="M120" s="630">
        <f>IF('Data Export'!$D120="","", 'Project Summary'!$C$13)</f>
        <v>0</v>
      </c>
      <c r="N120" s="614" t="str">
        <f>IF('Data Export'!$D120="","", "")</f>
        <v/>
      </c>
      <c r="O120" s="614" t="str">
        <f>IF('Data Export'!$D120="","", "")</f>
        <v/>
      </c>
      <c r="P120" s="632">
        <f>IF('Data Export'!$D120="","",'Pipe Insulation'!G15)</f>
        <v>0</v>
      </c>
      <c r="Q120" s="614" t="str">
        <f>IF('Data Export'!$D120="","", "")</f>
        <v/>
      </c>
      <c r="R120" s="614" t="str">
        <f>IF('Data Export'!$D120="","", "")</f>
        <v/>
      </c>
      <c r="S120" s="614" t="str">
        <f>IF('Data Export'!$D120="","", "")</f>
        <v/>
      </c>
      <c r="T120" s="614" t="str">
        <f>IF('Data Export'!$D120="","", "")</f>
        <v/>
      </c>
      <c r="U120" s="614" t="str">
        <f>IF('Data Export'!$D120="","", "")</f>
        <v/>
      </c>
      <c r="V120" s="614" t="str">
        <f>IF('Data Export'!$D120="","", "")</f>
        <v/>
      </c>
      <c r="W120" s="614" t="str">
        <f>IF('Data Export'!$D120="","", "")</f>
        <v/>
      </c>
      <c r="X120" s="614" t="str">
        <f>IF('Data Export'!$D120="","", "")</f>
        <v/>
      </c>
      <c r="Y120" s="614" t="str">
        <f>IF('Data Export'!$D120="","", "")</f>
        <v/>
      </c>
      <c r="Z120" s="614" t="str">
        <f>IF('Data Export'!$D120="","", "")</f>
        <v/>
      </c>
      <c r="AA120" s="614" t="str">
        <f>IF('Data Export'!$D120="","", "")</f>
        <v/>
      </c>
      <c r="AB120" s="614" t="str">
        <f>IF('Data Export'!$D120="","", "")</f>
        <v/>
      </c>
      <c r="AC120" s="614" t="str">
        <f>IF('Data Export'!$D120="","", "")</f>
        <v/>
      </c>
      <c r="AD120" s="614" t="str">
        <f>IF('Data Export'!$D120="","", "")</f>
        <v/>
      </c>
      <c r="AE120" s="614" t="str">
        <f>IF('Data Export'!$D120="","", "")</f>
        <v/>
      </c>
      <c r="AF120" s="614"/>
      <c r="AG120" s="614" t="str">
        <f>IF('Data Export'!$D120="","", "")</f>
        <v/>
      </c>
      <c r="AH120" s="614" t="str">
        <f>IF('Data Export'!$D120="","", "")</f>
        <v/>
      </c>
      <c r="AI120" s="630">
        <f>IF('Data Export'!$D120="","", 'Pipe Insulation'!G15)</f>
        <v>0</v>
      </c>
      <c r="AJ120" s="614" t="str">
        <f>IF('Data Export'!$D120="","", "")</f>
        <v/>
      </c>
      <c r="AK120" s="630">
        <f>IF('Data Export'!$D120="","", 'Pipe Insulation'!H15)</f>
        <v>0</v>
      </c>
      <c r="AL120" s="614"/>
      <c r="AM120" s="644" t="str">
        <f>IF('Data Export'!$D120="","", 'Pipe Insulation'!O15)</f>
        <v/>
      </c>
      <c r="AN120" s="644" t="str">
        <f>IF('Data Export'!$D120="","", 'Pipe Insulation'!N15)</f>
        <v/>
      </c>
      <c r="AO120" s="636" t="str">
        <f>IF('Data Export'!$D120="","", IFERROR(ROUND($F120/$D120, 2), ""))</f>
        <v/>
      </c>
      <c r="AP120" s="641">
        <f>IF('Data Export'!$D120="","",'Project Summary'!$C$11)</f>
        <v>0</v>
      </c>
      <c r="AQ120" s="652">
        <f>IF('Data Export'!$D120="","", 'Look Up Tables'!$C$167)</f>
        <v>3.4600000000000001E-5</v>
      </c>
      <c r="AR120" s="652">
        <f>IF('Data Export'!$D120="","", 'Look Up Tables'!$C$166)</f>
        <v>2.7399999999999999E-5</v>
      </c>
    </row>
    <row r="121" spans="1:44" x14ac:dyDescent="0.2">
      <c r="A121" s="618" t="str">
        <f>'Pipe Insulation'!$B$3</f>
        <v>Suction Pipe Insulation For Walk In Coolers and Freezers</v>
      </c>
      <c r="B121" s="614" t="s">
        <v>321</v>
      </c>
      <c r="C121" s="614">
        <v>119</v>
      </c>
      <c r="D121" s="630">
        <f>IF('Pipe Insulation'!Q16&gt;0,'Pipe Insulation'!I16,"")</f>
        <v>0</v>
      </c>
      <c r="E121" s="630" t="str">
        <f>IF($D121="","",IF('Pipe Insulation'!G16='Look Up Tables'!$F$97,'Look Up Tables'!$AS$71,'Look Up Tables'!$AS$72))</f>
        <v>SucPipeInsulLowTemp</v>
      </c>
      <c r="F121" s="636" t="str">
        <f>IF('Data Export'!$D121="","", 'Pipe Insulation'!Q16)</f>
        <v/>
      </c>
      <c r="G121" s="641">
        <f>IF('Data Export'!D121="","", 'Project Summary'!$C$6)</f>
        <v>0</v>
      </c>
      <c r="H121" s="635" t="str">
        <f>IF('Data Export'!$D121="","",'Pipe Insulation'!L16)</f>
        <v/>
      </c>
      <c r="I121" s="633" t="str">
        <f>IF('Data Export'!$D121="","",'Pipe Insulation'!O16)</f>
        <v/>
      </c>
      <c r="J121" s="630">
        <f>IF('Data Export'!$D121="","", 'Project Summary'!$J$1)</f>
        <v>5.01</v>
      </c>
      <c r="K121" s="630">
        <f>IF('Data Export'!$D121="","",'Pipe Insulation'!D16)</f>
        <v>0</v>
      </c>
      <c r="L121" s="630">
        <f>IF('Data Export'!$D121="","",'Pipe Insulation'!E16)</f>
        <v>0</v>
      </c>
      <c r="M121" s="630">
        <f>IF('Data Export'!$D121="","", 'Project Summary'!$C$13)</f>
        <v>0</v>
      </c>
      <c r="N121" s="614" t="str">
        <f>IF('Data Export'!$D121="","", "")</f>
        <v/>
      </c>
      <c r="O121" s="614" t="str">
        <f>IF('Data Export'!$D121="","", "")</f>
        <v/>
      </c>
      <c r="P121" s="632">
        <f>IF('Data Export'!$D121="","",'Pipe Insulation'!G16)</f>
        <v>0</v>
      </c>
      <c r="Q121" s="614" t="str">
        <f>IF('Data Export'!$D121="","", "")</f>
        <v/>
      </c>
      <c r="R121" s="614" t="str">
        <f>IF('Data Export'!$D121="","", "")</f>
        <v/>
      </c>
      <c r="S121" s="614" t="str">
        <f>IF('Data Export'!$D121="","", "")</f>
        <v/>
      </c>
      <c r="T121" s="614" t="str">
        <f>IF('Data Export'!$D121="","", "")</f>
        <v/>
      </c>
      <c r="U121" s="614" t="str">
        <f>IF('Data Export'!$D121="","", "")</f>
        <v/>
      </c>
      <c r="V121" s="614" t="str">
        <f>IF('Data Export'!$D121="","", "")</f>
        <v/>
      </c>
      <c r="W121" s="614" t="str">
        <f>IF('Data Export'!$D121="","", "")</f>
        <v/>
      </c>
      <c r="X121" s="614" t="str">
        <f>IF('Data Export'!$D121="","", "")</f>
        <v/>
      </c>
      <c r="Y121" s="614" t="str">
        <f>IF('Data Export'!$D121="","", "")</f>
        <v/>
      </c>
      <c r="Z121" s="614" t="str">
        <f>IF('Data Export'!$D121="","", "")</f>
        <v/>
      </c>
      <c r="AA121" s="614" t="str">
        <f>IF('Data Export'!$D121="","", "")</f>
        <v/>
      </c>
      <c r="AB121" s="614" t="str">
        <f>IF('Data Export'!$D121="","", "")</f>
        <v/>
      </c>
      <c r="AC121" s="614" t="str">
        <f>IF('Data Export'!$D121="","", "")</f>
        <v/>
      </c>
      <c r="AD121" s="614" t="str">
        <f>IF('Data Export'!$D121="","", "")</f>
        <v/>
      </c>
      <c r="AE121" s="614" t="str">
        <f>IF('Data Export'!$D121="","", "")</f>
        <v/>
      </c>
      <c r="AF121" s="614"/>
      <c r="AG121" s="614" t="str">
        <f>IF('Data Export'!$D121="","", "")</f>
        <v/>
      </c>
      <c r="AH121" s="614" t="str">
        <f>IF('Data Export'!$D121="","", "")</f>
        <v/>
      </c>
      <c r="AI121" s="630">
        <f>IF('Data Export'!$D121="","", 'Pipe Insulation'!G16)</f>
        <v>0</v>
      </c>
      <c r="AJ121" s="614" t="str">
        <f>IF('Data Export'!$D121="","", "")</f>
        <v/>
      </c>
      <c r="AK121" s="630">
        <f>IF('Data Export'!$D121="","", 'Pipe Insulation'!H16)</f>
        <v>0</v>
      </c>
      <c r="AL121" s="614"/>
      <c r="AM121" s="644" t="str">
        <f>IF('Data Export'!$D121="","", 'Pipe Insulation'!O16)</f>
        <v/>
      </c>
      <c r="AN121" s="644" t="str">
        <f>IF('Data Export'!$D121="","", 'Pipe Insulation'!N16)</f>
        <v/>
      </c>
      <c r="AO121" s="636" t="str">
        <f>IF('Data Export'!$D121="","", IFERROR(ROUND($F121/$D121, 2), ""))</f>
        <v/>
      </c>
      <c r="AP121" s="641">
        <f>IF('Data Export'!$D121="","",'Project Summary'!$C$11)</f>
        <v>0</v>
      </c>
      <c r="AQ121" s="652">
        <f>IF('Data Export'!$D121="","", 'Look Up Tables'!$C$167)</f>
        <v>3.4600000000000001E-5</v>
      </c>
      <c r="AR121" s="652">
        <f>IF('Data Export'!$D121="","", 'Look Up Tables'!$C$166)</f>
        <v>2.7399999999999999E-5</v>
      </c>
    </row>
    <row r="122" spans="1:44" ht="15" thickBot="1" x14ac:dyDescent="0.25">
      <c r="A122" s="625" t="str">
        <f>'Pipe Insulation'!$B$3</f>
        <v>Suction Pipe Insulation For Walk In Coolers and Freezers</v>
      </c>
      <c r="B122" s="626" t="s">
        <v>321</v>
      </c>
      <c r="C122" s="626">
        <v>120</v>
      </c>
      <c r="D122" s="631">
        <f>IF('Pipe Insulation'!Q17&gt;0,'Pipe Insulation'!I17,"")</f>
        <v>0</v>
      </c>
      <c r="E122" s="631" t="str">
        <f>IF($D122="","",IF('Pipe Insulation'!G17='Look Up Tables'!$F$97,'Look Up Tables'!$AS$71,'Look Up Tables'!$AS$72))</f>
        <v>SucPipeInsulLowTemp</v>
      </c>
      <c r="F122" s="638" t="str">
        <f>IF('Data Export'!$D122="","", 'Pipe Insulation'!Q17)</f>
        <v/>
      </c>
      <c r="G122" s="642">
        <f>IF('Data Export'!D122="","", 'Project Summary'!$C$6)</f>
        <v>0</v>
      </c>
      <c r="H122" s="639" t="str">
        <f>IF('Data Export'!$D122="","",'Pipe Insulation'!L17)</f>
        <v/>
      </c>
      <c r="I122" s="634" t="str">
        <f>IF('Data Export'!$D122="","",'Pipe Insulation'!O17)</f>
        <v/>
      </c>
      <c r="J122" s="631">
        <f>IF('Data Export'!$D122="","", 'Project Summary'!$J$1)</f>
        <v>5.01</v>
      </c>
      <c r="K122" s="631">
        <f>IF('Data Export'!$D122="","",'Pipe Insulation'!D17)</f>
        <v>0</v>
      </c>
      <c r="L122" s="631">
        <f>IF('Data Export'!$D122="","",'Pipe Insulation'!E17)</f>
        <v>0</v>
      </c>
      <c r="M122" s="631">
        <f>IF('Data Export'!$D122="","", 'Project Summary'!$C$13)</f>
        <v>0</v>
      </c>
      <c r="N122" s="626" t="str">
        <f>IF('Data Export'!$D122="","", "")</f>
        <v/>
      </c>
      <c r="O122" s="626" t="str">
        <f>IF('Data Export'!$D122="","", "")</f>
        <v/>
      </c>
      <c r="P122" s="646">
        <f>IF('Data Export'!$D122="","",'Pipe Insulation'!G17)</f>
        <v>0</v>
      </c>
      <c r="Q122" s="626" t="str">
        <f>IF('Data Export'!$D122="","", "")</f>
        <v/>
      </c>
      <c r="R122" s="626" t="str">
        <f>IF('Data Export'!$D122="","", "")</f>
        <v/>
      </c>
      <c r="S122" s="626" t="str">
        <f>IF('Data Export'!$D122="","", "")</f>
        <v/>
      </c>
      <c r="T122" s="626" t="str">
        <f>IF('Data Export'!$D122="","", "")</f>
        <v/>
      </c>
      <c r="U122" s="626" t="str">
        <f>IF('Data Export'!$D122="","", "")</f>
        <v/>
      </c>
      <c r="V122" s="626" t="str">
        <f>IF('Data Export'!$D122="","", "")</f>
        <v/>
      </c>
      <c r="W122" s="626" t="str">
        <f>IF('Data Export'!$D122="","", "")</f>
        <v/>
      </c>
      <c r="X122" s="626" t="str">
        <f>IF('Data Export'!$D122="","", "")</f>
        <v/>
      </c>
      <c r="Y122" s="626" t="str">
        <f>IF('Data Export'!$D122="","", "")</f>
        <v/>
      </c>
      <c r="Z122" s="626" t="str">
        <f>IF('Data Export'!$D122="","", "")</f>
        <v/>
      </c>
      <c r="AA122" s="626" t="str">
        <f>IF('Data Export'!$D122="","", "")</f>
        <v/>
      </c>
      <c r="AB122" s="626" t="str">
        <f>IF('Data Export'!$D122="","", "")</f>
        <v/>
      </c>
      <c r="AC122" s="626" t="str">
        <f>IF('Data Export'!$D122="","", "")</f>
        <v/>
      </c>
      <c r="AD122" s="626" t="str">
        <f>IF('Data Export'!$D122="","", "")</f>
        <v/>
      </c>
      <c r="AE122" s="626" t="str">
        <f>IF('Data Export'!$D122="","", "")</f>
        <v/>
      </c>
      <c r="AF122" s="626"/>
      <c r="AG122" s="626" t="str">
        <f>IF('Data Export'!$D122="","", "")</f>
        <v/>
      </c>
      <c r="AH122" s="626" t="str">
        <f>IF('Data Export'!$D122="","", "")</f>
        <v/>
      </c>
      <c r="AI122" s="631">
        <f>IF('Data Export'!$D122="","", 'Pipe Insulation'!G17)</f>
        <v>0</v>
      </c>
      <c r="AJ122" s="626" t="str">
        <f>IF('Data Export'!$D122="","", "")</f>
        <v/>
      </c>
      <c r="AK122" s="631">
        <f>IF('Data Export'!$D122="","", 'Pipe Insulation'!H17)</f>
        <v>0</v>
      </c>
      <c r="AL122" s="626"/>
      <c r="AM122" s="659" t="str">
        <f>IF('Data Export'!$D122="","", 'Pipe Insulation'!O17)</f>
        <v/>
      </c>
      <c r="AN122" s="659" t="str">
        <f>IF('Data Export'!$D122="","", 'Pipe Insulation'!N17)</f>
        <v/>
      </c>
      <c r="AO122" s="638" t="str">
        <f>IF('Data Export'!$D122="","", IFERROR(ROUND($F122/$D122, 2), ""))</f>
        <v/>
      </c>
      <c r="AP122" s="642">
        <f>IF('Data Export'!$D122="","",'Project Summary'!$C$11)</f>
        <v>0</v>
      </c>
      <c r="AQ122" s="654">
        <f>IF('Data Export'!$D122="","", 'Look Up Tables'!$C$167)</f>
        <v>3.4600000000000001E-5</v>
      </c>
      <c r="AR122" s="654">
        <f>IF('Data Export'!$D122="","", 'Look Up Tables'!$C$166)</f>
        <v>2.7399999999999999E-5</v>
      </c>
    </row>
    <row r="123" spans="1:44" ht="15" thickTop="1" x14ac:dyDescent="0.2">
      <c r="A123" s="620" t="str">
        <f>'Adding Doors'!$B$3</f>
        <v>Adding Doors to Existing Refrigerated Display Cases</v>
      </c>
      <c r="B123" s="621" t="s">
        <v>48</v>
      </c>
      <c r="C123" s="621">
        <v>121</v>
      </c>
      <c r="D123" s="632">
        <f>IF('Adding Doors'!AC8&gt;0,'Adding Doors'!I8,"")</f>
        <v>0</v>
      </c>
      <c r="E123" s="632" t="str">
        <f>IF($D123="","",'Look Up Tables'!$AS$73)</f>
        <v>CaseDoor</v>
      </c>
      <c r="F123" s="637" t="str">
        <f>IF('Data Export'!$D123="","",'Adding Doors'!AC8)</f>
        <v/>
      </c>
      <c r="G123" s="643">
        <f>IF('Data Export'!D123="","", 'Project Summary'!$C$6)</f>
        <v>0</v>
      </c>
      <c r="H123" s="640" t="str">
        <f>IF('Data Export'!$D123="","",'Adding Doors'!X8)</f>
        <v/>
      </c>
      <c r="I123" s="658" t="str">
        <f>IF('Data Export'!$D123="","",'Adding Doors'!Y8)</f>
        <v/>
      </c>
      <c r="J123" s="632">
        <f>IF('Data Export'!$D123="","", 'Project Summary'!$J$1)</f>
        <v>5.01</v>
      </c>
      <c r="K123" s="632">
        <f>IF('Data Export'!$D123="","",'Adding Doors'!D8)</f>
        <v>0</v>
      </c>
      <c r="L123" s="632">
        <f>IF('Data Export'!$D123="","",'Adding Doors'!E8)</f>
        <v>0</v>
      </c>
      <c r="M123" s="632">
        <f>IF('Data Export'!$D123="","", 'Project Summary'!$C$13)</f>
        <v>0</v>
      </c>
      <c r="N123" s="621" t="str">
        <f>IF('Data Export'!$D123="","", "")</f>
        <v/>
      </c>
      <c r="O123" s="621" t="str">
        <f>IF('Data Export'!$D123="","", "")</f>
        <v/>
      </c>
      <c r="P123" s="621" t="str">
        <f>IF('Data Export'!$D123="","", "")</f>
        <v/>
      </c>
      <c r="Q123" s="621" t="str">
        <f>IF('Data Export'!$D123="","", "")</f>
        <v/>
      </c>
      <c r="R123" s="621" t="str">
        <f>IF('Data Export'!$D123="","", "")</f>
        <v/>
      </c>
      <c r="S123" s="621" t="str">
        <f>IF('Data Export'!$D123="","", "")</f>
        <v/>
      </c>
      <c r="T123" s="621" t="str">
        <f>IF('Data Export'!$D123="","", "")</f>
        <v/>
      </c>
      <c r="U123" s="621" t="str">
        <f>IF('Data Export'!$D123="","", "")</f>
        <v/>
      </c>
      <c r="V123" s="621" t="str">
        <f>IF('Data Export'!$D123="","", "")</f>
        <v/>
      </c>
      <c r="W123" s="621" t="str">
        <f>IF('Data Export'!$D123="","", "")</f>
        <v/>
      </c>
      <c r="X123" s="621" t="str">
        <f>IF('Data Export'!$D123="","", "")</f>
        <v/>
      </c>
      <c r="Y123" s="621" t="str">
        <f>IF('Data Export'!$D123="","", "")</f>
        <v/>
      </c>
      <c r="Z123" s="621" t="str">
        <f>IF('Data Export'!$D123="","", "")</f>
        <v/>
      </c>
      <c r="AA123" s="621"/>
      <c r="AB123" s="621" t="str">
        <f>IF('Data Export'!$D123="","", "")</f>
        <v/>
      </c>
      <c r="AC123" s="621" t="str">
        <f>IF('Data Export'!$D123="","", "")</f>
        <v/>
      </c>
      <c r="AD123" s="621" t="str">
        <f>IF('Data Export'!$D123="","", "")</f>
        <v/>
      </c>
      <c r="AE123" s="621" t="str">
        <f>IF('Data Export'!$D123="","", "")</f>
        <v/>
      </c>
      <c r="AF123" s="621" t="str">
        <f>IF('Data Export'!$D123="","", "")</f>
        <v/>
      </c>
      <c r="AG123" s="621" t="str">
        <f>IF('Data Export'!$D123="","", "")</f>
        <v/>
      </c>
      <c r="AH123" s="621" t="str">
        <f>IF('Data Export'!$D123="","", "")</f>
        <v/>
      </c>
      <c r="AI123" s="621" t="str">
        <f>IF('Data Export'!$D123="","", "")</f>
        <v/>
      </c>
      <c r="AJ123" s="645">
        <f>IF('Data Export'!$D123="","", 'Adding Doors'!H8)</f>
        <v>0</v>
      </c>
      <c r="AK123" s="621" t="str">
        <f>IF('Data Export'!$D123="","", "")</f>
        <v/>
      </c>
      <c r="AL123" s="621"/>
      <c r="AM123" s="658" t="str">
        <f>IF('Data Export'!$D123="","", 'Adding Doors'!AA8)</f>
        <v/>
      </c>
      <c r="AN123" s="658" t="str">
        <f>IF('Data Export'!$D123="","", 'Adding Doors'!Z8)</f>
        <v/>
      </c>
      <c r="AO123" s="637" t="str">
        <f>IF('Data Export'!$D123="","", IFERROR(ROUND($F123/$D123, 2), ""))</f>
        <v/>
      </c>
      <c r="AP123" s="643">
        <f>IF('Data Export'!$D123="","",'Project Summary'!$C$11)</f>
        <v>0</v>
      </c>
      <c r="AQ123" s="621"/>
      <c r="AR123" s="621"/>
    </row>
    <row r="124" spans="1:44" x14ac:dyDescent="0.2">
      <c r="A124" s="618" t="str">
        <f>'Adding Doors'!$B$3</f>
        <v>Adding Doors to Existing Refrigerated Display Cases</v>
      </c>
      <c r="B124" s="614" t="s">
        <v>48</v>
      </c>
      <c r="C124" s="614">
        <v>122</v>
      </c>
      <c r="D124" s="630">
        <f>IF('Adding Doors'!AC9&gt;0,'Adding Doors'!I9,"")</f>
        <v>0</v>
      </c>
      <c r="E124" s="630" t="str">
        <f>IF($D124="","",'Look Up Tables'!$AS$73)</f>
        <v>CaseDoor</v>
      </c>
      <c r="F124" s="636" t="str">
        <f>IF('Data Export'!$D124="","",'Adding Doors'!AC9)</f>
        <v/>
      </c>
      <c r="G124" s="641">
        <f>IF('Data Export'!D124="","", 'Project Summary'!$C$6)</f>
        <v>0</v>
      </c>
      <c r="H124" s="635" t="str">
        <f>IF('Data Export'!$D124="","",'Adding Doors'!X9)</f>
        <v/>
      </c>
      <c r="I124" s="644" t="str">
        <f>IF('Data Export'!$D124="","",'Adding Doors'!Y9)</f>
        <v/>
      </c>
      <c r="J124" s="630">
        <f>IF('Data Export'!$D124="","", 'Project Summary'!$J$1)</f>
        <v>5.01</v>
      </c>
      <c r="K124" s="630">
        <f>IF('Data Export'!$D124="","",'Adding Doors'!D9)</f>
        <v>0</v>
      </c>
      <c r="L124" s="630">
        <f>IF('Data Export'!$D124="","",'Adding Doors'!E9)</f>
        <v>0</v>
      </c>
      <c r="M124" s="630">
        <f>IF('Data Export'!$D124="","", 'Project Summary'!$C$13)</f>
        <v>0</v>
      </c>
      <c r="N124" s="614" t="str">
        <f>IF('Data Export'!$D124="","", "")</f>
        <v/>
      </c>
      <c r="O124" s="614" t="str">
        <f>IF('Data Export'!$D124="","", "")</f>
        <v/>
      </c>
      <c r="P124" s="614" t="str">
        <f>IF('Data Export'!$D124="","", "")</f>
        <v/>
      </c>
      <c r="Q124" s="614" t="str">
        <f>IF('Data Export'!$D124="","", "")</f>
        <v/>
      </c>
      <c r="R124" s="614" t="str">
        <f>IF('Data Export'!$D124="","", "")</f>
        <v/>
      </c>
      <c r="S124" s="614" t="str">
        <f>IF('Data Export'!$D124="","", "")</f>
        <v/>
      </c>
      <c r="T124" s="614" t="str">
        <f>IF('Data Export'!$D124="","", "")</f>
        <v/>
      </c>
      <c r="U124" s="614" t="str">
        <f>IF('Data Export'!$D124="","", "")</f>
        <v/>
      </c>
      <c r="V124" s="614" t="str">
        <f>IF('Data Export'!$D124="","", "")</f>
        <v/>
      </c>
      <c r="W124" s="614" t="str">
        <f>IF('Data Export'!$D124="","", "")</f>
        <v/>
      </c>
      <c r="X124" s="614" t="str">
        <f>IF('Data Export'!$D124="","", "")</f>
        <v/>
      </c>
      <c r="Y124" s="614" t="str">
        <f>IF('Data Export'!$D124="","", "")</f>
        <v/>
      </c>
      <c r="Z124" s="614" t="str">
        <f>IF('Data Export'!$D124="","", "")</f>
        <v/>
      </c>
      <c r="AA124" s="614"/>
      <c r="AB124" s="614" t="str">
        <f>IF('Data Export'!$D124="","", "")</f>
        <v/>
      </c>
      <c r="AC124" s="614" t="str">
        <f>IF('Data Export'!$D124="","", "")</f>
        <v/>
      </c>
      <c r="AD124" s="614" t="str">
        <f>IF('Data Export'!$D124="","", "")</f>
        <v/>
      </c>
      <c r="AE124" s="614" t="str">
        <f>IF('Data Export'!$D124="","", "")</f>
        <v/>
      </c>
      <c r="AF124" s="614" t="str">
        <f>IF('Data Export'!$D124="","", "")</f>
        <v/>
      </c>
      <c r="AG124" s="614" t="str">
        <f>IF('Data Export'!$D124="","", "")</f>
        <v/>
      </c>
      <c r="AH124" s="614" t="str">
        <f>IF('Data Export'!$D124="","", "")</f>
        <v/>
      </c>
      <c r="AI124" s="614" t="str">
        <f>IF('Data Export'!$D124="","", "")</f>
        <v/>
      </c>
      <c r="AJ124" s="632">
        <f>IF('Data Export'!$D124="","", 'Adding Doors'!H9)</f>
        <v>0</v>
      </c>
      <c r="AK124" s="614" t="str">
        <f>IF('Data Export'!$D124="","", "")</f>
        <v/>
      </c>
      <c r="AL124" s="614"/>
      <c r="AM124" s="644" t="str">
        <f>IF('Data Export'!$D124="","", 'Adding Doors'!AA9)</f>
        <v/>
      </c>
      <c r="AN124" s="644" t="str">
        <f>IF('Data Export'!$D124="","", 'Adding Doors'!Z9)</f>
        <v/>
      </c>
      <c r="AO124" s="636" t="str">
        <f>IF('Data Export'!$D124="","", IFERROR(ROUND($F124/$D124, 2), ""))</f>
        <v/>
      </c>
      <c r="AP124" s="641">
        <f>IF('Data Export'!$D124="","",'Project Summary'!$C$11)</f>
        <v>0</v>
      </c>
      <c r="AQ124" s="614"/>
      <c r="AR124" s="614"/>
    </row>
    <row r="125" spans="1:44" x14ac:dyDescent="0.2">
      <c r="A125" s="618" t="str">
        <f>'Adding Doors'!$B$3</f>
        <v>Adding Doors to Existing Refrigerated Display Cases</v>
      </c>
      <c r="B125" s="614" t="s">
        <v>48</v>
      </c>
      <c r="C125" s="614">
        <v>123</v>
      </c>
      <c r="D125" s="630">
        <f>IF('Adding Doors'!AC10&gt;0,'Adding Doors'!I10,"")</f>
        <v>0</v>
      </c>
      <c r="E125" s="630" t="str">
        <f>IF($D125="","",'Look Up Tables'!$AS$73)</f>
        <v>CaseDoor</v>
      </c>
      <c r="F125" s="636" t="str">
        <f>IF('Data Export'!$D125="","",'Adding Doors'!AC10)</f>
        <v/>
      </c>
      <c r="G125" s="641">
        <f>IF('Data Export'!D125="","", 'Project Summary'!$C$6)</f>
        <v>0</v>
      </c>
      <c r="H125" s="635" t="str">
        <f>IF('Data Export'!$D125="","",'Adding Doors'!X10)</f>
        <v/>
      </c>
      <c r="I125" s="644" t="str">
        <f>IF('Data Export'!$D125="","",'Adding Doors'!Y10)</f>
        <v/>
      </c>
      <c r="J125" s="630">
        <f>IF('Data Export'!$D125="","", 'Project Summary'!$J$1)</f>
        <v>5.01</v>
      </c>
      <c r="K125" s="630">
        <f>IF('Data Export'!$D125="","",'Adding Doors'!D10)</f>
        <v>0</v>
      </c>
      <c r="L125" s="630">
        <f>IF('Data Export'!$D125="","",'Adding Doors'!E10)</f>
        <v>0</v>
      </c>
      <c r="M125" s="630">
        <f>IF('Data Export'!$D125="","", 'Project Summary'!$C$13)</f>
        <v>0</v>
      </c>
      <c r="N125" s="614" t="str">
        <f>IF('Data Export'!$D125="","", "")</f>
        <v/>
      </c>
      <c r="O125" s="614" t="str">
        <f>IF('Data Export'!$D125="","", "")</f>
        <v/>
      </c>
      <c r="P125" s="614" t="str">
        <f>IF('Data Export'!$D125="","", "")</f>
        <v/>
      </c>
      <c r="Q125" s="614" t="str">
        <f>IF('Data Export'!$D125="","", "")</f>
        <v/>
      </c>
      <c r="R125" s="614" t="str">
        <f>IF('Data Export'!$D125="","", "")</f>
        <v/>
      </c>
      <c r="S125" s="614" t="str">
        <f>IF('Data Export'!$D125="","", "")</f>
        <v/>
      </c>
      <c r="T125" s="614" t="str">
        <f>IF('Data Export'!$D125="","", "")</f>
        <v/>
      </c>
      <c r="U125" s="614" t="str">
        <f>IF('Data Export'!$D125="","", "")</f>
        <v/>
      </c>
      <c r="V125" s="614" t="str">
        <f>IF('Data Export'!$D125="","", "")</f>
        <v/>
      </c>
      <c r="W125" s="614" t="str">
        <f>IF('Data Export'!$D125="","", "")</f>
        <v/>
      </c>
      <c r="X125" s="614" t="str">
        <f>IF('Data Export'!$D125="","", "")</f>
        <v/>
      </c>
      <c r="Y125" s="614" t="str">
        <f>IF('Data Export'!$D125="","", "")</f>
        <v/>
      </c>
      <c r="Z125" s="614" t="str">
        <f>IF('Data Export'!$D125="","", "")</f>
        <v/>
      </c>
      <c r="AA125" s="614"/>
      <c r="AB125" s="614" t="str">
        <f>IF('Data Export'!$D125="","", "")</f>
        <v/>
      </c>
      <c r="AC125" s="614" t="str">
        <f>IF('Data Export'!$D125="","", "")</f>
        <v/>
      </c>
      <c r="AD125" s="614" t="str">
        <f>IF('Data Export'!$D125="","", "")</f>
        <v/>
      </c>
      <c r="AE125" s="614" t="str">
        <f>IF('Data Export'!$D125="","", "")</f>
        <v/>
      </c>
      <c r="AF125" s="614" t="str">
        <f>IF('Data Export'!$D125="","", "")</f>
        <v/>
      </c>
      <c r="AG125" s="614" t="str">
        <f>IF('Data Export'!$D125="","", "")</f>
        <v/>
      </c>
      <c r="AH125" s="614" t="str">
        <f>IF('Data Export'!$D125="","", "")</f>
        <v/>
      </c>
      <c r="AI125" s="614" t="str">
        <f>IF('Data Export'!$D125="","", "")</f>
        <v/>
      </c>
      <c r="AJ125" s="632">
        <f>IF('Data Export'!$D125="","", 'Adding Doors'!H10)</f>
        <v>0</v>
      </c>
      <c r="AK125" s="614" t="str">
        <f>IF('Data Export'!$D125="","", "")</f>
        <v/>
      </c>
      <c r="AL125" s="614"/>
      <c r="AM125" s="644" t="str">
        <f>IF('Data Export'!$D125="","", 'Adding Doors'!AA10)</f>
        <v/>
      </c>
      <c r="AN125" s="644" t="str">
        <f>IF('Data Export'!$D125="","", 'Adding Doors'!Z10)</f>
        <v/>
      </c>
      <c r="AO125" s="636" t="str">
        <f>IF('Data Export'!$D125="","", IFERROR(ROUND($F125/$D125, 2), ""))</f>
        <v/>
      </c>
      <c r="AP125" s="641">
        <f>IF('Data Export'!$D125="","",'Project Summary'!$C$11)</f>
        <v>0</v>
      </c>
      <c r="AQ125" s="614"/>
      <c r="AR125" s="614"/>
    </row>
    <row r="126" spans="1:44" x14ac:dyDescent="0.2">
      <c r="A126" s="618" t="str">
        <f>'Adding Doors'!$B$3</f>
        <v>Adding Doors to Existing Refrigerated Display Cases</v>
      </c>
      <c r="B126" s="614" t="s">
        <v>48</v>
      </c>
      <c r="C126" s="614">
        <v>124</v>
      </c>
      <c r="D126" s="630">
        <f>IF('Adding Doors'!AC11&gt;0,'Adding Doors'!I11,"")</f>
        <v>0</v>
      </c>
      <c r="E126" s="630" t="str">
        <f>IF($D126="","",'Look Up Tables'!$AS$73)</f>
        <v>CaseDoor</v>
      </c>
      <c r="F126" s="636" t="str">
        <f>IF('Data Export'!$D126="","",'Adding Doors'!AC11)</f>
        <v/>
      </c>
      <c r="G126" s="641">
        <f>IF('Data Export'!D126="","", 'Project Summary'!$C$6)</f>
        <v>0</v>
      </c>
      <c r="H126" s="635" t="str">
        <f>IF('Data Export'!$D126="","",'Adding Doors'!X11)</f>
        <v/>
      </c>
      <c r="I126" s="644" t="str">
        <f>IF('Data Export'!$D126="","",'Adding Doors'!Y11)</f>
        <v/>
      </c>
      <c r="J126" s="630">
        <f>IF('Data Export'!$D126="","", 'Project Summary'!$J$1)</f>
        <v>5.01</v>
      </c>
      <c r="K126" s="630">
        <f>IF('Data Export'!$D126="","",'Adding Doors'!D11)</f>
        <v>0</v>
      </c>
      <c r="L126" s="630">
        <f>IF('Data Export'!$D126="","",'Adding Doors'!E11)</f>
        <v>0</v>
      </c>
      <c r="M126" s="630">
        <f>IF('Data Export'!$D126="","", 'Project Summary'!$C$13)</f>
        <v>0</v>
      </c>
      <c r="N126" s="614" t="str">
        <f>IF('Data Export'!$D126="","", "")</f>
        <v/>
      </c>
      <c r="O126" s="614" t="str">
        <f>IF('Data Export'!$D126="","", "")</f>
        <v/>
      </c>
      <c r="P126" s="614" t="str">
        <f>IF('Data Export'!$D126="","", "")</f>
        <v/>
      </c>
      <c r="Q126" s="614" t="str">
        <f>IF('Data Export'!$D126="","", "")</f>
        <v/>
      </c>
      <c r="R126" s="614" t="str">
        <f>IF('Data Export'!$D126="","", "")</f>
        <v/>
      </c>
      <c r="S126" s="614" t="str">
        <f>IF('Data Export'!$D126="","", "")</f>
        <v/>
      </c>
      <c r="T126" s="614" t="str">
        <f>IF('Data Export'!$D126="","", "")</f>
        <v/>
      </c>
      <c r="U126" s="614" t="str">
        <f>IF('Data Export'!$D126="","", "")</f>
        <v/>
      </c>
      <c r="V126" s="614" t="str">
        <f>IF('Data Export'!$D126="","", "")</f>
        <v/>
      </c>
      <c r="W126" s="614" t="str">
        <f>IF('Data Export'!$D126="","", "")</f>
        <v/>
      </c>
      <c r="X126" s="614" t="str">
        <f>IF('Data Export'!$D126="","", "")</f>
        <v/>
      </c>
      <c r="Y126" s="614" t="str">
        <f>IF('Data Export'!$D126="","", "")</f>
        <v/>
      </c>
      <c r="Z126" s="614" t="str">
        <f>IF('Data Export'!$D126="","", "")</f>
        <v/>
      </c>
      <c r="AA126" s="614"/>
      <c r="AB126" s="614" t="str">
        <f>IF('Data Export'!$D126="","", "")</f>
        <v/>
      </c>
      <c r="AC126" s="614" t="str">
        <f>IF('Data Export'!$D126="","", "")</f>
        <v/>
      </c>
      <c r="AD126" s="614" t="str">
        <f>IF('Data Export'!$D126="","", "")</f>
        <v/>
      </c>
      <c r="AE126" s="614" t="str">
        <f>IF('Data Export'!$D126="","", "")</f>
        <v/>
      </c>
      <c r="AF126" s="614" t="str">
        <f>IF('Data Export'!$D126="","", "")</f>
        <v/>
      </c>
      <c r="AG126" s="614" t="str">
        <f>IF('Data Export'!$D126="","", "")</f>
        <v/>
      </c>
      <c r="AH126" s="614" t="str">
        <f>IF('Data Export'!$D126="","", "")</f>
        <v/>
      </c>
      <c r="AI126" s="614" t="str">
        <f>IF('Data Export'!$D126="","", "")</f>
        <v/>
      </c>
      <c r="AJ126" s="632">
        <f>IF('Data Export'!$D126="","", 'Adding Doors'!H11)</f>
        <v>0</v>
      </c>
      <c r="AK126" s="614" t="str">
        <f>IF('Data Export'!$D126="","", "")</f>
        <v/>
      </c>
      <c r="AL126" s="614"/>
      <c r="AM126" s="644" t="str">
        <f>IF('Data Export'!$D126="","", 'Adding Doors'!AA11)</f>
        <v/>
      </c>
      <c r="AN126" s="644" t="str">
        <f>IF('Data Export'!$D126="","", 'Adding Doors'!Z11)</f>
        <v/>
      </c>
      <c r="AO126" s="636" t="str">
        <f>IF('Data Export'!$D126="","", IFERROR(ROUND($F126/$D126, 2), ""))</f>
        <v/>
      </c>
      <c r="AP126" s="641">
        <f>IF('Data Export'!$D126="","",'Project Summary'!$C$11)</f>
        <v>0</v>
      </c>
      <c r="AQ126" s="614"/>
      <c r="AR126" s="614"/>
    </row>
    <row r="127" spans="1:44" x14ac:dyDescent="0.2">
      <c r="A127" s="618" t="str">
        <f>'Adding Doors'!$B$3</f>
        <v>Adding Doors to Existing Refrigerated Display Cases</v>
      </c>
      <c r="B127" s="614" t="s">
        <v>48</v>
      </c>
      <c r="C127" s="614">
        <v>125</v>
      </c>
      <c r="D127" s="630">
        <f>IF('Adding Doors'!AC12&gt;0,'Adding Doors'!I12,"")</f>
        <v>0</v>
      </c>
      <c r="E127" s="630" t="str">
        <f>IF($D127="","",'Look Up Tables'!$AS$73)</f>
        <v>CaseDoor</v>
      </c>
      <c r="F127" s="636" t="str">
        <f>IF('Data Export'!$D127="","",'Adding Doors'!AC12)</f>
        <v/>
      </c>
      <c r="G127" s="641">
        <f>IF('Data Export'!D127="","", 'Project Summary'!$C$6)</f>
        <v>0</v>
      </c>
      <c r="H127" s="635" t="str">
        <f>IF('Data Export'!$D127="","",'Adding Doors'!X12)</f>
        <v/>
      </c>
      <c r="I127" s="644" t="str">
        <f>IF('Data Export'!$D127="","",'Adding Doors'!Y12)</f>
        <v/>
      </c>
      <c r="J127" s="630">
        <f>IF('Data Export'!$D127="","", 'Project Summary'!$J$1)</f>
        <v>5.01</v>
      </c>
      <c r="K127" s="630">
        <f>IF('Data Export'!$D127="","",'Adding Doors'!D12)</f>
        <v>0</v>
      </c>
      <c r="L127" s="630">
        <f>IF('Data Export'!$D127="","",'Adding Doors'!E12)</f>
        <v>0</v>
      </c>
      <c r="M127" s="630">
        <f>IF('Data Export'!$D127="","", 'Project Summary'!$C$13)</f>
        <v>0</v>
      </c>
      <c r="N127" s="614" t="str">
        <f>IF('Data Export'!$D127="","", "")</f>
        <v/>
      </c>
      <c r="O127" s="614" t="str">
        <f>IF('Data Export'!$D127="","", "")</f>
        <v/>
      </c>
      <c r="P127" s="614" t="str">
        <f>IF('Data Export'!$D127="","", "")</f>
        <v/>
      </c>
      <c r="Q127" s="614" t="str">
        <f>IF('Data Export'!$D127="","", "")</f>
        <v/>
      </c>
      <c r="R127" s="614" t="str">
        <f>IF('Data Export'!$D127="","", "")</f>
        <v/>
      </c>
      <c r="S127" s="614" t="str">
        <f>IF('Data Export'!$D127="","", "")</f>
        <v/>
      </c>
      <c r="T127" s="614" t="str">
        <f>IF('Data Export'!$D127="","", "")</f>
        <v/>
      </c>
      <c r="U127" s="614" t="str">
        <f>IF('Data Export'!$D127="","", "")</f>
        <v/>
      </c>
      <c r="V127" s="614" t="str">
        <f>IF('Data Export'!$D127="","", "")</f>
        <v/>
      </c>
      <c r="W127" s="614" t="str">
        <f>IF('Data Export'!$D127="","", "")</f>
        <v/>
      </c>
      <c r="X127" s="614" t="str">
        <f>IF('Data Export'!$D127="","", "")</f>
        <v/>
      </c>
      <c r="Y127" s="614" t="str">
        <f>IF('Data Export'!$D127="","", "")</f>
        <v/>
      </c>
      <c r="Z127" s="614" t="str">
        <f>IF('Data Export'!$D127="","", "")</f>
        <v/>
      </c>
      <c r="AA127" s="614"/>
      <c r="AB127" s="614" t="str">
        <f>IF('Data Export'!$D127="","", "")</f>
        <v/>
      </c>
      <c r="AC127" s="614" t="str">
        <f>IF('Data Export'!$D127="","", "")</f>
        <v/>
      </c>
      <c r="AD127" s="614" t="str">
        <f>IF('Data Export'!$D127="","", "")</f>
        <v/>
      </c>
      <c r="AE127" s="614" t="str">
        <f>IF('Data Export'!$D127="","", "")</f>
        <v/>
      </c>
      <c r="AF127" s="614" t="str">
        <f>IF('Data Export'!$D127="","", "")</f>
        <v/>
      </c>
      <c r="AG127" s="614" t="str">
        <f>IF('Data Export'!$D127="","", "")</f>
        <v/>
      </c>
      <c r="AH127" s="614" t="str">
        <f>IF('Data Export'!$D127="","", "")</f>
        <v/>
      </c>
      <c r="AI127" s="614" t="str">
        <f>IF('Data Export'!$D127="","", "")</f>
        <v/>
      </c>
      <c r="AJ127" s="632">
        <f>IF('Data Export'!$D127="","", 'Adding Doors'!H12)</f>
        <v>0</v>
      </c>
      <c r="AK127" s="614" t="str">
        <f>IF('Data Export'!$D127="","", "")</f>
        <v/>
      </c>
      <c r="AL127" s="614"/>
      <c r="AM127" s="644" t="str">
        <f>IF('Data Export'!$D127="","", 'Adding Doors'!AA12)</f>
        <v/>
      </c>
      <c r="AN127" s="644" t="str">
        <f>IF('Data Export'!$D127="","", 'Adding Doors'!Z12)</f>
        <v/>
      </c>
      <c r="AO127" s="636" t="str">
        <f>IF('Data Export'!$D127="","", IFERROR(ROUND($F127/$D127, 2), ""))</f>
        <v/>
      </c>
      <c r="AP127" s="641">
        <f>IF('Data Export'!$D127="","",'Project Summary'!$C$11)</f>
        <v>0</v>
      </c>
      <c r="AQ127" s="614"/>
      <c r="AR127" s="614"/>
    </row>
    <row r="128" spans="1:44" x14ac:dyDescent="0.2">
      <c r="A128" s="618" t="str">
        <f>'Adding Doors'!$B$3</f>
        <v>Adding Doors to Existing Refrigerated Display Cases</v>
      </c>
      <c r="B128" s="614" t="s">
        <v>48</v>
      </c>
      <c r="C128" s="614">
        <v>126</v>
      </c>
      <c r="D128" s="630">
        <f>IF('Adding Doors'!AC13&gt;0,'Adding Doors'!I13,"")</f>
        <v>0</v>
      </c>
      <c r="E128" s="630" t="str">
        <f>IF($D128="","",'Look Up Tables'!$AS$73)</f>
        <v>CaseDoor</v>
      </c>
      <c r="F128" s="636" t="str">
        <f>IF('Data Export'!$D128="","",'Adding Doors'!AC13)</f>
        <v/>
      </c>
      <c r="G128" s="641">
        <f>IF('Data Export'!D128="","", 'Project Summary'!$C$6)</f>
        <v>0</v>
      </c>
      <c r="H128" s="635" t="str">
        <f>IF('Data Export'!$D128="","",'Adding Doors'!X13)</f>
        <v/>
      </c>
      <c r="I128" s="644" t="str">
        <f>IF('Data Export'!$D128="","",'Adding Doors'!Y13)</f>
        <v/>
      </c>
      <c r="J128" s="630">
        <f>IF('Data Export'!$D128="","", 'Project Summary'!$J$1)</f>
        <v>5.01</v>
      </c>
      <c r="K128" s="630">
        <f>IF('Data Export'!$D128="","",'Adding Doors'!D13)</f>
        <v>0</v>
      </c>
      <c r="L128" s="630">
        <f>IF('Data Export'!$D128="","",'Adding Doors'!E13)</f>
        <v>0</v>
      </c>
      <c r="M128" s="630">
        <f>IF('Data Export'!$D128="","", 'Project Summary'!$C$13)</f>
        <v>0</v>
      </c>
      <c r="N128" s="614" t="str">
        <f>IF('Data Export'!$D128="","", "")</f>
        <v/>
      </c>
      <c r="O128" s="614" t="str">
        <f>IF('Data Export'!$D128="","", "")</f>
        <v/>
      </c>
      <c r="P128" s="614" t="str">
        <f>IF('Data Export'!$D128="","", "")</f>
        <v/>
      </c>
      <c r="Q128" s="614" t="str">
        <f>IF('Data Export'!$D128="","", "")</f>
        <v/>
      </c>
      <c r="R128" s="614" t="str">
        <f>IF('Data Export'!$D128="","", "")</f>
        <v/>
      </c>
      <c r="S128" s="614" t="str">
        <f>IF('Data Export'!$D128="","", "")</f>
        <v/>
      </c>
      <c r="T128" s="614" t="str">
        <f>IF('Data Export'!$D128="","", "")</f>
        <v/>
      </c>
      <c r="U128" s="614" t="str">
        <f>IF('Data Export'!$D128="","", "")</f>
        <v/>
      </c>
      <c r="V128" s="614" t="str">
        <f>IF('Data Export'!$D128="","", "")</f>
        <v/>
      </c>
      <c r="W128" s="614" t="str">
        <f>IF('Data Export'!$D128="","", "")</f>
        <v/>
      </c>
      <c r="X128" s="614" t="str">
        <f>IF('Data Export'!$D128="","", "")</f>
        <v/>
      </c>
      <c r="Y128" s="614" t="str">
        <f>IF('Data Export'!$D128="","", "")</f>
        <v/>
      </c>
      <c r="Z128" s="614" t="str">
        <f>IF('Data Export'!$D128="","", "")</f>
        <v/>
      </c>
      <c r="AA128" s="614"/>
      <c r="AB128" s="614" t="str">
        <f>IF('Data Export'!$D128="","", "")</f>
        <v/>
      </c>
      <c r="AC128" s="614" t="str">
        <f>IF('Data Export'!$D128="","", "")</f>
        <v/>
      </c>
      <c r="AD128" s="614" t="str">
        <f>IF('Data Export'!$D128="","", "")</f>
        <v/>
      </c>
      <c r="AE128" s="614" t="str">
        <f>IF('Data Export'!$D128="","", "")</f>
        <v/>
      </c>
      <c r="AF128" s="614" t="str">
        <f>IF('Data Export'!$D128="","", "")</f>
        <v/>
      </c>
      <c r="AG128" s="614" t="str">
        <f>IF('Data Export'!$D128="","", "")</f>
        <v/>
      </c>
      <c r="AH128" s="614" t="str">
        <f>IF('Data Export'!$D128="","", "")</f>
        <v/>
      </c>
      <c r="AI128" s="614" t="str">
        <f>IF('Data Export'!$D128="","", "")</f>
        <v/>
      </c>
      <c r="AJ128" s="632">
        <f>IF('Data Export'!$D128="","", 'Adding Doors'!H13)</f>
        <v>0</v>
      </c>
      <c r="AK128" s="614" t="str">
        <f>IF('Data Export'!$D128="","", "")</f>
        <v/>
      </c>
      <c r="AL128" s="614"/>
      <c r="AM128" s="644" t="str">
        <f>IF('Data Export'!$D128="","", 'Adding Doors'!AA13)</f>
        <v/>
      </c>
      <c r="AN128" s="644" t="str">
        <f>IF('Data Export'!$D128="","", 'Adding Doors'!Z13)</f>
        <v/>
      </c>
      <c r="AO128" s="636" t="str">
        <f>IF('Data Export'!$D128="","", IFERROR(ROUND($F128/$D128, 2), ""))</f>
        <v/>
      </c>
      <c r="AP128" s="641">
        <f>IF('Data Export'!$D128="","",'Project Summary'!$C$11)</f>
        <v>0</v>
      </c>
      <c r="AQ128" s="614"/>
      <c r="AR128" s="614"/>
    </row>
    <row r="129" spans="1:44" x14ac:dyDescent="0.2">
      <c r="A129" s="618" t="str">
        <f>'Adding Doors'!$B$3</f>
        <v>Adding Doors to Existing Refrigerated Display Cases</v>
      </c>
      <c r="B129" s="614" t="s">
        <v>48</v>
      </c>
      <c r="C129" s="614">
        <v>127</v>
      </c>
      <c r="D129" s="630">
        <f>IF('Adding Doors'!AC14&gt;0,'Adding Doors'!I14,"")</f>
        <v>0</v>
      </c>
      <c r="E129" s="630" t="str">
        <f>IF($D129="","",'Look Up Tables'!$AS$73)</f>
        <v>CaseDoor</v>
      </c>
      <c r="F129" s="636" t="str">
        <f>IF('Data Export'!$D129="","",'Adding Doors'!AC14)</f>
        <v/>
      </c>
      <c r="G129" s="641">
        <f>IF('Data Export'!D129="","", 'Project Summary'!$C$6)</f>
        <v>0</v>
      </c>
      <c r="H129" s="635" t="str">
        <f>IF('Data Export'!$D129="","",'Adding Doors'!X14)</f>
        <v/>
      </c>
      <c r="I129" s="644" t="str">
        <f>IF('Data Export'!$D129="","",'Adding Doors'!Y14)</f>
        <v/>
      </c>
      <c r="J129" s="630">
        <f>IF('Data Export'!$D129="","", 'Project Summary'!$J$1)</f>
        <v>5.01</v>
      </c>
      <c r="K129" s="630">
        <f>IF('Data Export'!$D129="","",'Adding Doors'!D14)</f>
        <v>0</v>
      </c>
      <c r="L129" s="630">
        <f>IF('Data Export'!$D129="","",'Adding Doors'!E14)</f>
        <v>0</v>
      </c>
      <c r="M129" s="630">
        <f>IF('Data Export'!$D129="","", 'Project Summary'!$C$13)</f>
        <v>0</v>
      </c>
      <c r="N129" s="614" t="str">
        <f>IF('Data Export'!$D129="","", "")</f>
        <v/>
      </c>
      <c r="O129" s="614" t="str">
        <f>IF('Data Export'!$D129="","", "")</f>
        <v/>
      </c>
      <c r="P129" s="614" t="str">
        <f>IF('Data Export'!$D129="","", "")</f>
        <v/>
      </c>
      <c r="Q129" s="614" t="str">
        <f>IF('Data Export'!$D129="","", "")</f>
        <v/>
      </c>
      <c r="R129" s="614" t="str">
        <f>IF('Data Export'!$D129="","", "")</f>
        <v/>
      </c>
      <c r="S129" s="614" t="str">
        <f>IF('Data Export'!$D129="","", "")</f>
        <v/>
      </c>
      <c r="T129" s="614" t="str">
        <f>IF('Data Export'!$D129="","", "")</f>
        <v/>
      </c>
      <c r="U129" s="614" t="str">
        <f>IF('Data Export'!$D129="","", "")</f>
        <v/>
      </c>
      <c r="V129" s="614" t="str">
        <f>IF('Data Export'!$D129="","", "")</f>
        <v/>
      </c>
      <c r="W129" s="614" t="str">
        <f>IF('Data Export'!$D129="","", "")</f>
        <v/>
      </c>
      <c r="X129" s="614" t="str">
        <f>IF('Data Export'!$D129="","", "")</f>
        <v/>
      </c>
      <c r="Y129" s="614" t="str">
        <f>IF('Data Export'!$D129="","", "")</f>
        <v/>
      </c>
      <c r="Z129" s="614" t="str">
        <f>IF('Data Export'!$D129="","", "")</f>
        <v/>
      </c>
      <c r="AA129" s="614"/>
      <c r="AB129" s="614" t="str">
        <f>IF('Data Export'!$D129="","", "")</f>
        <v/>
      </c>
      <c r="AC129" s="614" t="str">
        <f>IF('Data Export'!$D129="","", "")</f>
        <v/>
      </c>
      <c r="AD129" s="614" t="str">
        <f>IF('Data Export'!$D129="","", "")</f>
        <v/>
      </c>
      <c r="AE129" s="614" t="str">
        <f>IF('Data Export'!$D129="","", "")</f>
        <v/>
      </c>
      <c r="AF129" s="614" t="str">
        <f>IF('Data Export'!$D129="","", "")</f>
        <v/>
      </c>
      <c r="AG129" s="614" t="str">
        <f>IF('Data Export'!$D129="","", "")</f>
        <v/>
      </c>
      <c r="AH129" s="614" t="str">
        <f>IF('Data Export'!$D129="","", "")</f>
        <v/>
      </c>
      <c r="AI129" s="614" t="str">
        <f>IF('Data Export'!$D129="","", "")</f>
        <v/>
      </c>
      <c r="AJ129" s="632">
        <f>IF('Data Export'!$D129="","", 'Adding Doors'!H14)</f>
        <v>0</v>
      </c>
      <c r="AK129" s="614" t="str">
        <f>IF('Data Export'!$D129="","", "")</f>
        <v/>
      </c>
      <c r="AL129" s="614"/>
      <c r="AM129" s="644" t="str">
        <f>IF('Data Export'!$D129="","", 'Adding Doors'!AA14)</f>
        <v/>
      </c>
      <c r="AN129" s="644" t="str">
        <f>IF('Data Export'!$D129="","", 'Adding Doors'!Z14)</f>
        <v/>
      </c>
      <c r="AO129" s="636" t="str">
        <f>IF('Data Export'!$D129="","", IFERROR(ROUND($F129/$D129, 2), ""))</f>
        <v/>
      </c>
      <c r="AP129" s="641">
        <f>IF('Data Export'!$D129="","",'Project Summary'!$C$11)</f>
        <v>0</v>
      </c>
      <c r="AQ129" s="614"/>
      <c r="AR129" s="614"/>
    </row>
    <row r="130" spans="1:44" x14ac:dyDescent="0.2">
      <c r="A130" s="618" t="str">
        <f>'Adding Doors'!$B$3</f>
        <v>Adding Doors to Existing Refrigerated Display Cases</v>
      </c>
      <c r="B130" s="614" t="s">
        <v>48</v>
      </c>
      <c r="C130" s="614">
        <v>128</v>
      </c>
      <c r="D130" s="630">
        <f>IF('Adding Doors'!AC15&gt;0,'Adding Doors'!I15,"")</f>
        <v>0</v>
      </c>
      <c r="E130" s="630" t="str">
        <f>IF($D130="","",'Look Up Tables'!$AS$73)</f>
        <v>CaseDoor</v>
      </c>
      <c r="F130" s="636" t="str">
        <f>IF('Data Export'!$D130="","",'Adding Doors'!AC15)</f>
        <v/>
      </c>
      <c r="G130" s="641">
        <f>IF('Data Export'!D130="","", 'Project Summary'!$C$6)</f>
        <v>0</v>
      </c>
      <c r="H130" s="635" t="str">
        <f>IF('Data Export'!$D130="","",'Adding Doors'!X15)</f>
        <v/>
      </c>
      <c r="I130" s="644" t="str">
        <f>IF('Data Export'!$D130="","",'Adding Doors'!Y15)</f>
        <v/>
      </c>
      <c r="J130" s="630">
        <f>IF('Data Export'!$D130="","", 'Project Summary'!$J$1)</f>
        <v>5.01</v>
      </c>
      <c r="K130" s="630">
        <f>IF('Data Export'!$D130="","",'Adding Doors'!D15)</f>
        <v>0</v>
      </c>
      <c r="L130" s="630">
        <f>IF('Data Export'!$D130="","",'Adding Doors'!E15)</f>
        <v>0</v>
      </c>
      <c r="M130" s="630">
        <f>IF('Data Export'!$D130="","", 'Project Summary'!$C$13)</f>
        <v>0</v>
      </c>
      <c r="N130" s="614" t="str">
        <f>IF('Data Export'!$D130="","", "")</f>
        <v/>
      </c>
      <c r="O130" s="614" t="str">
        <f>IF('Data Export'!$D130="","", "")</f>
        <v/>
      </c>
      <c r="P130" s="614" t="str">
        <f>IF('Data Export'!$D130="","", "")</f>
        <v/>
      </c>
      <c r="Q130" s="614" t="str">
        <f>IF('Data Export'!$D130="","", "")</f>
        <v/>
      </c>
      <c r="R130" s="614" t="str">
        <f>IF('Data Export'!$D130="","", "")</f>
        <v/>
      </c>
      <c r="S130" s="614" t="str">
        <f>IF('Data Export'!$D130="","", "")</f>
        <v/>
      </c>
      <c r="T130" s="614" t="str">
        <f>IF('Data Export'!$D130="","", "")</f>
        <v/>
      </c>
      <c r="U130" s="614" t="str">
        <f>IF('Data Export'!$D130="","", "")</f>
        <v/>
      </c>
      <c r="V130" s="614" t="str">
        <f>IF('Data Export'!$D130="","", "")</f>
        <v/>
      </c>
      <c r="W130" s="614" t="str">
        <f>IF('Data Export'!$D130="","", "")</f>
        <v/>
      </c>
      <c r="X130" s="614" t="str">
        <f>IF('Data Export'!$D130="","", "")</f>
        <v/>
      </c>
      <c r="Y130" s="614" t="str">
        <f>IF('Data Export'!$D130="","", "")</f>
        <v/>
      </c>
      <c r="Z130" s="614" t="str">
        <f>IF('Data Export'!$D130="","", "")</f>
        <v/>
      </c>
      <c r="AA130" s="614"/>
      <c r="AB130" s="614" t="str">
        <f>IF('Data Export'!$D130="","", "")</f>
        <v/>
      </c>
      <c r="AC130" s="614" t="str">
        <f>IF('Data Export'!$D130="","", "")</f>
        <v/>
      </c>
      <c r="AD130" s="614" t="str">
        <f>IF('Data Export'!$D130="","", "")</f>
        <v/>
      </c>
      <c r="AE130" s="614" t="str">
        <f>IF('Data Export'!$D130="","", "")</f>
        <v/>
      </c>
      <c r="AF130" s="614" t="str">
        <f>IF('Data Export'!$D130="","", "")</f>
        <v/>
      </c>
      <c r="AG130" s="614" t="str">
        <f>IF('Data Export'!$D130="","", "")</f>
        <v/>
      </c>
      <c r="AH130" s="614" t="str">
        <f>IF('Data Export'!$D130="","", "")</f>
        <v/>
      </c>
      <c r="AI130" s="614" t="str">
        <f>IF('Data Export'!$D130="","", "")</f>
        <v/>
      </c>
      <c r="AJ130" s="632">
        <f>IF('Data Export'!$D130="","", 'Adding Doors'!H15)</f>
        <v>0</v>
      </c>
      <c r="AK130" s="614" t="str">
        <f>IF('Data Export'!$D130="","", "")</f>
        <v/>
      </c>
      <c r="AL130" s="614"/>
      <c r="AM130" s="644" t="str">
        <f>IF('Data Export'!$D130="","", 'Adding Doors'!AA15)</f>
        <v/>
      </c>
      <c r="AN130" s="644" t="str">
        <f>IF('Data Export'!$D130="","", 'Adding Doors'!Z15)</f>
        <v/>
      </c>
      <c r="AO130" s="636" t="str">
        <f>IF('Data Export'!$D130="","", IFERROR(ROUND($F130/$D130, 2), ""))</f>
        <v/>
      </c>
      <c r="AP130" s="641">
        <f>IF('Data Export'!$D130="","",'Project Summary'!$C$11)</f>
        <v>0</v>
      </c>
      <c r="AQ130" s="614"/>
      <c r="AR130" s="614"/>
    </row>
    <row r="131" spans="1:44" x14ac:dyDescent="0.2">
      <c r="A131" s="618" t="str">
        <f>'Adding Doors'!$B$3</f>
        <v>Adding Doors to Existing Refrigerated Display Cases</v>
      </c>
      <c r="B131" s="614" t="s">
        <v>48</v>
      </c>
      <c r="C131" s="614">
        <v>129</v>
      </c>
      <c r="D131" s="630">
        <f>IF('Adding Doors'!AC16&gt;0,'Adding Doors'!I16,"")</f>
        <v>0</v>
      </c>
      <c r="E131" s="630" t="str">
        <f>IF($D131="","",'Look Up Tables'!$AS$73)</f>
        <v>CaseDoor</v>
      </c>
      <c r="F131" s="636" t="str">
        <f>IF('Data Export'!$D131="","",'Adding Doors'!AC16)</f>
        <v/>
      </c>
      <c r="G131" s="641">
        <f>IF('Data Export'!D131="","", 'Project Summary'!$C$6)</f>
        <v>0</v>
      </c>
      <c r="H131" s="635" t="str">
        <f>IF('Data Export'!$D131="","",'Adding Doors'!X16)</f>
        <v/>
      </c>
      <c r="I131" s="644" t="str">
        <f>IF('Data Export'!$D131="","",'Adding Doors'!Y16)</f>
        <v/>
      </c>
      <c r="J131" s="630">
        <f>IF('Data Export'!$D131="","", 'Project Summary'!$J$1)</f>
        <v>5.01</v>
      </c>
      <c r="K131" s="630">
        <f>IF('Data Export'!$D131="","",'Adding Doors'!D16)</f>
        <v>0</v>
      </c>
      <c r="L131" s="630">
        <f>IF('Data Export'!$D131="","",'Adding Doors'!E16)</f>
        <v>0</v>
      </c>
      <c r="M131" s="630">
        <f>IF('Data Export'!$D131="","", 'Project Summary'!$C$13)</f>
        <v>0</v>
      </c>
      <c r="N131" s="614" t="str">
        <f>IF('Data Export'!$D131="","", "")</f>
        <v/>
      </c>
      <c r="O131" s="614" t="str">
        <f>IF('Data Export'!$D131="","", "")</f>
        <v/>
      </c>
      <c r="P131" s="614" t="str">
        <f>IF('Data Export'!$D131="","", "")</f>
        <v/>
      </c>
      <c r="Q131" s="614" t="str">
        <f>IF('Data Export'!$D131="","", "")</f>
        <v/>
      </c>
      <c r="R131" s="614" t="str">
        <f>IF('Data Export'!$D131="","", "")</f>
        <v/>
      </c>
      <c r="S131" s="614" t="str">
        <f>IF('Data Export'!$D131="","", "")</f>
        <v/>
      </c>
      <c r="T131" s="614" t="str">
        <f>IF('Data Export'!$D131="","", "")</f>
        <v/>
      </c>
      <c r="U131" s="614" t="str">
        <f>IF('Data Export'!$D131="","", "")</f>
        <v/>
      </c>
      <c r="V131" s="614" t="str">
        <f>IF('Data Export'!$D131="","", "")</f>
        <v/>
      </c>
      <c r="W131" s="614" t="str">
        <f>IF('Data Export'!$D131="","", "")</f>
        <v/>
      </c>
      <c r="X131" s="614" t="str">
        <f>IF('Data Export'!$D131="","", "")</f>
        <v/>
      </c>
      <c r="Y131" s="614" t="str">
        <f>IF('Data Export'!$D131="","", "")</f>
        <v/>
      </c>
      <c r="Z131" s="614" t="str">
        <f>IF('Data Export'!$D131="","", "")</f>
        <v/>
      </c>
      <c r="AA131" s="614"/>
      <c r="AB131" s="614" t="str">
        <f>IF('Data Export'!$D131="","", "")</f>
        <v/>
      </c>
      <c r="AC131" s="614" t="str">
        <f>IF('Data Export'!$D131="","", "")</f>
        <v/>
      </c>
      <c r="AD131" s="614" t="str">
        <f>IF('Data Export'!$D131="","", "")</f>
        <v/>
      </c>
      <c r="AE131" s="614" t="str">
        <f>IF('Data Export'!$D131="","", "")</f>
        <v/>
      </c>
      <c r="AF131" s="614" t="str">
        <f>IF('Data Export'!$D131="","", "")</f>
        <v/>
      </c>
      <c r="AG131" s="614" t="str">
        <f>IF('Data Export'!$D131="","", "")</f>
        <v/>
      </c>
      <c r="AH131" s="614" t="str">
        <f>IF('Data Export'!$D131="","", "")</f>
        <v/>
      </c>
      <c r="AI131" s="614" t="str">
        <f>IF('Data Export'!$D131="","", "")</f>
        <v/>
      </c>
      <c r="AJ131" s="632">
        <f>IF('Data Export'!$D131="","", 'Adding Doors'!H16)</f>
        <v>0</v>
      </c>
      <c r="AK131" s="614" t="str">
        <f>IF('Data Export'!$D131="","", "")</f>
        <v/>
      </c>
      <c r="AL131" s="614"/>
      <c r="AM131" s="644" t="str">
        <f>IF('Data Export'!$D131="","", 'Adding Doors'!AA16)</f>
        <v/>
      </c>
      <c r="AN131" s="644" t="str">
        <f>IF('Data Export'!$D131="","", 'Adding Doors'!Z16)</f>
        <v/>
      </c>
      <c r="AO131" s="636" t="str">
        <f>IF('Data Export'!$D131="","", IFERROR(ROUND($F131/$D131, 2), ""))</f>
        <v/>
      </c>
      <c r="AP131" s="641">
        <f>IF('Data Export'!$D131="","",'Project Summary'!$C$11)</f>
        <v>0</v>
      </c>
      <c r="AQ131" s="614"/>
      <c r="AR131" s="614"/>
    </row>
    <row r="132" spans="1:44" ht="15" thickBot="1" x14ac:dyDescent="0.25">
      <c r="A132" s="625" t="str">
        <f>'Adding Doors'!$B$3</f>
        <v>Adding Doors to Existing Refrigerated Display Cases</v>
      </c>
      <c r="B132" s="626" t="s">
        <v>48</v>
      </c>
      <c r="C132" s="626">
        <v>130</v>
      </c>
      <c r="D132" s="631">
        <f>IF('Adding Doors'!AC17&gt;0,'Adding Doors'!I17,"")</f>
        <v>0</v>
      </c>
      <c r="E132" s="631" t="str">
        <f>IF($D132="","",'Look Up Tables'!$AS$73)</f>
        <v>CaseDoor</v>
      </c>
      <c r="F132" s="638" t="str">
        <f>IF('Data Export'!$D132="","",'Adding Doors'!AC17)</f>
        <v/>
      </c>
      <c r="G132" s="642">
        <f>IF('Data Export'!D132="","", 'Project Summary'!$C$6)</f>
        <v>0</v>
      </c>
      <c r="H132" s="639" t="str">
        <f>IF('Data Export'!$D132="","",'Adding Doors'!X17)</f>
        <v/>
      </c>
      <c r="I132" s="659" t="str">
        <f>IF('Data Export'!$D132="","",'Adding Doors'!Y17)</f>
        <v/>
      </c>
      <c r="J132" s="631">
        <f>IF('Data Export'!$D132="","", 'Project Summary'!$J$1)</f>
        <v>5.01</v>
      </c>
      <c r="K132" s="631">
        <f>IF('Data Export'!$D132="","",'Adding Doors'!D17)</f>
        <v>0</v>
      </c>
      <c r="L132" s="631">
        <f>IF('Data Export'!$D132="","",'Adding Doors'!E17)</f>
        <v>0</v>
      </c>
      <c r="M132" s="631">
        <f>IF('Data Export'!$D132="","", 'Project Summary'!$C$13)</f>
        <v>0</v>
      </c>
      <c r="N132" s="626" t="str">
        <f>IF('Data Export'!$D132="","", "")</f>
        <v/>
      </c>
      <c r="O132" s="626" t="str">
        <f>IF('Data Export'!$D132="","", "")</f>
        <v/>
      </c>
      <c r="P132" s="626" t="str">
        <f>IF('Data Export'!$D132="","", "")</f>
        <v/>
      </c>
      <c r="Q132" s="626" t="str">
        <f>IF('Data Export'!$D132="","", "")</f>
        <v/>
      </c>
      <c r="R132" s="626" t="str">
        <f>IF('Data Export'!$D132="","", "")</f>
        <v/>
      </c>
      <c r="S132" s="626" t="str">
        <f>IF('Data Export'!$D132="","", "")</f>
        <v/>
      </c>
      <c r="T132" s="626" t="str">
        <f>IF('Data Export'!$D132="","", "")</f>
        <v/>
      </c>
      <c r="U132" s="626" t="str">
        <f>IF('Data Export'!$D132="","", "")</f>
        <v/>
      </c>
      <c r="V132" s="626" t="str">
        <f>IF('Data Export'!$D132="","", "")</f>
        <v/>
      </c>
      <c r="W132" s="626" t="str">
        <f>IF('Data Export'!$D132="","", "")</f>
        <v/>
      </c>
      <c r="X132" s="626" t="str">
        <f>IF('Data Export'!$D132="","", "")</f>
        <v/>
      </c>
      <c r="Y132" s="626" t="str">
        <f>IF('Data Export'!$D132="","", "")</f>
        <v/>
      </c>
      <c r="Z132" s="626" t="str">
        <f>IF('Data Export'!$D132="","", "")</f>
        <v/>
      </c>
      <c r="AA132" s="626"/>
      <c r="AB132" s="626" t="str">
        <f>IF('Data Export'!$D132="","", "")</f>
        <v/>
      </c>
      <c r="AC132" s="626" t="str">
        <f>IF('Data Export'!$D132="","", "")</f>
        <v/>
      </c>
      <c r="AD132" s="626" t="str">
        <f>IF('Data Export'!$D132="","", "")</f>
        <v/>
      </c>
      <c r="AE132" s="626" t="str">
        <f>IF('Data Export'!$D132="","", "")</f>
        <v/>
      </c>
      <c r="AF132" s="626" t="str">
        <f>IF('Data Export'!$D132="","", "")</f>
        <v/>
      </c>
      <c r="AG132" s="626" t="str">
        <f>IF('Data Export'!$D132="","", "")</f>
        <v/>
      </c>
      <c r="AH132" s="626" t="str">
        <f>IF('Data Export'!$D132="","", "")</f>
        <v/>
      </c>
      <c r="AI132" s="626" t="str">
        <f>IF('Data Export'!$D132="","", "")</f>
        <v/>
      </c>
      <c r="AJ132" s="646">
        <f>IF('Data Export'!$D132="","", 'Adding Doors'!H17)</f>
        <v>0</v>
      </c>
      <c r="AK132" s="626" t="str">
        <f>IF('Data Export'!$D132="","", "")</f>
        <v/>
      </c>
      <c r="AL132" s="626"/>
      <c r="AM132" s="659" t="str">
        <f>IF('Data Export'!$D132="","", 'Adding Doors'!AA17)</f>
        <v/>
      </c>
      <c r="AN132" s="659" t="str">
        <f>IF('Data Export'!$D132="","", 'Adding Doors'!Z17)</f>
        <v/>
      </c>
      <c r="AO132" s="638" t="str">
        <f>IF('Data Export'!$D132="","", IFERROR(ROUND($F132/$D132, 2), ""))</f>
        <v/>
      </c>
      <c r="AP132" s="642">
        <f>IF('Data Export'!$D132="","",'Project Summary'!$C$11)</f>
        <v>0</v>
      </c>
      <c r="AQ132" s="626"/>
      <c r="AR132" s="626"/>
    </row>
    <row r="133" spans="1:44" ht="15" thickTop="1" x14ac:dyDescent="0.2">
      <c r="A133" s="655" t="str">
        <f>'Door Replace Open2021'!$B$3</f>
        <v>Refrigerated Display Cases with Doors Replacing Open Cases</v>
      </c>
      <c r="B133" s="621"/>
      <c r="C133" s="621">
        <v>131</v>
      </c>
      <c r="D133" s="632">
        <f>IF('Door Replace Open2021'!N8&gt;0,'Door Replace Open2021'!H8,"")</f>
        <v>0</v>
      </c>
      <c r="E133" s="621" t="str">
        <f>IF($D133="","",'Look Up Tables'!$AS$73)</f>
        <v>CaseDoor</v>
      </c>
      <c r="F133" s="637" t="str">
        <f>IF('Data Export'!$D133="","", 'Door Replace Open2021'!N8)</f>
        <v/>
      </c>
      <c r="G133" s="622">
        <f>IF('Data Export'!D133="","", 'Project Summary'!$C$6)</f>
        <v>0</v>
      </c>
      <c r="H133" s="640">
        <f>IF('Data Export'!$D133="","",'Door Replace Open2021'!K8)</f>
        <v>0</v>
      </c>
      <c r="I133" s="644">
        <f>IF('Data Export'!$D133="","",'Door Replace Open2021'!L8)</f>
        <v>0</v>
      </c>
      <c r="J133" s="632">
        <f>IF('Data Export'!$D133="","", 'Project Summary'!$J$1)</f>
        <v>5.01</v>
      </c>
      <c r="K133" s="632">
        <f>IF('Data Export'!$D133="","",'Door Replace Open2021'!D8)</f>
        <v>0</v>
      </c>
      <c r="L133" s="632">
        <f>IF('Data Export'!$D133="","",'Door Replace Open2021'!E8)</f>
        <v>0</v>
      </c>
      <c r="M133" s="621">
        <f>IF('Data Export'!$D133="","", 'Project Summary'!$C$13)</f>
        <v>0</v>
      </c>
      <c r="N133" s="621" t="str">
        <f>IF('Data Export'!$D133="","", "")</f>
        <v/>
      </c>
      <c r="O133" s="621" t="str">
        <f>IF('Data Export'!$D133="","", "")</f>
        <v/>
      </c>
      <c r="P133" s="623" t="str">
        <f>IF('Data Export'!$D133="","", "Refrigerator")</f>
        <v>Refrigerator</v>
      </c>
      <c r="Q133" s="621" t="str">
        <f>IF('Data Export'!$D133="","", "")</f>
        <v/>
      </c>
      <c r="R133" s="621" t="str">
        <f>IF('Data Export'!$D133="","", "")</f>
        <v/>
      </c>
      <c r="S133" s="621" t="str">
        <f>IF('Data Export'!$D133="","", "")</f>
        <v/>
      </c>
      <c r="T133" s="621" t="str">
        <f>IF('Data Export'!$D133="","", "")</f>
        <v/>
      </c>
      <c r="U133" s="621" t="str">
        <f>IF('Data Export'!$D133="","", "")</f>
        <v/>
      </c>
      <c r="V133" s="621" t="str">
        <f>IF('Data Export'!$D133="","", "")</f>
        <v/>
      </c>
      <c r="W133" s="621" t="str">
        <f>IF('Data Export'!$D133="","", "")</f>
        <v/>
      </c>
      <c r="X133" s="621" t="str">
        <f>IF('Data Export'!$D133="","", "")</f>
        <v/>
      </c>
      <c r="Y133" s="621" t="str">
        <f>IF('Data Export'!$D133="","", "")</f>
        <v/>
      </c>
      <c r="Z133" s="621" t="str">
        <f>IF('Data Export'!$D133="","", "")</f>
        <v/>
      </c>
      <c r="AA133" s="621" t="str">
        <f>IF('Data Export'!$D133="","", "")</f>
        <v/>
      </c>
      <c r="AB133" s="621" t="str">
        <f>IF('Data Export'!$D133="","", "")</f>
        <v/>
      </c>
      <c r="AC133" s="621" t="str">
        <f>IF('Data Export'!$D133="","", "")</f>
        <v/>
      </c>
      <c r="AD133" s="621" t="str">
        <f>IF('Data Export'!$D133="","", "")</f>
        <v/>
      </c>
      <c r="AE133" s="621" t="str">
        <f>IF('Data Export'!$D133="","", "")</f>
        <v/>
      </c>
      <c r="AF133" s="621" t="str">
        <f>IF('Data Export'!$D133="","", "")</f>
        <v/>
      </c>
      <c r="AG133" s="621" t="str">
        <f>IF('Data Export'!$D133="","", "")</f>
        <v/>
      </c>
      <c r="AH133" s="621" t="str">
        <f>IF('Data Export'!$D133="","", "")</f>
        <v/>
      </c>
      <c r="AI133" s="621" t="str">
        <f>IF('Data Export'!$D133="","", "")</f>
        <v/>
      </c>
      <c r="AJ133" s="621">
        <f>IF('Data Export'!$D133="","",'Door Replace Open2021'!G8)</f>
        <v>0</v>
      </c>
      <c r="AK133" s="621" t="str">
        <f>IF('Data Export'!$D133="","", "")</f>
        <v/>
      </c>
      <c r="AL133" s="621"/>
      <c r="AM133" s="621">
        <f t="shared" ref="AM133:AM172" si="0" xml:space="preserve"> IFERROR(($I133+$AN133)/2, 0)</f>
        <v>0</v>
      </c>
      <c r="AN133" s="621" t="s">
        <v>322</v>
      </c>
      <c r="AO133" s="637" t="str">
        <f>IF('Data Export'!$D133="","", IFERROR(ROUND($F133/$D133, 2), ""))</f>
        <v/>
      </c>
      <c r="AP133" s="643">
        <f>IF('Data Export'!$D133="","",'Project Summary'!$C$11)</f>
        <v>0</v>
      </c>
      <c r="AQ133" s="621"/>
      <c r="AR133" s="621"/>
    </row>
    <row r="134" spans="1:44" x14ac:dyDescent="0.2">
      <c r="A134" s="656" t="str">
        <f>'Door Replace Open2021'!$B$3</f>
        <v>Refrigerated Display Cases with Doors Replacing Open Cases</v>
      </c>
      <c r="B134" s="614"/>
      <c r="C134" s="614">
        <v>132</v>
      </c>
      <c r="D134" s="630">
        <f>IF('Door Replace Open2021'!N9&gt;0,'Door Replace Open2021'!H9,"")</f>
        <v>0</v>
      </c>
      <c r="E134" s="614" t="str">
        <f>IF($D134="","",'Look Up Tables'!$AS$73)</f>
        <v>CaseDoor</v>
      </c>
      <c r="F134" s="636" t="str">
        <f>IF('Data Export'!$D134="","", 'Door Replace Open2021'!N9)</f>
        <v/>
      </c>
      <c r="G134" s="615">
        <f>IF('Data Export'!D134="","", 'Project Summary'!$C$6)</f>
        <v>0</v>
      </c>
      <c r="H134" s="635">
        <f>IF('Data Export'!$D134="","",'Door Replace Open2021'!K9)</f>
        <v>0</v>
      </c>
      <c r="I134" s="633">
        <f>IF('Data Export'!$D134="","",'Door Replace Open2021'!L9)</f>
        <v>0</v>
      </c>
      <c r="J134" s="630">
        <f>IF('Data Export'!$D134="","", 'Project Summary'!$J$1)</f>
        <v>5.01</v>
      </c>
      <c r="K134" s="630">
        <f>IF('Data Export'!$D134="","",'Door Replace Open2021'!D9)</f>
        <v>0</v>
      </c>
      <c r="L134" s="630">
        <f>IF('Data Export'!$D134="","",'Door Replace Open2021'!E9)</f>
        <v>0</v>
      </c>
      <c r="M134" s="614">
        <f>IF('Data Export'!$D134="","", 'Project Summary'!$C$13)</f>
        <v>0</v>
      </c>
      <c r="N134" s="614" t="str">
        <f>IF('Data Export'!$D134="","", "")</f>
        <v/>
      </c>
      <c r="O134" s="614" t="str">
        <f>IF('Data Export'!$D134="","", "")</f>
        <v/>
      </c>
      <c r="P134" s="616" t="str">
        <f>IF('Data Export'!$D134="","", "Refrigerator")</f>
        <v>Refrigerator</v>
      </c>
      <c r="Q134" s="614" t="str">
        <f>IF('Data Export'!$D134="","", "")</f>
        <v/>
      </c>
      <c r="R134" s="614" t="str">
        <f>IF('Data Export'!$D134="","", "")</f>
        <v/>
      </c>
      <c r="S134" s="614" t="str">
        <f>IF('Data Export'!$D134="","", "")</f>
        <v/>
      </c>
      <c r="T134" s="614" t="str">
        <f>IF('Data Export'!$D134="","", "")</f>
        <v/>
      </c>
      <c r="U134" s="614" t="str">
        <f>IF('Data Export'!$D134="","", "")</f>
        <v/>
      </c>
      <c r="V134" s="614" t="str">
        <f>IF('Data Export'!$D134="","", "")</f>
        <v/>
      </c>
      <c r="W134" s="614" t="str">
        <f>IF('Data Export'!$D134="","", "")</f>
        <v/>
      </c>
      <c r="X134" s="614" t="str">
        <f>IF('Data Export'!$D134="","", "")</f>
        <v/>
      </c>
      <c r="Y134" s="614" t="str">
        <f>IF('Data Export'!$D134="","", "")</f>
        <v/>
      </c>
      <c r="Z134" s="614" t="str">
        <f>IF('Data Export'!$D134="","", "")</f>
        <v/>
      </c>
      <c r="AA134" s="614" t="str">
        <f>IF('Data Export'!$D134="","", "")</f>
        <v/>
      </c>
      <c r="AB134" s="614" t="str">
        <f>IF('Data Export'!$D134="","", "")</f>
        <v/>
      </c>
      <c r="AC134" s="614" t="str">
        <f>IF('Data Export'!$D134="","", "")</f>
        <v/>
      </c>
      <c r="AD134" s="614" t="str">
        <f>IF('Data Export'!$D134="","", "")</f>
        <v/>
      </c>
      <c r="AE134" s="614" t="str">
        <f>IF('Data Export'!$D134="","", "")</f>
        <v/>
      </c>
      <c r="AF134" s="614" t="str">
        <f>IF('Data Export'!$D134="","", "")</f>
        <v/>
      </c>
      <c r="AG134" s="614" t="str">
        <f>IF('Data Export'!$D134="","", "")</f>
        <v/>
      </c>
      <c r="AH134" s="614" t="str">
        <f>IF('Data Export'!$D134="","", "")</f>
        <v/>
      </c>
      <c r="AI134" s="614" t="str">
        <f>IF('Data Export'!$D134="","", "")</f>
        <v/>
      </c>
      <c r="AJ134" s="614">
        <f>IF('Data Export'!$D134="","",'Door Replace Open2021'!G9)</f>
        <v>0</v>
      </c>
      <c r="AK134" s="614" t="str">
        <f>IF('Data Export'!$D134="","", "")</f>
        <v/>
      </c>
      <c r="AL134" s="614"/>
      <c r="AM134" s="614">
        <f t="shared" si="0"/>
        <v>0</v>
      </c>
      <c r="AN134" s="614" t="s">
        <v>322</v>
      </c>
      <c r="AO134" s="636" t="str">
        <f>IF('Data Export'!$D134="","", IFERROR(ROUND($F134/$D134, 2), ""))</f>
        <v/>
      </c>
      <c r="AP134" s="641">
        <f>IF('Data Export'!$D134="","",'Project Summary'!$C$11)</f>
        <v>0</v>
      </c>
      <c r="AQ134" s="614"/>
      <c r="AR134" s="614"/>
    </row>
    <row r="135" spans="1:44" x14ac:dyDescent="0.2">
      <c r="A135" s="656" t="str">
        <f>'Door Replace Open2021'!$B$3</f>
        <v>Refrigerated Display Cases with Doors Replacing Open Cases</v>
      </c>
      <c r="B135" s="614"/>
      <c r="C135" s="614">
        <v>133</v>
      </c>
      <c r="D135" s="630">
        <f>IF('Door Replace Open2021'!N10&gt;0,'Door Replace Open2021'!H10,"")</f>
        <v>0</v>
      </c>
      <c r="E135" s="614" t="str">
        <f>IF($D135="","",'Look Up Tables'!$AS$73)</f>
        <v>CaseDoor</v>
      </c>
      <c r="F135" s="636" t="str">
        <f>IF('Data Export'!$D135="","", 'Door Replace Open2021'!N10)</f>
        <v/>
      </c>
      <c r="G135" s="615">
        <f>IF('Data Export'!D135="","", 'Project Summary'!$C$6)</f>
        <v>0</v>
      </c>
      <c r="H135" s="635">
        <f>IF('Data Export'!$D135="","",'Door Replace Open2021'!K10)</f>
        <v>0</v>
      </c>
      <c r="I135" s="633">
        <f>IF('Data Export'!$D135="","",'Door Replace Open2021'!L10)</f>
        <v>0</v>
      </c>
      <c r="J135" s="630">
        <f>IF('Data Export'!$D135="","", 'Project Summary'!$J$1)</f>
        <v>5.01</v>
      </c>
      <c r="K135" s="630">
        <f>IF('Data Export'!$D135="","",'Door Replace Open2021'!D10)</f>
        <v>0</v>
      </c>
      <c r="L135" s="630">
        <f>IF('Data Export'!$D135="","",'Door Replace Open2021'!E10)</f>
        <v>0</v>
      </c>
      <c r="M135" s="614">
        <f>IF('Data Export'!$D135="","", 'Project Summary'!$C$13)</f>
        <v>0</v>
      </c>
      <c r="N135" s="614" t="str">
        <f>IF('Data Export'!$D135="","", "")</f>
        <v/>
      </c>
      <c r="O135" s="614" t="str">
        <f>IF('Data Export'!$D135="","", "")</f>
        <v/>
      </c>
      <c r="P135" s="616" t="str">
        <f>IF('Data Export'!$D135="","", "Refrigerator")</f>
        <v>Refrigerator</v>
      </c>
      <c r="Q135" s="614" t="str">
        <f>IF('Data Export'!$D135="","", "")</f>
        <v/>
      </c>
      <c r="R135" s="614" t="str">
        <f>IF('Data Export'!$D135="","", "")</f>
        <v/>
      </c>
      <c r="S135" s="614" t="str">
        <f>IF('Data Export'!$D135="","", "")</f>
        <v/>
      </c>
      <c r="T135" s="614" t="str">
        <f>IF('Data Export'!$D135="","", "")</f>
        <v/>
      </c>
      <c r="U135" s="614" t="str">
        <f>IF('Data Export'!$D135="","", "")</f>
        <v/>
      </c>
      <c r="V135" s="614" t="str">
        <f>IF('Data Export'!$D135="","", "")</f>
        <v/>
      </c>
      <c r="W135" s="614" t="str">
        <f>IF('Data Export'!$D135="","", "")</f>
        <v/>
      </c>
      <c r="X135" s="614" t="str">
        <f>IF('Data Export'!$D135="","", "")</f>
        <v/>
      </c>
      <c r="Y135" s="614" t="str">
        <f>IF('Data Export'!$D135="","", "")</f>
        <v/>
      </c>
      <c r="Z135" s="614" t="str">
        <f>IF('Data Export'!$D135="","", "")</f>
        <v/>
      </c>
      <c r="AA135" s="614" t="str">
        <f>IF('Data Export'!$D135="","", "")</f>
        <v/>
      </c>
      <c r="AB135" s="614" t="str">
        <f>IF('Data Export'!$D135="","", "")</f>
        <v/>
      </c>
      <c r="AC135" s="614" t="str">
        <f>IF('Data Export'!$D135="","", "")</f>
        <v/>
      </c>
      <c r="AD135" s="614" t="str">
        <f>IF('Data Export'!$D135="","", "")</f>
        <v/>
      </c>
      <c r="AE135" s="614" t="str">
        <f>IF('Data Export'!$D135="","", "")</f>
        <v/>
      </c>
      <c r="AF135" s="614" t="str">
        <f>IF('Data Export'!$D135="","", "")</f>
        <v/>
      </c>
      <c r="AG135" s="614" t="str">
        <f>IF('Data Export'!$D135="","", "")</f>
        <v/>
      </c>
      <c r="AH135" s="614" t="str">
        <f>IF('Data Export'!$D135="","", "")</f>
        <v/>
      </c>
      <c r="AI135" s="614" t="str">
        <f>IF('Data Export'!$D135="","", "")</f>
        <v/>
      </c>
      <c r="AJ135" s="614">
        <f>IF('Data Export'!$D135="","",'Door Replace Open2021'!G10)</f>
        <v>0</v>
      </c>
      <c r="AK135" s="614" t="str">
        <f>IF('Data Export'!$D135="","", "")</f>
        <v/>
      </c>
      <c r="AL135" s="614"/>
      <c r="AM135" s="614">
        <f t="shared" si="0"/>
        <v>0</v>
      </c>
      <c r="AN135" s="614" t="s">
        <v>322</v>
      </c>
      <c r="AO135" s="636" t="str">
        <f>IF('Data Export'!$D135="","", IFERROR(ROUND($F135/$D135, 2), ""))</f>
        <v/>
      </c>
      <c r="AP135" s="641">
        <f>IF('Data Export'!$D135="","",'Project Summary'!$C$11)</f>
        <v>0</v>
      </c>
      <c r="AQ135" s="614"/>
      <c r="AR135" s="614"/>
    </row>
    <row r="136" spans="1:44" x14ac:dyDescent="0.2">
      <c r="A136" s="656" t="str">
        <f>'Door Replace Open2021'!$B$3</f>
        <v>Refrigerated Display Cases with Doors Replacing Open Cases</v>
      </c>
      <c r="B136" s="614"/>
      <c r="C136" s="614">
        <v>134</v>
      </c>
      <c r="D136" s="630">
        <f>IF('Door Replace Open2021'!N11&gt;0,'Door Replace Open2021'!H11,"")</f>
        <v>0</v>
      </c>
      <c r="E136" s="614" t="str">
        <f>IF($D136="","",'Look Up Tables'!$AS$73)</f>
        <v>CaseDoor</v>
      </c>
      <c r="F136" s="636" t="str">
        <f>IF('Data Export'!$D136="","", 'Door Replace Open2021'!N11)</f>
        <v/>
      </c>
      <c r="G136" s="615">
        <f>IF('Data Export'!D136="","", 'Project Summary'!$C$6)</f>
        <v>0</v>
      </c>
      <c r="H136" s="635">
        <f>IF('Data Export'!$D136="","",'Door Replace Open2021'!K11)</f>
        <v>0</v>
      </c>
      <c r="I136" s="633">
        <f>IF('Data Export'!$D136="","",'Door Replace Open2021'!L11)</f>
        <v>0</v>
      </c>
      <c r="J136" s="630">
        <f>IF('Data Export'!$D136="","", 'Project Summary'!$J$1)</f>
        <v>5.01</v>
      </c>
      <c r="K136" s="630">
        <f>IF('Data Export'!$D136="","",'Door Replace Open2021'!D11)</f>
        <v>0</v>
      </c>
      <c r="L136" s="630">
        <f>IF('Data Export'!$D136="","",'Door Replace Open2021'!E11)</f>
        <v>0</v>
      </c>
      <c r="M136" s="614">
        <f>IF('Data Export'!$D136="","", 'Project Summary'!$C$13)</f>
        <v>0</v>
      </c>
      <c r="N136" s="614" t="str">
        <f>IF('Data Export'!$D136="","", "")</f>
        <v/>
      </c>
      <c r="O136" s="614" t="str">
        <f>IF('Data Export'!$D136="","", "")</f>
        <v/>
      </c>
      <c r="P136" s="616" t="str">
        <f>IF('Data Export'!$D136="","", "Refrigerator")</f>
        <v>Refrigerator</v>
      </c>
      <c r="Q136" s="614" t="str">
        <f>IF('Data Export'!$D136="","", "")</f>
        <v/>
      </c>
      <c r="R136" s="614" t="str">
        <f>IF('Data Export'!$D136="","", "")</f>
        <v/>
      </c>
      <c r="S136" s="614" t="str">
        <f>IF('Data Export'!$D136="","", "")</f>
        <v/>
      </c>
      <c r="T136" s="614" t="str">
        <f>IF('Data Export'!$D136="","", "")</f>
        <v/>
      </c>
      <c r="U136" s="614" t="str">
        <f>IF('Data Export'!$D136="","", "")</f>
        <v/>
      </c>
      <c r="V136" s="614" t="str">
        <f>IF('Data Export'!$D136="","", "")</f>
        <v/>
      </c>
      <c r="W136" s="614" t="str">
        <f>IF('Data Export'!$D136="","", "")</f>
        <v/>
      </c>
      <c r="X136" s="614" t="str">
        <f>IF('Data Export'!$D136="","", "")</f>
        <v/>
      </c>
      <c r="Y136" s="614" t="str">
        <f>IF('Data Export'!$D136="","", "")</f>
        <v/>
      </c>
      <c r="Z136" s="614" t="str">
        <f>IF('Data Export'!$D136="","", "")</f>
        <v/>
      </c>
      <c r="AA136" s="614" t="str">
        <f>IF('Data Export'!$D136="","", "")</f>
        <v/>
      </c>
      <c r="AB136" s="614" t="str">
        <f>IF('Data Export'!$D136="","", "")</f>
        <v/>
      </c>
      <c r="AC136" s="614" t="str">
        <f>IF('Data Export'!$D136="","", "")</f>
        <v/>
      </c>
      <c r="AD136" s="614" t="str">
        <f>IF('Data Export'!$D136="","", "")</f>
        <v/>
      </c>
      <c r="AE136" s="614" t="str">
        <f>IF('Data Export'!$D136="","", "")</f>
        <v/>
      </c>
      <c r="AF136" s="614" t="str">
        <f>IF('Data Export'!$D136="","", "")</f>
        <v/>
      </c>
      <c r="AG136" s="614" t="str">
        <f>IF('Data Export'!$D136="","", "")</f>
        <v/>
      </c>
      <c r="AH136" s="614" t="str">
        <f>IF('Data Export'!$D136="","", "")</f>
        <v/>
      </c>
      <c r="AI136" s="614" t="str">
        <f>IF('Data Export'!$D136="","", "")</f>
        <v/>
      </c>
      <c r="AJ136" s="614">
        <f>IF('Data Export'!$D136="","",'Door Replace Open2021'!G11)</f>
        <v>0</v>
      </c>
      <c r="AK136" s="614" t="str">
        <f>IF('Data Export'!$D136="","", "")</f>
        <v/>
      </c>
      <c r="AL136" s="614"/>
      <c r="AM136" s="614">
        <f t="shared" si="0"/>
        <v>0</v>
      </c>
      <c r="AN136" s="614" t="s">
        <v>322</v>
      </c>
      <c r="AO136" s="636" t="str">
        <f>IF('Data Export'!$D136="","", IFERROR(ROUND($F136/$D136, 2), ""))</f>
        <v/>
      </c>
      <c r="AP136" s="641">
        <f>IF('Data Export'!$D136="","",'Project Summary'!$C$11)</f>
        <v>0</v>
      </c>
      <c r="AQ136" s="614"/>
      <c r="AR136" s="614"/>
    </row>
    <row r="137" spans="1:44" x14ac:dyDescent="0.2">
      <c r="A137" s="656" t="str">
        <f>'Door Replace Open2021'!$B$3</f>
        <v>Refrigerated Display Cases with Doors Replacing Open Cases</v>
      </c>
      <c r="B137" s="614"/>
      <c r="C137" s="614">
        <v>135</v>
      </c>
      <c r="D137" s="630">
        <f>IF('Door Replace Open2021'!N12&gt;0,'Door Replace Open2021'!H12,"")</f>
        <v>0</v>
      </c>
      <c r="E137" s="614" t="str">
        <f>IF($D137="","",'Look Up Tables'!$AS$73)</f>
        <v>CaseDoor</v>
      </c>
      <c r="F137" s="636" t="str">
        <f>IF('Data Export'!$D137="","", 'Door Replace Open2021'!N12)</f>
        <v/>
      </c>
      <c r="G137" s="615">
        <f>IF('Data Export'!D137="","", 'Project Summary'!$C$6)</f>
        <v>0</v>
      </c>
      <c r="H137" s="635">
        <f>IF('Data Export'!$D137="","",'Door Replace Open2021'!K12)</f>
        <v>0</v>
      </c>
      <c r="I137" s="633">
        <f>IF('Data Export'!$D137="","",'Door Replace Open2021'!L12)</f>
        <v>0</v>
      </c>
      <c r="J137" s="630">
        <f>IF('Data Export'!$D137="","", 'Project Summary'!$J$1)</f>
        <v>5.01</v>
      </c>
      <c r="K137" s="630">
        <f>IF('Data Export'!$D137="","",'Door Replace Open2021'!D12)</f>
        <v>0</v>
      </c>
      <c r="L137" s="630">
        <f>IF('Data Export'!$D137="","",'Door Replace Open2021'!E12)</f>
        <v>0</v>
      </c>
      <c r="M137" s="614">
        <f>IF('Data Export'!$D137="","", 'Project Summary'!$C$13)</f>
        <v>0</v>
      </c>
      <c r="N137" s="614" t="str">
        <f>IF('Data Export'!$D137="","", "")</f>
        <v/>
      </c>
      <c r="O137" s="614" t="str">
        <f>IF('Data Export'!$D137="","", "")</f>
        <v/>
      </c>
      <c r="P137" s="616" t="str">
        <f>IF('Data Export'!$D137="","", "Refrigerator")</f>
        <v>Refrigerator</v>
      </c>
      <c r="Q137" s="614" t="str">
        <f>IF('Data Export'!$D137="","", "")</f>
        <v/>
      </c>
      <c r="R137" s="614" t="str">
        <f>IF('Data Export'!$D137="","", "")</f>
        <v/>
      </c>
      <c r="S137" s="614" t="str">
        <f>IF('Data Export'!$D137="","", "")</f>
        <v/>
      </c>
      <c r="T137" s="614" t="str">
        <f>IF('Data Export'!$D137="","", "")</f>
        <v/>
      </c>
      <c r="U137" s="614" t="str">
        <f>IF('Data Export'!$D137="","", "")</f>
        <v/>
      </c>
      <c r="V137" s="614" t="str">
        <f>IF('Data Export'!$D137="","", "")</f>
        <v/>
      </c>
      <c r="W137" s="614" t="str">
        <f>IF('Data Export'!$D137="","", "")</f>
        <v/>
      </c>
      <c r="X137" s="614" t="str">
        <f>IF('Data Export'!$D137="","", "")</f>
        <v/>
      </c>
      <c r="Y137" s="614" t="str">
        <f>IF('Data Export'!$D137="","", "")</f>
        <v/>
      </c>
      <c r="Z137" s="614" t="str">
        <f>IF('Data Export'!$D137="","", "")</f>
        <v/>
      </c>
      <c r="AA137" s="614" t="str">
        <f>IF('Data Export'!$D137="","", "")</f>
        <v/>
      </c>
      <c r="AB137" s="614" t="str">
        <f>IF('Data Export'!$D137="","", "")</f>
        <v/>
      </c>
      <c r="AC137" s="614" t="str">
        <f>IF('Data Export'!$D137="","", "")</f>
        <v/>
      </c>
      <c r="AD137" s="614" t="str">
        <f>IF('Data Export'!$D137="","", "")</f>
        <v/>
      </c>
      <c r="AE137" s="614" t="str">
        <f>IF('Data Export'!$D137="","", "")</f>
        <v/>
      </c>
      <c r="AF137" s="614" t="str">
        <f>IF('Data Export'!$D137="","", "")</f>
        <v/>
      </c>
      <c r="AG137" s="614" t="str">
        <f>IF('Data Export'!$D137="","", "")</f>
        <v/>
      </c>
      <c r="AH137" s="614" t="str">
        <f>IF('Data Export'!$D137="","", "")</f>
        <v/>
      </c>
      <c r="AI137" s="614" t="str">
        <f>IF('Data Export'!$D137="","", "")</f>
        <v/>
      </c>
      <c r="AJ137" s="614">
        <f>IF('Data Export'!$D137="","",'Door Replace Open2021'!G12)</f>
        <v>0</v>
      </c>
      <c r="AK137" s="614" t="str">
        <f>IF('Data Export'!$D137="","", "")</f>
        <v/>
      </c>
      <c r="AL137" s="614"/>
      <c r="AM137" s="614">
        <f t="shared" si="0"/>
        <v>0</v>
      </c>
      <c r="AN137" s="614" t="s">
        <v>322</v>
      </c>
      <c r="AO137" s="636" t="str">
        <f>IF('Data Export'!$D137="","", IFERROR(ROUND($F137/$D137, 2), ""))</f>
        <v/>
      </c>
      <c r="AP137" s="641">
        <f>IF('Data Export'!$D137="","",'Project Summary'!$C$11)</f>
        <v>0</v>
      </c>
      <c r="AQ137" s="614"/>
      <c r="AR137" s="614"/>
    </row>
    <row r="138" spans="1:44" x14ac:dyDescent="0.2">
      <c r="A138" s="656" t="str">
        <f>'Door Replace Open2021'!$B$3</f>
        <v>Refrigerated Display Cases with Doors Replacing Open Cases</v>
      </c>
      <c r="B138" s="614"/>
      <c r="C138" s="614">
        <v>136</v>
      </c>
      <c r="D138" s="630">
        <f>IF('Door Replace Open2021'!N13&gt;0,'Door Replace Open2021'!H13,"")</f>
        <v>0</v>
      </c>
      <c r="E138" s="614" t="str">
        <f>IF($D138="","",'Look Up Tables'!$AS$73)</f>
        <v>CaseDoor</v>
      </c>
      <c r="F138" s="636" t="str">
        <f>IF('Data Export'!$D138="","", 'Door Replace Open2021'!N13)</f>
        <v/>
      </c>
      <c r="G138" s="615">
        <f>IF('Data Export'!D138="","", 'Project Summary'!$C$6)</f>
        <v>0</v>
      </c>
      <c r="H138" s="635">
        <f>IF('Data Export'!$D138="","",'Door Replace Open2021'!K13)</f>
        <v>0</v>
      </c>
      <c r="I138" s="633">
        <f>IF('Data Export'!$D138="","",'Door Replace Open2021'!L13)</f>
        <v>0</v>
      </c>
      <c r="J138" s="630">
        <f>IF('Data Export'!$D138="","", 'Project Summary'!$J$1)</f>
        <v>5.01</v>
      </c>
      <c r="K138" s="630">
        <f>IF('Data Export'!$D138="","",'Door Replace Open2021'!D13)</f>
        <v>0</v>
      </c>
      <c r="L138" s="630">
        <f>IF('Data Export'!$D138="","",'Door Replace Open2021'!E13)</f>
        <v>0</v>
      </c>
      <c r="M138" s="614">
        <f>IF('Data Export'!$D138="","", 'Project Summary'!$C$13)</f>
        <v>0</v>
      </c>
      <c r="N138" s="614" t="str">
        <f>IF('Data Export'!$D138="","", "")</f>
        <v/>
      </c>
      <c r="O138" s="614" t="str">
        <f>IF('Data Export'!$D138="","", "")</f>
        <v/>
      </c>
      <c r="P138" s="616" t="str">
        <f>IF('Data Export'!$D138="","", "Refrigerator")</f>
        <v>Refrigerator</v>
      </c>
      <c r="Q138" s="614" t="str">
        <f>IF('Data Export'!$D138="","", "")</f>
        <v/>
      </c>
      <c r="R138" s="614" t="str">
        <f>IF('Data Export'!$D138="","", "")</f>
        <v/>
      </c>
      <c r="S138" s="614" t="str">
        <f>IF('Data Export'!$D138="","", "")</f>
        <v/>
      </c>
      <c r="T138" s="614" t="str">
        <f>IF('Data Export'!$D138="","", "")</f>
        <v/>
      </c>
      <c r="U138" s="614" t="str">
        <f>IF('Data Export'!$D138="","", "")</f>
        <v/>
      </c>
      <c r="V138" s="614" t="str">
        <f>IF('Data Export'!$D138="","", "")</f>
        <v/>
      </c>
      <c r="W138" s="614" t="str">
        <f>IF('Data Export'!$D138="","", "")</f>
        <v/>
      </c>
      <c r="X138" s="614" t="str">
        <f>IF('Data Export'!$D138="","", "")</f>
        <v/>
      </c>
      <c r="Y138" s="614" t="str">
        <f>IF('Data Export'!$D138="","", "")</f>
        <v/>
      </c>
      <c r="Z138" s="614" t="str">
        <f>IF('Data Export'!$D138="","", "")</f>
        <v/>
      </c>
      <c r="AA138" s="614" t="str">
        <f>IF('Data Export'!$D138="","", "")</f>
        <v/>
      </c>
      <c r="AB138" s="614" t="str">
        <f>IF('Data Export'!$D138="","", "")</f>
        <v/>
      </c>
      <c r="AC138" s="614" t="str">
        <f>IF('Data Export'!$D138="","", "")</f>
        <v/>
      </c>
      <c r="AD138" s="614" t="str">
        <f>IF('Data Export'!$D138="","", "")</f>
        <v/>
      </c>
      <c r="AE138" s="614" t="str">
        <f>IF('Data Export'!$D138="","", "")</f>
        <v/>
      </c>
      <c r="AF138" s="614" t="str">
        <f>IF('Data Export'!$D138="","", "")</f>
        <v/>
      </c>
      <c r="AG138" s="614" t="str">
        <f>IF('Data Export'!$D138="","", "")</f>
        <v/>
      </c>
      <c r="AH138" s="614" t="str">
        <f>IF('Data Export'!$D138="","", "")</f>
        <v/>
      </c>
      <c r="AI138" s="614" t="str">
        <f>IF('Data Export'!$D138="","", "")</f>
        <v/>
      </c>
      <c r="AJ138" s="614">
        <f>IF('Data Export'!$D138="","",'Door Replace Open2021'!G13)</f>
        <v>0</v>
      </c>
      <c r="AK138" s="614" t="str">
        <f>IF('Data Export'!$D138="","", "")</f>
        <v/>
      </c>
      <c r="AL138" s="614"/>
      <c r="AM138" s="614">
        <f t="shared" si="0"/>
        <v>0</v>
      </c>
      <c r="AN138" s="614" t="s">
        <v>322</v>
      </c>
      <c r="AO138" s="636" t="str">
        <f>IF('Data Export'!$D138="","", IFERROR(ROUND($F138/$D138, 2), ""))</f>
        <v/>
      </c>
      <c r="AP138" s="641">
        <f>IF('Data Export'!$D138="","",'Project Summary'!$C$11)</f>
        <v>0</v>
      </c>
      <c r="AQ138" s="614"/>
      <c r="AR138" s="614"/>
    </row>
    <row r="139" spans="1:44" x14ac:dyDescent="0.2">
      <c r="A139" s="656" t="str">
        <f>'Door Replace Open2021'!$B$3</f>
        <v>Refrigerated Display Cases with Doors Replacing Open Cases</v>
      </c>
      <c r="B139" s="614"/>
      <c r="C139" s="614">
        <v>137</v>
      </c>
      <c r="D139" s="630">
        <f>IF('Door Replace Open2021'!N14&gt;0,'Door Replace Open2021'!H14,"")</f>
        <v>0</v>
      </c>
      <c r="E139" s="614" t="str">
        <f>IF($D139="","",'Look Up Tables'!$AS$73)</f>
        <v>CaseDoor</v>
      </c>
      <c r="F139" s="636" t="str">
        <f>IF('Data Export'!$D139="","", 'Door Replace Open2021'!N14)</f>
        <v/>
      </c>
      <c r="G139" s="615">
        <f>IF('Data Export'!D139="","", 'Project Summary'!$C$6)</f>
        <v>0</v>
      </c>
      <c r="H139" s="635">
        <f>IF('Data Export'!$D139="","",'Door Replace Open2021'!K14)</f>
        <v>0</v>
      </c>
      <c r="I139" s="633">
        <f>IF('Data Export'!$D139="","",'Door Replace Open2021'!L14)</f>
        <v>0</v>
      </c>
      <c r="J139" s="630">
        <f>IF('Data Export'!$D139="","", 'Project Summary'!$J$1)</f>
        <v>5.01</v>
      </c>
      <c r="K139" s="630">
        <f>IF('Data Export'!$D139="","",'Door Replace Open2021'!D14)</f>
        <v>0</v>
      </c>
      <c r="L139" s="630">
        <f>IF('Data Export'!$D139="","",'Door Replace Open2021'!E14)</f>
        <v>0</v>
      </c>
      <c r="M139" s="614">
        <f>IF('Data Export'!$D139="","", 'Project Summary'!$C$13)</f>
        <v>0</v>
      </c>
      <c r="N139" s="614" t="str">
        <f>IF('Data Export'!$D139="","", "")</f>
        <v/>
      </c>
      <c r="O139" s="614" t="str">
        <f>IF('Data Export'!$D139="","", "")</f>
        <v/>
      </c>
      <c r="P139" s="616" t="str">
        <f>IF('Data Export'!$D139="","", "Refrigerator")</f>
        <v>Refrigerator</v>
      </c>
      <c r="Q139" s="614" t="str">
        <f>IF('Data Export'!$D139="","", "")</f>
        <v/>
      </c>
      <c r="R139" s="614" t="str">
        <f>IF('Data Export'!$D139="","", "")</f>
        <v/>
      </c>
      <c r="S139" s="614" t="str">
        <f>IF('Data Export'!$D139="","", "")</f>
        <v/>
      </c>
      <c r="T139" s="614" t="str">
        <f>IF('Data Export'!$D139="","", "")</f>
        <v/>
      </c>
      <c r="U139" s="614" t="str">
        <f>IF('Data Export'!$D139="","", "")</f>
        <v/>
      </c>
      <c r="V139" s="614" t="str">
        <f>IF('Data Export'!$D139="","", "")</f>
        <v/>
      </c>
      <c r="W139" s="614" t="str">
        <f>IF('Data Export'!$D139="","", "")</f>
        <v/>
      </c>
      <c r="X139" s="614" t="str">
        <f>IF('Data Export'!$D139="","", "")</f>
        <v/>
      </c>
      <c r="Y139" s="614" t="str">
        <f>IF('Data Export'!$D139="","", "")</f>
        <v/>
      </c>
      <c r="Z139" s="614" t="str">
        <f>IF('Data Export'!$D139="","", "")</f>
        <v/>
      </c>
      <c r="AA139" s="614" t="str">
        <f>IF('Data Export'!$D139="","", "")</f>
        <v/>
      </c>
      <c r="AB139" s="614" t="str">
        <f>IF('Data Export'!$D139="","", "")</f>
        <v/>
      </c>
      <c r="AC139" s="614" t="str">
        <f>IF('Data Export'!$D139="","", "")</f>
        <v/>
      </c>
      <c r="AD139" s="614" t="str">
        <f>IF('Data Export'!$D139="","", "")</f>
        <v/>
      </c>
      <c r="AE139" s="614" t="str">
        <f>IF('Data Export'!$D139="","", "")</f>
        <v/>
      </c>
      <c r="AF139" s="614" t="str">
        <f>IF('Data Export'!$D139="","", "")</f>
        <v/>
      </c>
      <c r="AG139" s="614" t="str">
        <f>IF('Data Export'!$D139="","", "")</f>
        <v/>
      </c>
      <c r="AH139" s="614" t="str">
        <f>IF('Data Export'!$D139="","", "")</f>
        <v/>
      </c>
      <c r="AI139" s="614" t="str">
        <f>IF('Data Export'!$D139="","", "")</f>
        <v/>
      </c>
      <c r="AJ139" s="614">
        <f>IF('Data Export'!$D139="","",'Door Replace Open2021'!G14)</f>
        <v>0</v>
      </c>
      <c r="AK139" s="614" t="str">
        <f>IF('Data Export'!$D139="","", "")</f>
        <v/>
      </c>
      <c r="AL139" s="614"/>
      <c r="AM139" s="614">
        <f t="shared" si="0"/>
        <v>0</v>
      </c>
      <c r="AN139" s="614" t="s">
        <v>322</v>
      </c>
      <c r="AO139" s="636" t="str">
        <f>IF('Data Export'!$D139="","", IFERROR(ROUND($F139/$D139, 2), ""))</f>
        <v/>
      </c>
      <c r="AP139" s="641">
        <f>IF('Data Export'!$D139="","",'Project Summary'!$C$11)</f>
        <v>0</v>
      </c>
      <c r="AQ139" s="614"/>
      <c r="AR139" s="614"/>
    </row>
    <row r="140" spans="1:44" x14ac:dyDescent="0.2">
      <c r="A140" s="656" t="str">
        <f>'Door Replace Open2021'!$B$3</f>
        <v>Refrigerated Display Cases with Doors Replacing Open Cases</v>
      </c>
      <c r="B140" s="614"/>
      <c r="C140" s="614">
        <v>138</v>
      </c>
      <c r="D140" s="630">
        <f>IF('Door Replace Open2021'!N15&gt;0,'Door Replace Open2021'!H15,"")</f>
        <v>0</v>
      </c>
      <c r="E140" s="614" t="str">
        <f>IF($D140="","",'Look Up Tables'!$AS$73)</f>
        <v>CaseDoor</v>
      </c>
      <c r="F140" s="636" t="str">
        <f>IF('Data Export'!$D140="","", 'Door Replace Open2021'!N15)</f>
        <v/>
      </c>
      <c r="G140" s="615">
        <f>IF('Data Export'!D140="","", 'Project Summary'!$C$6)</f>
        <v>0</v>
      </c>
      <c r="H140" s="635">
        <f>IF('Data Export'!$D140="","",'Door Replace Open2021'!K15)</f>
        <v>0</v>
      </c>
      <c r="I140" s="633">
        <f>IF('Data Export'!$D140="","",'Door Replace Open2021'!L15)</f>
        <v>0</v>
      </c>
      <c r="J140" s="630">
        <f>IF('Data Export'!$D140="","", 'Project Summary'!$J$1)</f>
        <v>5.01</v>
      </c>
      <c r="K140" s="630">
        <f>IF('Data Export'!$D140="","",'Door Replace Open2021'!D15)</f>
        <v>0</v>
      </c>
      <c r="L140" s="630">
        <f>IF('Data Export'!$D140="","",'Door Replace Open2021'!E15)</f>
        <v>0</v>
      </c>
      <c r="M140" s="614">
        <f>IF('Data Export'!$D140="","", 'Project Summary'!$C$13)</f>
        <v>0</v>
      </c>
      <c r="N140" s="614" t="str">
        <f>IF('Data Export'!$D140="","", "")</f>
        <v/>
      </c>
      <c r="O140" s="614" t="str">
        <f>IF('Data Export'!$D140="","", "")</f>
        <v/>
      </c>
      <c r="P140" s="616" t="str">
        <f>IF('Data Export'!$D140="","", "Refrigerator")</f>
        <v>Refrigerator</v>
      </c>
      <c r="Q140" s="614" t="str">
        <f>IF('Data Export'!$D140="","", "")</f>
        <v/>
      </c>
      <c r="R140" s="614" t="str">
        <f>IF('Data Export'!$D140="","", "")</f>
        <v/>
      </c>
      <c r="S140" s="614" t="str">
        <f>IF('Data Export'!$D140="","", "")</f>
        <v/>
      </c>
      <c r="T140" s="614" t="str">
        <f>IF('Data Export'!$D140="","", "")</f>
        <v/>
      </c>
      <c r="U140" s="614" t="str">
        <f>IF('Data Export'!$D140="","", "")</f>
        <v/>
      </c>
      <c r="V140" s="614" t="str">
        <f>IF('Data Export'!$D140="","", "")</f>
        <v/>
      </c>
      <c r="W140" s="614" t="str">
        <f>IF('Data Export'!$D140="","", "")</f>
        <v/>
      </c>
      <c r="X140" s="614" t="str">
        <f>IF('Data Export'!$D140="","", "")</f>
        <v/>
      </c>
      <c r="Y140" s="614" t="str">
        <f>IF('Data Export'!$D140="","", "")</f>
        <v/>
      </c>
      <c r="Z140" s="614" t="str">
        <f>IF('Data Export'!$D140="","", "")</f>
        <v/>
      </c>
      <c r="AA140" s="614" t="str">
        <f>IF('Data Export'!$D140="","", "")</f>
        <v/>
      </c>
      <c r="AB140" s="614" t="str">
        <f>IF('Data Export'!$D140="","", "")</f>
        <v/>
      </c>
      <c r="AC140" s="614" t="str">
        <f>IF('Data Export'!$D140="","", "")</f>
        <v/>
      </c>
      <c r="AD140" s="614" t="str">
        <f>IF('Data Export'!$D140="","", "")</f>
        <v/>
      </c>
      <c r="AE140" s="614" t="str">
        <f>IF('Data Export'!$D140="","", "")</f>
        <v/>
      </c>
      <c r="AF140" s="614" t="str">
        <f>IF('Data Export'!$D140="","", "")</f>
        <v/>
      </c>
      <c r="AG140" s="614" t="str">
        <f>IF('Data Export'!$D140="","", "")</f>
        <v/>
      </c>
      <c r="AH140" s="614" t="str">
        <f>IF('Data Export'!$D140="","", "")</f>
        <v/>
      </c>
      <c r="AI140" s="614" t="str">
        <f>IF('Data Export'!$D140="","", "")</f>
        <v/>
      </c>
      <c r="AJ140" s="614">
        <f>IF('Data Export'!$D140="","",'Door Replace Open2021'!G15)</f>
        <v>0</v>
      </c>
      <c r="AK140" s="614" t="str">
        <f>IF('Data Export'!$D140="","", "")</f>
        <v/>
      </c>
      <c r="AL140" s="614"/>
      <c r="AM140" s="614">
        <f t="shared" si="0"/>
        <v>0</v>
      </c>
      <c r="AN140" s="614" t="s">
        <v>322</v>
      </c>
      <c r="AO140" s="636" t="str">
        <f>IF('Data Export'!$D140="","", IFERROR(ROUND($F140/$D140, 2), ""))</f>
        <v/>
      </c>
      <c r="AP140" s="641">
        <f>IF('Data Export'!$D140="","",'Project Summary'!$C$11)</f>
        <v>0</v>
      </c>
      <c r="AQ140" s="614"/>
      <c r="AR140" s="614"/>
    </row>
    <row r="141" spans="1:44" x14ac:dyDescent="0.2">
      <c r="A141" s="656" t="str">
        <f>'Door Replace Open2021'!$B$3</f>
        <v>Refrigerated Display Cases with Doors Replacing Open Cases</v>
      </c>
      <c r="B141" s="614"/>
      <c r="C141" s="614">
        <v>139</v>
      </c>
      <c r="D141" s="630">
        <f>IF('Door Replace Open2021'!N16&gt;0,'Door Replace Open2021'!H16,"")</f>
        <v>0</v>
      </c>
      <c r="E141" s="614" t="str">
        <f>IF($D141="","",'Look Up Tables'!$AS$73)</f>
        <v>CaseDoor</v>
      </c>
      <c r="F141" s="636" t="str">
        <f>IF('Data Export'!$D141="","", 'Door Replace Open2021'!N16)</f>
        <v/>
      </c>
      <c r="G141" s="615">
        <f>IF('Data Export'!D141="","", 'Project Summary'!$C$6)</f>
        <v>0</v>
      </c>
      <c r="H141" s="635">
        <f>IF('Data Export'!$D141="","",'Door Replace Open2021'!K16)</f>
        <v>0</v>
      </c>
      <c r="I141" s="633">
        <f>IF('Data Export'!$D141="","",'Door Replace Open2021'!L16)</f>
        <v>0</v>
      </c>
      <c r="J141" s="630">
        <f>IF('Data Export'!$D141="","", 'Project Summary'!$J$1)</f>
        <v>5.01</v>
      </c>
      <c r="K141" s="630">
        <f>IF('Data Export'!$D141="","",'Door Replace Open2021'!D16)</f>
        <v>0</v>
      </c>
      <c r="L141" s="630">
        <f>IF('Data Export'!$D141="","",'Door Replace Open2021'!E16)</f>
        <v>0</v>
      </c>
      <c r="M141" s="614">
        <f>IF('Data Export'!$D141="","", 'Project Summary'!$C$13)</f>
        <v>0</v>
      </c>
      <c r="N141" s="614" t="str">
        <f>IF('Data Export'!$D141="","", "")</f>
        <v/>
      </c>
      <c r="O141" s="614" t="str">
        <f>IF('Data Export'!$D141="","", "")</f>
        <v/>
      </c>
      <c r="P141" s="616" t="str">
        <f>IF('Data Export'!$D141="","", "Refrigerator")</f>
        <v>Refrigerator</v>
      </c>
      <c r="Q141" s="614" t="str">
        <f>IF('Data Export'!$D141="","", "")</f>
        <v/>
      </c>
      <c r="R141" s="614" t="str">
        <f>IF('Data Export'!$D141="","", "")</f>
        <v/>
      </c>
      <c r="S141" s="614" t="str">
        <f>IF('Data Export'!$D141="","", "")</f>
        <v/>
      </c>
      <c r="T141" s="614" t="str">
        <f>IF('Data Export'!$D141="","", "")</f>
        <v/>
      </c>
      <c r="U141" s="614" t="str">
        <f>IF('Data Export'!$D141="","", "")</f>
        <v/>
      </c>
      <c r="V141" s="614" t="str">
        <f>IF('Data Export'!$D141="","", "")</f>
        <v/>
      </c>
      <c r="W141" s="614" t="str">
        <f>IF('Data Export'!$D141="","", "")</f>
        <v/>
      </c>
      <c r="X141" s="614" t="str">
        <f>IF('Data Export'!$D141="","", "")</f>
        <v/>
      </c>
      <c r="Y141" s="614" t="str">
        <f>IF('Data Export'!$D141="","", "")</f>
        <v/>
      </c>
      <c r="Z141" s="614" t="str">
        <f>IF('Data Export'!$D141="","", "")</f>
        <v/>
      </c>
      <c r="AA141" s="614" t="str">
        <f>IF('Data Export'!$D141="","", "")</f>
        <v/>
      </c>
      <c r="AB141" s="614" t="str">
        <f>IF('Data Export'!$D141="","", "")</f>
        <v/>
      </c>
      <c r="AC141" s="614" t="str">
        <f>IF('Data Export'!$D141="","", "")</f>
        <v/>
      </c>
      <c r="AD141" s="614" t="str">
        <f>IF('Data Export'!$D141="","", "")</f>
        <v/>
      </c>
      <c r="AE141" s="614" t="str">
        <f>IF('Data Export'!$D141="","", "")</f>
        <v/>
      </c>
      <c r="AF141" s="614" t="str">
        <f>IF('Data Export'!$D141="","", "")</f>
        <v/>
      </c>
      <c r="AG141" s="614" t="str">
        <f>IF('Data Export'!$D141="","", "")</f>
        <v/>
      </c>
      <c r="AH141" s="614" t="str">
        <f>IF('Data Export'!$D141="","", "")</f>
        <v/>
      </c>
      <c r="AI141" s="614" t="str">
        <f>IF('Data Export'!$D141="","", "")</f>
        <v/>
      </c>
      <c r="AJ141" s="614">
        <f>IF('Data Export'!$D141="","",'Door Replace Open2021'!G16)</f>
        <v>0</v>
      </c>
      <c r="AK141" s="614" t="str">
        <f>IF('Data Export'!$D141="","", "")</f>
        <v/>
      </c>
      <c r="AL141" s="614"/>
      <c r="AM141" s="614">
        <f t="shared" si="0"/>
        <v>0</v>
      </c>
      <c r="AN141" s="614" t="s">
        <v>322</v>
      </c>
      <c r="AO141" s="636" t="str">
        <f>IF('Data Export'!$D141="","", IFERROR(ROUND($F141/$D141, 2), ""))</f>
        <v/>
      </c>
      <c r="AP141" s="641">
        <f>IF('Data Export'!$D141="","",'Project Summary'!$C$11)</f>
        <v>0</v>
      </c>
      <c r="AQ141" s="614"/>
      <c r="AR141" s="614"/>
    </row>
    <row r="142" spans="1:44" ht="15" thickBot="1" x14ac:dyDescent="0.25">
      <c r="A142" s="657" t="str">
        <f>'Door Replace Open2021'!$B$3</f>
        <v>Refrigerated Display Cases with Doors Replacing Open Cases</v>
      </c>
      <c r="B142" s="626"/>
      <c r="C142" s="626">
        <v>140</v>
      </c>
      <c r="D142" s="631">
        <f>IF('Door Replace Open2021'!N17&gt;0,'Door Replace Open2021'!H17,"")</f>
        <v>0</v>
      </c>
      <c r="E142" s="626" t="str">
        <f>IF($D142="","",'Look Up Tables'!$AS$73)</f>
        <v>CaseDoor</v>
      </c>
      <c r="F142" s="638" t="str">
        <f>IF('Data Export'!$D142="","", 'Door Replace Open2021'!N17)</f>
        <v/>
      </c>
      <c r="G142" s="627">
        <f>IF('Data Export'!D142="","", 'Project Summary'!$C$6)</f>
        <v>0</v>
      </c>
      <c r="H142" s="639">
        <f>IF('Data Export'!$D142="","",'Door Replace Open2021'!K17)</f>
        <v>0</v>
      </c>
      <c r="I142" s="634">
        <f>IF('Data Export'!$D142="","",'Door Replace Open2021'!L17)</f>
        <v>0</v>
      </c>
      <c r="J142" s="631">
        <f>IF('Data Export'!$D142="","", 'Project Summary'!$J$1)</f>
        <v>5.01</v>
      </c>
      <c r="K142" s="631">
        <f>IF('Data Export'!$D142="","",'Door Replace Open2021'!D17)</f>
        <v>0</v>
      </c>
      <c r="L142" s="631">
        <f>IF('Data Export'!$D142="","",'Door Replace Open2021'!E17)</f>
        <v>0</v>
      </c>
      <c r="M142" s="626">
        <f>IF('Data Export'!$D142="","", 'Project Summary'!$C$13)</f>
        <v>0</v>
      </c>
      <c r="N142" s="626" t="str">
        <f>IF('Data Export'!$D142="","", "")</f>
        <v/>
      </c>
      <c r="O142" s="626" t="str">
        <f>IF('Data Export'!$D142="","", "")</f>
        <v/>
      </c>
      <c r="P142" s="628" t="str">
        <f>IF('Data Export'!$D142="","", "Refrigerator")</f>
        <v>Refrigerator</v>
      </c>
      <c r="Q142" s="626" t="str">
        <f>IF('Data Export'!$D142="","", "")</f>
        <v/>
      </c>
      <c r="R142" s="626" t="str">
        <f>IF('Data Export'!$D142="","", "")</f>
        <v/>
      </c>
      <c r="S142" s="626" t="str">
        <f>IF('Data Export'!$D142="","", "")</f>
        <v/>
      </c>
      <c r="T142" s="626" t="str">
        <f>IF('Data Export'!$D142="","", "")</f>
        <v/>
      </c>
      <c r="U142" s="626" t="str">
        <f>IF('Data Export'!$D142="","", "")</f>
        <v/>
      </c>
      <c r="V142" s="626" t="str">
        <f>IF('Data Export'!$D142="","", "")</f>
        <v/>
      </c>
      <c r="W142" s="626" t="str">
        <f>IF('Data Export'!$D142="","", "")</f>
        <v/>
      </c>
      <c r="X142" s="626" t="str">
        <f>IF('Data Export'!$D142="","", "")</f>
        <v/>
      </c>
      <c r="Y142" s="626" t="str">
        <f>IF('Data Export'!$D142="","", "")</f>
        <v/>
      </c>
      <c r="Z142" s="626" t="str">
        <f>IF('Data Export'!$D142="","", "")</f>
        <v/>
      </c>
      <c r="AA142" s="626" t="str">
        <f>IF('Data Export'!$D142="","", "")</f>
        <v/>
      </c>
      <c r="AB142" s="626" t="str">
        <f>IF('Data Export'!$D142="","", "")</f>
        <v/>
      </c>
      <c r="AC142" s="626" t="str">
        <f>IF('Data Export'!$D142="","", "")</f>
        <v/>
      </c>
      <c r="AD142" s="626" t="str">
        <f>IF('Data Export'!$D142="","", "")</f>
        <v/>
      </c>
      <c r="AE142" s="626" t="str">
        <f>IF('Data Export'!$D142="","", "")</f>
        <v/>
      </c>
      <c r="AF142" s="626" t="str">
        <f>IF('Data Export'!$D142="","", "")</f>
        <v/>
      </c>
      <c r="AG142" s="626" t="str">
        <f>IF('Data Export'!$D142="","", "")</f>
        <v/>
      </c>
      <c r="AH142" s="626" t="str">
        <f>IF('Data Export'!$D142="","", "")</f>
        <v/>
      </c>
      <c r="AI142" s="626" t="str">
        <f>IF('Data Export'!$D142="","", "")</f>
        <v/>
      </c>
      <c r="AJ142" s="626">
        <f>IF('Data Export'!$D142="","",'Door Replace Open2021'!G17)</f>
        <v>0</v>
      </c>
      <c r="AK142" s="626" t="str">
        <f>IF('Data Export'!$D142="","", "")</f>
        <v/>
      </c>
      <c r="AL142" s="626"/>
      <c r="AM142" s="626">
        <f t="shared" si="0"/>
        <v>0</v>
      </c>
      <c r="AN142" s="626" t="s">
        <v>322</v>
      </c>
      <c r="AO142" s="638" t="str">
        <f>IF('Data Export'!$D142="","", IFERROR(ROUND($F142/$D142, 2), ""))</f>
        <v/>
      </c>
      <c r="AP142" s="642">
        <f>IF('Data Export'!$D142="","",'Project Summary'!$C$11)</f>
        <v>0</v>
      </c>
      <c r="AQ142" s="626"/>
      <c r="AR142" s="626"/>
    </row>
    <row r="143" spans="1:44" ht="15" thickTop="1" x14ac:dyDescent="0.2">
      <c r="A143" s="655" t="str">
        <f>'Air Cooled Ref Condenser'!$B$3</f>
        <v>Air-Cooled Refrigeration Condenser</v>
      </c>
      <c r="B143" s="621"/>
      <c r="C143" s="621">
        <v>141</v>
      </c>
      <c r="D143" s="632">
        <f>IF('Air Cooled Ref Condenser'!M8&gt;0,'Air Cooled Ref Condenser'!H8,"")</f>
        <v>0</v>
      </c>
      <c r="E143" s="621">
        <f>IF(D143="","",'Look Up Tables'!$BA$60)</f>
        <v>0</v>
      </c>
      <c r="F143" s="637" t="str">
        <f>IF('Data Export'!$D143="","", 'Air Cooled Ref Condenser'!M8)</f>
        <v/>
      </c>
      <c r="G143" s="622">
        <f>IF('Data Export'!D143="","", 'Project Summary'!$C$6)</f>
        <v>0</v>
      </c>
      <c r="H143" s="640">
        <f>IF('Data Export'!$D143="","",'Air Cooled Ref Condenser'!J8)</f>
        <v>0</v>
      </c>
      <c r="I143" s="644">
        <f>IF('Data Export'!$D143="","",'Air Cooled Ref Condenser'!K8)</f>
        <v>0</v>
      </c>
      <c r="J143" s="632">
        <f>IF('Data Export'!$D143="","", 'Project Summary'!$J$1)</f>
        <v>5.01</v>
      </c>
      <c r="K143" s="632">
        <f>IF('Data Export'!$D143="","",'Air Cooled Ref Condenser'!D8)</f>
        <v>0</v>
      </c>
      <c r="L143" s="632">
        <f>IF('Data Export'!$D143="","",'Air Cooled Ref Condenser'!E8)</f>
        <v>0</v>
      </c>
      <c r="M143" s="621">
        <f>IF('Data Export'!$D143="","", 'Project Summary'!$C$13)</f>
        <v>0</v>
      </c>
      <c r="N143" s="621" t="str">
        <f>IF('Data Export'!$D143="","", "")</f>
        <v/>
      </c>
      <c r="O143" s="621" t="str">
        <f>IF('Data Export'!$D143="","", "")</f>
        <v/>
      </c>
      <c r="P143" s="621" t="str">
        <f>IF('Data Export'!$D143="","", "")</f>
        <v/>
      </c>
      <c r="Q143" s="621" t="str">
        <f>IF('Data Export'!$D143="","", "")</f>
        <v/>
      </c>
      <c r="R143" s="621" t="str">
        <f>IF('Data Export'!$D143="","", "")</f>
        <v/>
      </c>
      <c r="S143" s="621" t="str">
        <f>IF('Data Export'!$D143="","", "")</f>
        <v/>
      </c>
      <c r="T143" s="621" t="str">
        <f>IF('Data Export'!$D143="","", "")</f>
        <v/>
      </c>
      <c r="U143" s="621" t="str">
        <f>IF('Data Export'!$D143="","", "")</f>
        <v/>
      </c>
      <c r="V143" s="621" t="str">
        <f>IF('Data Export'!$D143="","", "")</f>
        <v/>
      </c>
      <c r="W143" s="621" t="str">
        <f>IF('Data Export'!$D143="","", "")</f>
        <v/>
      </c>
      <c r="X143" s="621">
        <f>IF('Data Export'!$D143="","", 'Air Cooled Ref Condenser'!G8)</f>
        <v>0</v>
      </c>
      <c r="Y143" s="621" t="str">
        <f>IF('Data Export'!$D143="","", "")</f>
        <v/>
      </c>
      <c r="Z143" s="621" t="str">
        <f>IF('Data Export'!$D143="","", "")</f>
        <v/>
      </c>
      <c r="AA143" s="621" t="str">
        <f>IF('Data Export'!$D143="","", "")</f>
        <v/>
      </c>
      <c r="AB143" s="621" t="str">
        <f>IF('Data Export'!$D143="","", "")</f>
        <v/>
      </c>
      <c r="AC143" s="621" t="str">
        <f>IF('Data Export'!$D143="","", "")</f>
        <v/>
      </c>
      <c r="AD143" s="621" t="str">
        <f>IF('Data Export'!$D143="","", "")</f>
        <v/>
      </c>
      <c r="AE143" s="621" t="str">
        <f>IF('Data Export'!$D143="","", "")</f>
        <v/>
      </c>
      <c r="AF143" s="621" t="str">
        <f>IF('Data Export'!$D143="","", "")</f>
        <v/>
      </c>
      <c r="AG143" s="621" t="str">
        <f>IF('Data Export'!$D143="","", "")</f>
        <v/>
      </c>
      <c r="AH143" s="621" t="str">
        <f>IF('Data Export'!$D143="","", "")</f>
        <v/>
      </c>
      <c r="AI143" s="621" t="str">
        <f>IF('Data Export'!$D143="","", "")</f>
        <v/>
      </c>
      <c r="AJ143" s="621" t="str">
        <f>IF('Data Export'!$D143="","", "")</f>
        <v/>
      </c>
      <c r="AK143" s="621" t="str">
        <f>IF('Data Export'!$D143="","", "")</f>
        <v/>
      </c>
      <c r="AL143" s="621"/>
      <c r="AM143" s="621">
        <f t="shared" si="0"/>
        <v>0</v>
      </c>
      <c r="AN143" s="621" t="s">
        <v>322</v>
      </c>
      <c r="AO143" s="637" t="str">
        <f>IF('Data Export'!$D143="","", IFERROR(ROUND($F143/$D143, 2), ""))</f>
        <v/>
      </c>
      <c r="AP143" s="643">
        <f>IF('Data Export'!$D143="","",'Project Summary'!$C$11)</f>
        <v>0</v>
      </c>
      <c r="AQ143" s="621"/>
      <c r="AR143" s="621"/>
    </row>
    <row r="144" spans="1:44" x14ac:dyDescent="0.2">
      <c r="A144" s="656" t="str">
        <f>'Air Cooled Ref Condenser'!$B$3</f>
        <v>Air-Cooled Refrigeration Condenser</v>
      </c>
      <c r="B144" s="614"/>
      <c r="C144" s="614">
        <v>142</v>
      </c>
      <c r="D144" s="630">
        <f>IF('Air Cooled Ref Condenser'!M9&gt;0,'Air Cooled Ref Condenser'!H9,"")</f>
        <v>0</v>
      </c>
      <c r="E144" s="614">
        <f>IF(D144="","",'Look Up Tables'!$BA$60)</f>
        <v>0</v>
      </c>
      <c r="F144" s="636" t="str">
        <f>IF('Data Export'!$D144="","", 'Air Cooled Ref Condenser'!M9)</f>
        <v/>
      </c>
      <c r="G144" s="615">
        <f>IF('Data Export'!D144="","", 'Project Summary'!$C$6)</f>
        <v>0</v>
      </c>
      <c r="H144" s="635">
        <f>IF('Data Export'!$D144="","",'Air Cooled Ref Condenser'!J9)</f>
        <v>0</v>
      </c>
      <c r="I144" s="633">
        <f>IF('Data Export'!$D144="","",'Air Cooled Ref Condenser'!K9)</f>
        <v>0</v>
      </c>
      <c r="J144" s="630">
        <f>IF('Data Export'!$D144="","", 'Project Summary'!$J$1)</f>
        <v>5.01</v>
      </c>
      <c r="K144" s="630">
        <f>IF('Data Export'!$D144="","",'Air Cooled Ref Condenser'!D9)</f>
        <v>0</v>
      </c>
      <c r="L144" s="630">
        <f>IF('Data Export'!$D144="","",'Air Cooled Ref Condenser'!E9)</f>
        <v>0</v>
      </c>
      <c r="M144" s="614">
        <f>IF('Data Export'!$D144="","", 'Project Summary'!$C$13)</f>
        <v>0</v>
      </c>
      <c r="N144" s="614" t="str">
        <f>IF('Data Export'!$D144="","", "")</f>
        <v/>
      </c>
      <c r="O144" s="614" t="str">
        <f>IF('Data Export'!$D144="","", "")</f>
        <v/>
      </c>
      <c r="P144" s="614" t="str">
        <f>IF('Data Export'!$D144="","", "")</f>
        <v/>
      </c>
      <c r="Q144" s="614" t="str">
        <f>IF('Data Export'!$D144="","", "")</f>
        <v/>
      </c>
      <c r="R144" s="614" t="str">
        <f>IF('Data Export'!$D144="","", "")</f>
        <v/>
      </c>
      <c r="S144" s="614" t="str">
        <f>IF('Data Export'!$D144="","", "")</f>
        <v/>
      </c>
      <c r="T144" s="614" t="str">
        <f>IF('Data Export'!$D144="","", "")</f>
        <v/>
      </c>
      <c r="U144" s="614" t="str">
        <f>IF('Data Export'!$D144="","", "")</f>
        <v/>
      </c>
      <c r="V144" s="614" t="str">
        <f>IF('Data Export'!$D144="","", "")</f>
        <v/>
      </c>
      <c r="W144" s="614" t="str">
        <f>IF('Data Export'!$D144="","", "")</f>
        <v/>
      </c>
      <c r="X144" s="614">
        <f>IF('Data Export'!$D144="","", 'Air Cooled Ref Condenser'!G9)</f>
        <v>0</v>
      </c>
      <c r="Y144" s="614" t="str">
        <f>IF('Data Export'!$D144="","", "")</f>
        <v/>
      </c>
      <c r="Z144" s="614" t="str">
        <f>IF('Data Export'!$D144="","", "")</f>
        <v/>
      </c>
      <c r="AA144" s="614" t="str">
        <f>IF('Data Export'!$D144="","", "")</f>
        <v/>
      </c>
      <c r="AB144" s="614" t="str">
        <f>IF('Data Export'!$D144="","", "")</f>
        <v/>
      </c>
      <c r="AC144" s="614" t="str">
        <f>IF('Data Export'!$D144="","", "")</f>
        <v/>
      </c>
      <c r="AD144" s="614" t="str">
        <f>IF('Data Export'!$D144="","", "")</f>
        <v/>
      </c>
      <c r="AE144" s="614" t="str">
        <f>IF('Data Export'!$D144="","", "")</f>
        <v/>
      </c>
      <c r="AF144" s="614" t="str">
        <f>IF('Data Export'!$D144="","", "")</f>
        <v/>
      </c>
      <c r="AG144" s="614" t="str">
        <f>IF('Data Export'!$D144="","", "")</f>
        <v/>
      </c>
      <c r="AH144" s="614" t="str">
        <f>IF('Data Export'!$D144="","", "")</f>
        <v/>
      </c>
      <c r="AI144" s="614" t="str">
        <f>IF('Data Export'!$D144="","", "")</f>
        <v/>
      </c>
      <c r="AJ144" s="614" t="str">
        <f>IF('Data Export'!$D144="","", "")</f>
        <v/>
      </c>
      <c r="AK144" s="614" t="str">
        <f>IF('Data Export'!$D144="","", "")</f>
        <v/>
      </c>
      <c r="AL144" s="614"/>
      <c r="AM144" s="614">
        <f t="shared" si="0"/>
        <v>0</v>
      </c>
      <c r="AN144" s="614" t="s">
        <v>322</v>
      </c>
      <c r="AO144" s="636" t="str">
        <f>IF('Data Export'!$D144="","", IFERROR(ROUND($F144/$D144, 2), ""))</f>
        <v/>
      </c>
      <c r="AP144" s="641">
        <f>IF('Data Export'!$D144="","",'Project Summary'!$C$11)</f>
        <v>0</v>
      </c>
      <c r="AQ144" s="614"/>
      <c r="AR144" s="614"/>
    </row>
    <row r="145" spans="1:44" x14ac:dyDescent="0.2">
      <c r="A145" s="656" t="str">
        <f>'Air Cooled Ref Condenser'!$B$3</f>
        <v>Air-Cooled Refrigeration Condenser</v>
      </c>
      <c r="B145" s="614"/>
      <c r="C145" s="614">
        <v>143</v>
      </c>
      <c r="D145" s="630">
        <f>IF('Air Cooled Ref Condenser'!M10&gt;0,'Air Cooled Ref Condenser'!H10,"")</f>
        <v>0</v>
      </c>
      <c r="E145" s="614">
        <f>IF(D145="","",'Look Up Tables'!$BA$60)</f>
        <v>0</v>
      </c>
      <c r="F145" s="636" t="str">
        <f>IF('Data Export'!$D145="","", 'Air Cooled Ref Condenser'!M10)</f>
        <v/>
      </c>
      <c r="G145" s="615">
        <f>IF('Data Export'!D145="","", 'Project Summary'!$C$6)</f>
        <v>0</v>
      </c>
      <c r="H145" s="635">
        <f>IF('Data Export'!$D145="","",'Air Cooled Ref Condenser'!J10)</f>
        <v>0</v>
      </c>
      <c r="I145" s="633">
        <f>IF('Data Export'!$D145="","",'Air Cooled Ref Condenser'!K10)</f>
        <v>0</v>
      </c>
      <c r="J145" s="630">
        <f>IF('Data Export'!$D145="","", 'Project Summary'!$J$1)</f>
        <v>5.01</v>
      </c>
      <c r="K145" s="630">
        <f>IF('Data Export'!$D145="","",'Air Cooled Ref Condenser'!D10)</f>
        <v>0</v>
      </c>
      <c r="L145" s="630">
        <f>IF('Data Export'!$D145="","",'Air Cooled Ref Condenser'!E10)</f>
        <v>0</v>
      </c>
      <c r="M145" s="614">
        <f>IF('Data Export'!$D145="","", 'Project Summary'!$C$13)</f>
        <v>0</v>
      </c>
      <c r="N145" s="614" t="str">
        <f>IF('Data Export'!$D145="","", "")</f>
        <v/>
      </c>
      <c r="O145" s="614" t="str">
        <f>IF('Data Export'!$D145="","", "")</f>
        <v/>
      </c>
      <c r="P145" s="614" t="str">
        <f>IF('Data Export'!$D145="","", "")</f>
        <v/>
      </c>
      <c r="Q145" s="614" t="str">
        <f>IF('Data Export'!$D145="","", "")</f>
        <v/>
      </c>
      <c r="R145" s="614" t="str">
        <f>IF('Data Export'!$D145="","", "")</f>
        <v/>
      </c>
      <c r="S145" s="614" t="str">
        <f>IF('Data Export'!$D145="","", "")</f>
        <v/>
      </c>
      <c r="T145" s="614" t="str">
        <f>IF('Data Export'!$D145="","", "")</f>
        <v/>
      </c>
      <c r="U145" s="614" t="str">
        <f>IF('Data Export'!$D145="","", "")</f>
        <v/>
      </c>
      <c r="V145" s="614" t="str">
        <f>IF('Data Export'!$D145="","", "")</f>
        <v/>
      </c>
      <c r="W145" s="614" t="str">
        <f>IF('Data Export'!$D145="","", "")</f>
        <v/>
      </c>
      <c r="X145" s="614">
        <f>IF('Data Export'!$D145="","", 'Air Cooled Ref Condenser'!G10)</f>
        <v>0</v>
      </c>
      <c r="Y145" s="614" t="str">
        <f>IF('Data Export'!$D145="","", "")</f>
        <v/>
      </c>
      <c r="Z145" s="614" t="str">
        <f>IF('Data Export'!$D145="","", "")</f>
        <v/>
      </c>
      <c r="AA145" s="614" t="str">
        <f>IF('Data Export'!$D145="","", "")</f>
        <v/>
      </c>
      <c r="AB145" s="614" t="str">
        <f>IF('Data Export'!$D145="","", "")</f>
        <v/>
      </c>
      <c r="AC145" s="614" t="str">
        <f>IF('Data Export'!$D145="","", "")</f>
        <v/>
      </c>
      <c r="AD145" s="614" t="str">
        <f>IF('Data Export'!$D145="","", "")</f>
        <v/>
      </c>
      <c r="AE145" s="614" t="str">
        <f>IF('Data Export'!$D145="","", "")</f>
        <v/>
      </c>
      <c r="AF145" s="614" t="str">
        <f>IF('Data Export'!$D145="","", "")</f>
        <v/>
      </c>
      <c r="AG145" s="614" t="str">
        <f>IF('Data Export'!$D145="","", "")</f>
        <v/>
      </c>
      <c r="AH145" s="614" t="str">
        <f>IF('Data Export'!$D145="","", "")</f>
        <v/>
      </c>
      <c r="AI145" s="614" t="str">
        <f>IF('Data Export'!$D145="","", "")</f>
        <v/>
      </c>
      <c r="AJ145" s="614" t="str">
        <f>IF('Data Export'!$D145="","", "")</f>
        <v/>
      </c>
      <c r="AK145" s="614" t="str">
        <f>IF('Data Export'!$D145="","", "")</f>
        <v/>
      </c>
      <c r="AL145" s="614"/>
      <c r="AM145" s="614">
        <f t="shared" si="0"/>
        <v>0</v>
      </c>
      <c r="AN145" s="614" t="s">
        <v>322</v>
      </c>
      <c r="AO145" s="636" t="str">
        <f>IF('Data Export'!$D145="","", IFERROR(ROUND($F145/$D145, 2), ""))</f>
        <v/>
      </c>
      <c r="AP145" s="641">
        <f>IF('Data Export'!$D145="","",'Project Summary'!$C$11)</f>
        <v>0</v>
      </c>
      <c r="AQ145" s="614"/>
      <c r="AR145" s="614"/>
    </row>
    <row r="146" spans="1:44" x14ac:dyDescent="0.2">
      <c r="A146" s="656" t="str">
        <f>'Air Cooled Ref Condenser'!$B$3</f>
        <v>Air-Cooled Refrigeration Condenser</v>
      </c>
      <c r="B146" s="614"/>
      <c r="C146" s="614">
        <v>144</v>
      </c>
      <c r="D146" s="630">
        <f>IF('Air Cooled Ref Condenser'!M11&gt;0,'Air Cooled Ref Condenser'!H11,"")</f>
        <v>0</v>
      </c>
      <c r="E146" s="614">
        <f>IF(D146="","",'Look Up Tables'!$BA$60)</f>
        <v>0</v>
      </c>
      <c r="F146" s="636" t="str">
        <f>IF('Data Export'!$D146="","", 'Air Cooled Ref Condenser'!M11)</f>
        <v/>
      </c>
      <c r="G146" s="615">
        <f>IF('Data Export'!D146="","", 'Project Summary'!$C$6)</f>
        <v>0</v>
      </c>
      <c r="H146" s="635">
        <f>IF('Data Export'!$D146="","",'Air Cooled Ref Condenser'!J11)</f>
        <v>0</v>
      </c>
      <c r="I146" s="633">
        <f>IF('Data Export'!$D146="","",'Air Cooled Ref Condenser'!K11)</f>
        <v>0</v>
      </c>
      <c r="J146" s="630">
        <f>IF('Data Export'!$D146="","", 'Project Summary'!$J$1)</f>
        <v>5.01</v>
      </c>
      <c r="K146" s="630">
        <f>IF('Data Export'!$D146="","",'Air Cooled Ref Condenser'!D11)</f>
        <v>0</v>
      </c>
      <c r="L146" s="630">
        <f>IF('Data Export'!$D146="","",'Air Cooled Ref Condenser'!E11)</f>
        <v>0</v>
      </c>
      <c r="M146" s="614">
        <f>IF('Data Export'!$D146="","", 'Project Summary'!$C$13)</f>
        <v>0</v>
      </c>
      <c r="N146" s="614" t="str">
        <f>IF('Data Export'!$D146="","", "")</f>
        <v/>
      </c>
      <c r="O146" s="614" t="str">
        <f>IF('Data Export'!$D146="","", "")</f>
        <v/>
      </c>
      <c r="P146" s="614" t="str">
        <f>IF('Data Export'!$D146="","", "")</f>
        <v/>
      </c>
      <c r="Q146" s="614" t="str">
        <f>IF('Data Export'!$D146="","", "")</f>
        <v/>
      </c>
      <c r="R146" s="614" t="str">
        <f>IF('Data Export'!$D146="","", "")</f>
        <v/>
      </c>
      <c r="S146" s="614" t="str">
        <f>IF('Data Export'!$D146="","", "")</f>
        <v/>
      </c>
      <c r="T146" s="614" t="str">
        <f>IF('Data Export'!$D146="","", "")</f>
        <v/>
      </c>
      <c r="U146" s="614" t="str">
        <f>IF('Data Export'!$D146="","", "")</f>
        <v/>
      </c>
      <c r="V146" s="614" t="str">
        <f>IF('Data Export'!$D146="","", "")</f>
        <v/>
      </c>
      <c r="W146" s="614" t="str">
        <f>IF('Data Export'!$D146="","", "")</f>
        <v/>
      </c>
      <c r="X146" s="614">
        <f>IF('Data Export'!$D146="","", 'Air Cooled Ref Condenser'!G11)</f>
        <v>0</v>
      </c>
      <c r="Y146" s="614" t="str">
        <f>IF('Data Export'!$D146="","", "")</f>
        <v/>
      </c>
      <c r="Z146" s="614" t="str">
        <f>IF('Data Export'!$D146="","", "")</f>
        <v/>
      </c>
      <c r="AA146" s="614" t="str">
        <f>IF('Data Export'!$D146="","", "")</f>
        <v/>
      </c>
      <c r="AB146" s="614" t="str">
        <f>IF('Data Export'!$D146="","", "")</f>
        <v/>
      </c>
      <c r="AC146" s="614" t="str">
        <f>IF('Data Export'!$D146="","", "")</f>
        <v/>
      </c>
      <c r="AD146" s="614" t="str">
        <f>IF('Data Export'!$D146="","", "")</f>
        <v/>
      </c>
      <c r="AE146" s="614" t="str">
        <f>IF('Data Export'!$D146="","", "")</f>
        <v/>
      </c>
      <c r="AF146" s="614" t="str">
        <f>IF('Data Export'!$D146="","", "")</f>
        <v/>
      </c>
      <c r="AG146" s="614" t="str">
        <f>IF('Data Export'!$D146="","", "")</f>
        <v/>
      </c>
      <c r="AH146" s="614" t="str">
        <f>IF('Data Export'!$D146="","", "")</f>
        <v/>
      </c>
      <c r="AI146" s="614" t="str">
        <f>IF('Data Export'!$D146="","", "")</f>
        <v/>
      </c>
      <c r="AJ146" s="614" t="str">
        <f>IF('Data Export'!$D146="","", "")</f>
        <v/>
      </c>
      <c r="AK146" s="614" t="str">
        <f>IF('Data Export'!$D146="","", "")</f>
        <v/>
      </c>
      <c r="AL146" s="614"/>
      <c r="AM146" s="614">
        <f t="shared" si="0"/>
        <v>0</v>
      </c>
      <c r="AN146" s="614" t="s">
        <v>322</v>
      </c>
      <c r="AO146" s="636" t="str">
        <f>IF('Data Export'!$D146="","", IFERROR(ROUND($F146/$D146, 2), ""))</f>
        <v/>
      </c>
      <c r="AP146" s="641">
        <f>IF('Data Export'!$D146="","",'Project Summary'!$C$11)</f>
        <v>0</v>
      </c>
      <c r="AQ146" s="614"/>
      <c r="AR146" s="614"/>
    </row>
    <row r="147" spans="1:44" x14ac:dyDescent="0.2">
      <c r="A147" s="656" t="str">
        <f>'Air Cooled Ref Condenser'!$B$3</f>
        <v>Air-Cooled Refrigeration Condenser</v>
      </c>
      <c r="B147" s="614"/>
      <c r="C147" s="614">
        <v>145</v>
      </c>
      <c r="D147" s="630">
        <f>IF('Air Cooled Ref Condenser'!M12&gt;0,'Air Cooled Ref Condenser'!H12,"")</f>
        <v>0</v>
      </c>
      <c r="E147" s="614">
        <f>IF(D147="","",'Look Up Tables'!$BA$60)</f>
        <v>0</v>
      </c>
      <c r="F147" s="636" t="str">
        <f>IF('Data Export'!$D147="","", 'Air Cooled Ref Condenser'!M12)</f>
        <v/>
      </c>
      <c r="G147" s="615">
        <f>IF('Data Export'!D147="","", 'Project Summary'!$C$6)</f>
        <v>0</v>
      </c>
      <c r="H147" s="635">
        <f>IF('Data Export'!$D147="","",'Air Cooled Ref Condenser'!J12)</f>
        <v>0</v>
      </c>
      <c r="I147" s="633">
        <f>IF('Data Export'!$D147="","",'Air Cooled Ref Condenser'!K12)</f>
        <v>0</v>
      </c>
      <c r="J147" s="630">
        <f>IF('Data Export'!$D147="","", 'Project Summary'!$J$1)</f>
        <v>5.01</v>
      </c>
      <c r="K147" s="630">
        <f>IF('Data Export'!$D147="","",'Air Cooled Ref Condenser'!D12)</f>
        <v>0</v>
      </c>
      <c r="L147" s="630">
        <f>IF('Data Export'!$D147="","",'Air Cooled Ref Condenser'!E12)</f>
        <v>0</v>
      </c>
      <c r="M147" s="614">
        <f>IF('Data Export'!$D147="","", 'Project Summary'!$C$13)</f>
        <v>0</v>
      </c>
      <c r="N147" s="614" t="str">
        <f>IF('Data Export'!$D147="","", "")</f>
        <v/>
      </c>
      <c r="O147" s="614" t="str">
        <f>IF('Data Export'!$D147="","", "")</f>
        <v/>
      </c>
      <c r="P147" s="614" t="str">
        <f>IF('Data Export'!$D147="","", "")</f>
        <v/>
      </c>
      <c r="Q147" s="614" t="str">
        <f>IF('Data Export'!$D147="","", "")</f>
        <v/>
      </c>
      <c r="R147" s="614" t="str">
        <f>IF('Data Export'!$D147="","", "")</f>
        <v/>
      </c>
      <c r="S147" s="614" t="str">
        <f>IF('Data Export'!$D147="","", "")</f>
        <v/>
      </c>
      <c r="T147" s="614" t="str">
        <f>IF('Data Export'!$D147="","", "")</f>
        <v/>
      </c>
      <c r="U147" s="614" t="str">
        <f>IF('Data Export'!$D147="","", "")</f>
        <v/>
      </c>
      <c r="V147" s="614" t="str">
        <f>IF('Data Export'!$D147="","", "")</f>
        <v/>
      </c>
      <c r="W147" s="614" t="str">
        <f>IF('Data Export'!$D147="","", "")</f>
        <v/>
      </c>
      <c r="X147" s="614">
        <f>IF('Data Export'!$D147="","", 'Air Cooled Ref Condenser'!G12)</f>
        <v>0</v>
      </c>
      <c r="Y147" s="614" t="str">
        <f>IF('Data Export'!$D147="","", "")</f>
        <v/>
      </c>
      <c r="Z147" s="614" t="str">
        <f>IF('Data Export'!$D147="","", "")</f>
        <v/>
      </c>
      <c r="AA147" s="614" t="str">
        <f>IF('Data Export'!$D147="","", "")</f>
        <v/>
      </c>
      <c r="AB147" s="614" t="str">
        <f>IF('Data Export'!$D147="","", "")</f>
        <v/>
      </c>
      <c r="AC147" s="614" t="str">
        <f>IF('Data Export'!$D147="","", "")</f>
        <v/>
      </c>
      <c r="AD147" s="614" t="str">
        <f>IF('Data Export'!$D147="","", "")</f>
        <v/>
      </c>
      <c r="AE147" s="614" t="str">
        <f>IF('Data Export'!$D147="","", "")</f>
        <v/>
      </c>
      <c r="AF147" s="614" t="str">
        <f>IF('Data Export'!$D147="","", "")</f>
        <v/>
      </c>
      <c r="AG147" s="614" t="str">
        <f>IF('Data Export'!$D147="","", "")</f>
        <v/>
      </c>
      <c r="AH147" s="614" t="str">
        <f>IF('Data Export'!$D147="","", "")</f>
        <v/>
      </c>
      <c r="AI147" s="614" t="str">
        <f>IF('Data Export'!$D147="","", "")</f>
        <v/>
      </c>
      <c r="AJ147" s="614" t="str">
        <f>IF('Data Export'!$D147="","", "")</f>
        <v/>
      </c>
      <c r="AK147" s="614" t="str">
        <f>IF('Data Export'!$D147="","", "")</f>
        <v/>
      </c>
      <c r="AL147" s="614"/>
      <c r="AM147" s="614">
        <f t="shared" si="0"/>
        <v>0</v>
      </c>
      <c r="AN147" s="614" t="s">
        <v>322</v>
      </c>
      <c r="AO147" s="636" t="str">
        <f>IF('Data Export'!$D147="","", IFERROR(ROUND($F147/$D147, 2), ""))</f>
        <v/>
      </c>
      <c r="AP147" s="641">
        <f>IF('Data Export'!$D147="","",'Project Summary'!$C$11)</f>
        <v>0</v>
      </c>
      <c r="AQ147" s="614"/>
      <c r="AR147" s="614"/>
    </row>
    <row r="148" spans="1:44" x14ac:dyDescent="0.2">
      <c r="A148" s="656" t="str">
        <f>'Air Cooled Ref Condenser'!$B$3</f>
        <v>Air-Cooled Refrigeration Condenser</v>
      </c>
      <c r="B148" s="614"/>
      <c r="C148" s="614">
        <v>146</v>
      </c>
      <c r="D148" s="630">
        <f>IF('Air Cooled Ref Condenser'!M13&gt;0,'Air Cooled Ref Condenser'!H13,"")</f>
        <v>0</v>
      </c>
      <c r="E148" s="614">
        <f>IF(D148="","",'Look Up Tables'!$BA$60)</f>
        <v>0</v>
      </c>
      <c r="F148" s="636" t="str">
        <f>IF('Data Export'!$D148="","", 'Air Cooled Ref Condenser'!M13)</f>
        <v/>
      </c>
      <c r="G148" s="615">
        <f>IF('Data Export'!D148="","", 'Project Summary'!$C$6)</f>
        <v>0</v>
      </c>
      <c r="H148" s="635">
        <f>IF('Data Export'!$D148="","",'Air Cooled Ref Condenser'!J13)</f>
        <v>0</v>
      </c>
      <c r="I148" s="633">
        <f>IF('Data Export'!$D148="","",'Air Cooled Ref Condenser'!K13)</f>
        <v>0</v>
      </c>
      <c r="J148" s="630">
        <f>IF('Data Export'!$D148="","", 'Project Summary'!$J$1)</f>
        <v>5.01</v>
      </c>
      <c r="K148" s="630">
        <f>IF('Data Export'!$D148="","",'Air Cooled Ref Condenser'!D13)</f>
        <v>0</v>
      </c>
      <c r="L148" s="630">
        <f>IF('Data Export'!$D148="","",'Air Cooled Ref Condenser'!E13)</f>
        <v>0</v>
      </c>
      <c r="M148" s="614">
        <f>IF('Data Export'!$D148="","", 'Project Summary'!$C$13)</f>
        <v>0</v>
      </c>
      <c r="N148" s="614" t="str">
        <f>IF('Data Export'!$D148="","", "")</f>
        <v/>
      </c>
      <c r="O148" s="614" t="str">
        <f>IF('Data Export'!$D148="","", "")</f>
        <v/>
      </c>
      <c r="P148" s="614" t="str">
        <f>IF('Data Export'!$D148="","", "")</f>
        <v/>
      </c>
      <c r="Q148" s="614" t="str">
        <f>IF('Data Export'!$D148="","", "")</f>
        <v/>
      </c>
      <c r="R148" s="614" t="str">
        <f>IF('Data Export'!$D148="","", "")</f>
        <v/>
      </c>
      <c r="S148" s="614" t="str">
        <f>IF('Data Export'!$D148="","", "")</f>
        <v/>
      </c>
      <c r="T148" s="614" t="str">
        <f>IF('Data Export'!$D148="","", "")</f>
        <v/>
      </c>
      <c r="U148" s="614" t="str">
        <f>IF('Data Export'!$D148="","", "")</f>
        <v/>
      </c>
      <c r="V148" s="614" t="str">
        <f>IF('Data Export'!$D148="","", "")</f>
        <v/>
      </c>
      <c r="W148" s="614" t="str">
        <f>IF('Data Export'!$D148="","", "")</f>
        <v/>
      </c>
      <c r="X148" s="614">
        <f>IF('Data Export'!$D148="","", 'Air Cooled Ref Condenser'!G13)</f>
        <v>0</v>
      </c>
      <c r="Y148" s="614" t="str">
        <f>IF('Data Export'!$D148="","", "")</f>
        <v/>
      </c>
      <c r="Z148" s="614" t="str">
        <f>IF('Data Export'!$D148="","", "")</f>
        <v/>
      </c>
      <c r="AA148" s="614" t="str">
        <f>IF('Data Export'!$D148="","", "")</f>
        <v/>
      </c>
      <c r="AB148" s="614" t="str">
        <f>IF('Data Export'!$D148="","", "")</f>
        <v/>
      </c>
      <c r="AC148" s="614" t="str">
        <f>IF('Data Export'!$D148="","", "")</f>
        <v/>
      </c>
      <c r="AD148" s="614" t="str">
        <f>IF('Data Export'!$D148="","", "")</f>
        <v/>
      </c>
      <c r="AE148" s="614" t="str">
        <f>IF('Data Export'!$D148="","", "")</f>
        <v/>
      </c>
      <c r="AF148" s="614" t="str">
        <f>IF('Data Export'!$D148="","", "")</f>
        <v/>
      </c>
      <c r="AG148" s="614" t="str">
        <f>IF('Data Export'!$D148="","", "")</f>
        <v/>
      </c>
      <c r="AH148" s="614" t="str">
        <f>IF('Data Export'!$D148="","", "")</f>
        <v/>
      </c>
      <c r="AI148" s="614" t="str">
        <f>IF('Data Export'!$D148="","", "")</f>
        <v/>
      </c>
      <c r="AJ148" s="614" t="str">
        <f>IF('Data Export'!$D148="","", "")</f>
        <v/>
      </c>
      <c r="AK148" s="614" t="str">
        <f>IF('Data Export'!$D148="","", "")</f>
        <v/>
      </c>
      <c r="AL148" s="614"/>
      <c r="AM148" s="614">
        <f t="shared" si="0"/>
        <v>0</v>
      </c>
      <c r="AN148" s="614" t="s">
        <v>322</v>
      </c>
      <c r="AO148" s="636" t="str">
        <f>IF('Data Export'!$D148="","", IFERROR(ROUND($F148/$D148, 2), ""))</f>
        <v/>
      </c>
      <c r="AP148" s="641">
        <f>IF('Data Export'!$D148="","",'Project Summary'!$C$11)</f>
        <v>0</v>
      </c>
      <c r="AQ148" s="614"/>
      <c r="AR148" s="614"/>
    </row>
    <row r="149" spans="1:44" x14ac:dyDescent="0.2">
      <c r="A149" s="656" t="str">
        <f>'Air Cooled Ref Condenser'!$B$3</f>
        <v>Air-Cooled Refrigeration Condenser</v>
      </c>
      <c r="B149" s="614"/>
      <c r="C149" s="614">
        <v>147</v>
      </c>
      <c r="D149" s="630">
        <f>IF('Air Cooled Ref Condenser'!M14&gt;0,'Air Cooled Ref Condenser'!H14,"")</f>
        <v>0</v>
      </c>
      <c r="E149" s="614">
        <f>IF(D149="","",'Look Up Tables'!$BA$60)</f>
        <v>0</v>
      </c>
      <c r="F149" s="636" t="str">
        <f>IF('Data Export'!$D149="","", 'Air Cooled Ref Condenser'!M14)</f>
        <v/>
      </c>
      <c r="G149" s="615">
        <f>IF('Data Export'!D149="","", 'Project Summary'!$C$6)</f>
        <v>0</v>
      </c>
      <c r="H149" s="635">
        <f>IF('Data Export'!$D149="","",'Air Cooled Ref Condenser'!J14)</f>
        <v>0</v>
      </c>
      <c r="I149" s="633">
        <f>IF('Data Export'!$D149="","",'Air Cooled Ref Condenser'!K14)</f>
        <v>0</v>
      </c>
      <c r="J149" s="630">
        <f>IF('Data Export'!$D149="","", 'Project Summary'!$J$1)</f>
        <v>5.01</v>
      </c>
      <c r="K149" s="630">
        <f>IF('Data Export'!$D149="","",'Air Cooled Ref Condenser'!D14)</f>
        <v>0</v>
      </c>
      <c r="L149" s="630">
        <f>IF('Data Export'!$D149="","",'Air Cooled Ref Condenser'!E14)</f>
        <v>0</v>
      </c>
      <c r="M149" s="614">
        <f>IF('Data Export'!$D149="","", 'Project Summary'!$C$13)</f>
        <v>0</v>
      </c>
      <c r="N149" s="614" t="str">
        <f>IF('Data Export'!$D149="","", "")</f>
        <v/>
      </c>
      <c r="O149" s="614" t="str">
        <f>IF('Data Export'!$D149="","", "")</f>
        <v/>
      </c>
      <c r="P149" s="614" t="str">
        <f>IF('Data Export'!$D149="","", "")</f>
        <v/>
      </c>
      <c r="Q149" s="614" t="str">
        <f>IF('Data Export'!$D149="","", "")</f>
        <v/>
      </c>
      <c r="R149" s="614" t="str">
        <f>IF('Data Export'!$D149="","", "")</f>
        <v/>
      </c>
      <c r="S149" s="614" t="str">
        <f>IF('Data Export'!$D149="","", "")</f>
        <v/>
      </c>
      <c r="T149" s="614" t="str">
        <f>IF('Data Export'!$D149="","", "")</f>
        <v/>
      </c>
      <c r="U149" s="614" t="str">
        <f>IF('Data Export'!$D149="","", "")</f>
        <v/>
      </c>
      <c r="V149" s="614" t="str">
        <f>IF('Data Export'!$D149="","", "")</f>
        <v/>
      </c>
      <c r="W149" s="614" t="str">
        <f>IF('Data Export'!$D149="","", "")</f>
        <v/>
      </c>
      <c r="X149" s="614">
        <f>IF('Data Export'!$D149="","", 'Air Cooled Ref Condenser'!G14)</f>
        <v>0</v>
      </c>
      <c r="Y149" s="614" t="str">
        <f>IF('Data Export'!$D149="","", "")</f>
        <v/>
      </c>
      <c r="Z149" s="614" t="str">
        <f>IF('Data Export'!$D149="","", "")</f>
        <v/>
      </c>
      <c r="AA149" s="614" t="str">
        <f>IF('Data Export'!$D149="","", "")</f>
        <v/>
      </c>
      <c r="AB149" s="614" t="str">
        <f>IF('Data Export'!$D149="","", "")</f>
        <v/>
      </c>
      <c r="AC149" s="614" t="str">
        <f>IF('Data Export'!$D149="","", "")</f>
        <v/>
      </c>
      <c r="AD149" s="614" t="str">
        <f>IF('Data Export'!$D149="","", "")</f>
        <v/>
      </c>
      <c r="AE149" s="614" t="str">
        <f>IF('Data Export'!$D149="","", "")</f>
        <v/>
      </c>
      <c r="AF149" s="614" t="str">
        <f>IF('Data Export'!$D149="","", "")</f>
        <v/>
      </c>
      <c r="AG149" s="614" t="str">
        <f>IF('Data Export'!$D149="","", "")</f>
        <v/>
      </c>
      <c r="AH149" s="614" t="str">
        <f>IF('Data Export'!$D149="","", "")</f>
        <v/>
      </c>
      <c r="AI149" s="614" t="str">
        <f>IF('Data Export'!$D149="","", "")</f>
        <v/>
      </c>
      <c r="AJ149" s="614" t="str">
        <f>IF('Data Export'!$D149="","", "")</f>
        <v/>
      </c>
      <c r="AK149" s="614" t="str">
        <f>IF('Data Export'!$D149="","", "")</f>
        <v/>
      </c>
      <c r="AL149" s="614"/>
      <c r="AM149" s="614">
        <f t="shared" si="0"/>
        <v>0</v>
      </c>
      <c r="AN149" s="614" t="s">
        <v>322</v>
      </c>
      <c r="AO149" s="636" t="str">
        <f>IF('Data Export'!$D149="","", IFERROR(ROUND($F149/$D149, 2), ""))</f>
        <v/>
      </c>
      <c r="AP149" s="641">
        <f>IF('Data Export'!$D149="","",'Project Summary'!$C$11)</f>
        <v>0</v>
      </c>
      <c r="AQ149" s="614"/>
      <c r="AR149" s="614"/>
    </row>
    <row r="150" spans="1:44" x14ac:dyDescent="0.2">
      <c r="A150" s="656" t="str">
        <f>'Air Cooled Ref Condenser'!$B$3</f>
        <v>Air-Cooled Refrigeration Condenser</v>
      </c>
      <c r="B150" s="614"/>
      <c r="C150" s="614">
        <v>148</v>
      </c>
      <c r="D150" s="630">
        <f>IF('Air Cooled Ref Condenser'!M15&gt;0,'Air Cooled Ref Condenser'!H15,"")</f>
        <v>0</v>
      </c>
      <c r="E150" s="614">
        <f>IF(D150="","",'Look Up Tables'!$BA$60)</f>
        <v>0</v>
      </c>
      <c r="F150" s="636" t="str">
        <f>IF('Data Export'!$D150="","", 'Air Cooled Ref Condenser'!M15)</f>
        <v/>
      </c>
      <c r="G150" s="615">
        <f>IF('Data Export'!D150="","", 'Project Summary'!$C$6)</f>
        <v>0</v>
      </c>
      <c r="H150" s="635">
        <f>IF('Data Export'!$D150="","",'Air Cooled Ref Condenser'!J15)</f>
        <v>0</v>
      </c>
      <c r="I150" s="633">
        <f>IF('Data Export'!$D150="","",'Air Cooled Ref Condenser'!K15)</f>
        <v>0</v>
      </c>
      <c r="J150" s="630">
        <f>IF('Data Export'!$D150="","", 'Project Summary'!$J$1)</f>
        <v>5.01</v>
      </c>
      <c r="K150" s="630">
        <f>IF('Data Export'!$D150="","",'Air Cooled Ref Condenser'!D15)</f>
        <v>0</v>
      </c>
      <c r="L150" s="630">
        <f>IF('Data Export'!$D150="","",'Air Cooled Ref Condenser'!E15)</f>
        <v>0</v>
      </c>
      <c r="M150" s="614">
        <f>IF('Data Export'!$D150="","", 'Project Summary'!$C$13)</f>
        <v>0</v>
      </c>
      <c r="N150" s="614" t="str">
        <f>IF('Data Export'!$D150="","", "")</f>
        <v/>
      </c>
      <c r="O150" s="614" t="str">
        <f>IF('Data Export'!$D150="","", "")</f>
        <v/>
      </c>
      <c r="P150" s="614" t="str">
        <f>IF('Data Export'!$D150="","", "")</f>
        <v/>
      </c>
      <c r="Q150" s="614" t="str">
        <f>IF('Data Export'!$D150="","", "")</f>
        <v/>
      </c>
      <c r="R150" s="614" t="str">
        <f>IF('Data Export'!$D150="","", "")</f>
        <v/>
      </c>
      <c r="S150" s="614" t="str">
        <f>IF('Data Export'!$D150="","", "")</f>
        <v/>
      </c>
      <c r="T150" s="614" t="str">
        <f>IF('Data Export'!$D150="","", "")</f>
        <v/>
      </c>
      <c r="U150" s="614" t="str">
        <f>IF('Data Export'!$D150="","", "")</f>
        <v/>
      </c>
      <c r="V150" s="614" t="str">
        <f>IF('Data Export'!$D150="","", "")</f>
        <v/>
      </c>
      <c r="W150" s="614" t="str">
        <f>IF('Data Export'!$D150="","", "")</f>
        <v/>
      </c>
      <c r="X150" s="614">
        <f>IF('Data Export'!$D150="","", 'Air Cooled Ref Condenser'!G15)</f>
        <v>0</v>
      </c>
      <c r="Y150" s="614" t="str">
        <f>IF('Data Export'!$D150="","", "")</f>
        <v/>
      </c>
      <c r="Z150" s="614" t="str">
        <f>IF('Data Export'!$D150="","", "")</f>
        <v/>
      </c>
      <c r="AA150" s="614" t="str">
        <f>IF('Data Export'!$D150="","", "")</f>
        <v/>
      </c>
      <c r="AB150" s="614" t="str">
        <f>IF('Data Export'!$D150="","", "")</f>
        <v/>
      </c>
      <c r="AC150" s="614" t="str">
        <f>IF('Data Export'!$D150="","", "")</f>
        <v/>
      </c>
      <c r="AD150" s="614" t="str">
        <f>IF('Data Export'!$D150="","", "")</f>
        <v/>
      </c>
      <c r="AE150" s="614" t="str">
        <f>IF('Data Export'!$D150="","", "")</f>
        <v/>
      </c>
      <c r="AF150" s="614" t="str">
        <f>IF('Data Export'!$D150="","", "")</f>
        <v/>
      </c>
      <c r="AG150" s="614" t="str">
        <f>IF('Data Export'!$D150="","", "")</f>
        <v/>
      </c>
      <c r="AH150" s="614" t="str">
        <f>IF('Data Export'!$D150="","", "")</f>
        <v/>
      </c>
      <c r="AI150" s="614" t="str">
        <f>IF('Data Export'!$D150="","", "")</f>
        <v/>
      </c>
      <c r="AJ150" s="614" t="str">
        <f>IF('Data Export'!$D150="","", "")</f>
        <v/>
      </c>
      <c r="AK150" s="614" t="str">
        <f>IF('Data Export'!$D150="","", "")</f>
        <v/>
      </c>
      <c r="AL150" s="614"/>
      <c r="AM150" s="614">
        <f t="shared" si="0"/>
        <v>0</v>
      </c>
      <c r="AN150" s="614" t="s">
        <v>322</v>
      </c>
      <c r="AO150" s="636" t="str">
        <f>IF('Data Export'!$D150="","", IFERROR(ROUND($F150/$D150, 2), ""))</f>
        <v/>
      </c>
      <c r="AP150" s="641">
        <f>IF('Data Export'!$D150="","",'Project Summary'!$C$11)</f>
        <v>0</v>
      </c>
      <c r="AQ150" s="614"/>
      <c r="AR150" s="614"/>
    </row>
    <row r="151" spans="1:44" x14ac:dyDescent="0.2">
      <c r="A151" s="656" t="str">
        <f>'Air Cooled Ref Condenser'!$B$3</f>
        <v>Air-Cooled Refrigeration Condenser</v>
      </c>
      <c r="B151" s="614"/>
      <c r="C151" s="614">
        <v>149</v>
      </c>
      <c r="D151" s="630">
        <f>IF('Air Cooled Ref Condenser'!M16&gt;0,'Air Cooled Ref Condenser'!H16,"")</f>
        <v>0</v>
      </c>
      <c r="E151" s="614">
        <f>IF(D151="","",'Look Up Tables'!$BA$60)</f>
        <v>0</v>
      </c>
      <c r="F151" s="636" t="str">
        <f>IF('Data Export'!$D151="","", 'Air Cooled Ref Condenser'!M16)</f>
        <v/>
      </c>
      <c r="G151" s="615">
        <f>IF('Data Export'!D151="","", 'Project Summary'!$C$6)</f>
        <v>0</v>
      </c>
      <c r="H151" s="635">
        <f>IF('Data Export'!$D151="","",'Air Cooled Ref Condenser'!J16)</f>
        <v>0</v>
      </c>
      <c r="I151" s="633">
        <f>IF('Data Export'!$D151="","",'Air Cooled Ref Condenser'!K16)</f>
        <v>0</v>
      </c>
      <c r="J151" s="630">
        <f>IF('Data Export'!$D151="","", 'Project Summary'!$J$1)</f>
        <v>5.01</v>
      </c>
      <c r="K151" s="630">
        <f>IF('Data Export'!$D151="","",'Air Cooled Ref Condenser'!D16)</f>
        <v>0</v>
      </c>
      <c r="L151" s="630">
        <f>IF('Data Export'!$D151="","",'Air Cooled Ref Condenser'!E16)</f>
        <v>0</v>
      </c>
      <c r="M151" s="614">
        <f>IF('Data Export'!$D151="","", 'Project Summary'!$C$13)</f>
        <v>0</v>
      </c>
      <c r="N151" s="614" t="str">
        <f>IF('Data Export'!$D151="","", "")</f>
        <v/>
      </c>
      <c r="O151" s="614" t="str">
        <f>IF('Data Export'!$D151="","", "")</f>
        <v/>
      </c>
      <c r="P151" s="614" t="str">
        <f>IF('Data Export'!$D151="","", "")</f>
        <v/>
      </c>
      <c r="Q151" s="614" t="str">
        <f>IF('Data Export'!$D151="","", "")</f>
        <v/>
      </c>
      <c r="R151" s="614" t="str">
        <f>IF('Data Export'!$D151="","", "")</f>
        <v/>
      </c>
      <c r="S151" s="614" t="str">
        <f>IF('Data Export'!$D151="","", "")</f>
        <v/>
      </c>
      <c r="T151" s="614" t="str">
        <f>IF('Data Export'!$D151="","", "")</f>
        <v/>
      </c>
      <c r="U151" s="614" t="str">
        <f>IF('Data Export'!$D151="","", "")</f>
        <v/>
      </c>
      <c r="V151" s="614" t="str">
        <f>IF('Data Export'!$D151="","", "")</f>
        <v/>
      </c>
      <c r="W151" s="614" t="str">
        <f>IF('Data Export'!$D151="","", "")</f>
        <v/>
      </c>
      <c r="X151" s="614">
        <f>IF('Data Export'!$D151="","", 'Air Cooled Ref Condenser'!G16)</f>
        <v>0</v>
      </c>
      <c r="Y151" s="614" t="str">
        <f>IF('Data Export'!$D151="","", "")</f>
        <v/>
      </c>
      <c r="Z151" s="614" t="str">
        <f>IF('Data Export'!$D151="","", "")</f>
        <v/>
      </c>
      <c r="AA151" s="614" t="str">
        <f>IF('Data Export'!$D151="","", "")</f>
        <v/>
      </c>
      <c r="AB151" s="614" t="str">
        <f>IF('Data Export'!$D151="","", "")</f>
        <v/>
      </c>
      <c r="AC151" s="614" t="str">
        <f>IF('Data Export'!$D151="","", "")</f>
        <v/>
      </c>
      <c r="AD151" s="614" t="str">
        <f>IF('Data Export'!$D151="","", "")</f>
        <v/>
      </c>
      <c r="AE151" s="614" t="str">
        <f>IF('Data Export'!$D151="","", "")</f>
        <v/>
      </c>
      <c r="AF151" s="614" t="str">
        <f>IF('Data Export'!$D151="","", "")</f>
        <v/>
      </c>
      <c r="AG151" s="614" t="str">
        <f>IF('Data Export'!$D151="","", "")</f>
        <v/>
      </c>
      <c r="AH151" s="614" t="str">
        <f>IF('Data Export'!$D151="","", "")</f>
        <v/>
      </c>
      <c r="AI151" s="614" t="str">
        <f>IF('Data Export'!$D151="","", "")</f>
        <v/>
      </c>
      <c r="AJ151" s="614" t="str">
        <f>IF('Data Export'!$D151="","", "")</f>
        <v/>
      </c>
      <c r="AK151" s="614" t="str">
        <f>IF('Data Export'!$D151="","", "")</f>
        <v/>
      </c>
      <c r="AL151" s="614"/>
      <c r="AM151" s="614">
        <f t="shared" si="0"/>
        <v>0</v>
      </c>
      <c r="AN151" s="614" t="s">
        <v>322</v>
      </c>
      <c r="AO151" s="636" t="str">
        <f>IF('Data Export'!$D151="","", IFERROR(ROUND($F151/$D151, 2), ""))</f>
        <v/>
      </c>
      <c r="AP151" s="641">
        <f>IF('Data Export'!$D151="","",'Project Summary'!$C$11)</f>
        <v>0</v>
      </c>
      <c r="AQ151" s="614"/>
      <c r="AR151" s="614"/>
    </row>
    <row r="152" spans="1:44" ht="15" thickBot="1" x14ac:dyDescent="0.25">
      <c r="A152" s="657" t="str">
        <f>'Air Cooled Ref Condenser'!$B$3</f>
        <v>Air-Cooled Refrigeration Condenser</v>
      </c>
      <c r="B152" s="626"/>
      <c r="C152" s="626">
        <v>150</v>
      </c>
      <c r="D152" s="631">
        <f>IF('Air Cooled Ref Condenser'!M17&gt;0,'Air Cooled Ref Condenser'!H17,"")</f>
        <v>0</v>
      </c>
      <c r="E152" s="626">
        <f>IF(D152="","",'Look Up Tables'!$BA$60)</f>
        <v>0</v>
      </c>
      <c r="F152" s="638" t="str">
        <f>IF('Data Export'!$D152="","", 'Air Cooled Ref Condenser'!M17)</f>
        <v/>
      </c>
      <c r="G152" s="627">
        <f>IF('Data Export'!D152="","", 'Project Summary'!$C$6)</f>
        <v>0</v>
      </c>
      <c r="H152" s="639">
        <f>IF('Data Export'!$D152="","",'Air Cooled Ref Condenser'!J17)</f>
        <v>0</v>
      </c>
      <c r="I152" s="634">
        <f>IF('Data Export'!$D152="","",'Air Cooled Ref Condenser'!K17)</f>
        <v>0</v>
      </c>
      <c r="J152" s="631">
        <f>IF('Data Export'!$D152="","", 'Project Summary'!$J$1)</f>
        <v>5.01</v>
      </c>
      <c r="K152" s="631">
        <f>IF('Data Export'!$D152="","",'Air Cooled Ref Condenser'!D17)</f>
        <v>0</v>
      </c>
      <c r="L152" s="631">
        <f>IF('Data Export'!$D152="","",'Air Cooled Ref Condenser'!E17)</f>
        <v>0</v>
      </c>
      <c r="M152" s="626">
        <f>IF('Data Export'!$D152="","", 'Project Summary'!$C$13)</f>
        <v>0</v>
      </c>
      <c r="N152" s="626" t="str">
        <f>IF('Data Export'!$D152="","", "")</f>
        <v/>
      </c>
      <c r="O152" s="626" t="str">
        <f>IF('Data Export'!$D152="","", "")</f>
        <v/>
      </c>
      <c r="P152" s="626" t="str">
        <f>IF('Data Export'!$D152="","", "")</f>
        <v/>
      </c>
      <c r="Q152" s="626" t="str">
        <f>IF('Data Export'!$D152="","", "")</f>
        <v/>
      </c>
      <c r="R152" s="626" t="str">
        <f>IF('Data Export'!$D152="","", "")</f>
        <v/>
      </c>
      <c r="S152" s="626" t="str">
        <f>IF('Data Export'!$D152="","", "")</f>
        <v/>
      </c>
      <c r="T152" s="626" t="str">
        <f>IF('Data Export'!$D152="","", "")</f>
        <v/>
      </c>
      <c r="U152" s="626" t="str">
        <f>IF('Data Export'!$D152="","", "")</f>
        <v/>
      </c>
      <c r="V152" s="626" t="str">
        <f>IF('Data Export'!$D152="","", "")</f>
        <v/>
      </c>
      <c r="W152" s="626" t="str">
        <f>IF('Data Export'!$D152="","", "")</f>
        <v/>
      </c>
      <c r="X152" s="626">
        <f>IF('Data Export'!$D152="","", 'Air Cooled Ref Condenser'!G17)</f>
        <v>0</v>
      </c>
      <c r="Y152" s="626" t="str">
        <f>IF('Data Export'!$D152="","", "")</f>
        <v/>
      </c>
      <c r="Z152" s="626" t="str">
        <f>IF('Data Export'!$D152="","", "")</f>
        <v/>
      </c>
      <c r="AA152" s="626" t="str">
        <f>IF('Data Export'!$D152="","", "")</f>
        <v/>
      </c>
      <c r="AB152" s="626" t="str">
        <f>IF('Data Export'!$D152="","", "")</f>
        <v/>
      </c>
      <c r="AC152" s="626" t="str">
        <f>IF('Data Export'!$D152="","", "")</f>
        <v/>
      </c>
      <c r="AD152" s="626" t="str">
        <f>IF('Data Export'!$D152="","", "")</f>
        <v/>
      </c>
      <c r="AE152" s="626" t="str">
        <f>IF('Data Export'!$D152="","", "")</f>
        <v/>
      </c>
      <c r="AF152" s="626" t="str">
        <f>IF('Data Export'!$D152="","", "")</f>
        <v/>
      </c>
      <c r="AG152" s="626" t="str">
        <f>IF('Data Export'!$D152="","", "")</f>
        <v/>
      </c>
      <c r="AH152" s="626" t="str">
        <f>IF('Data Export'!$D152="","", "")</f>
        <v/>
      </c>
      <c r="AI152" s="626" t="str">
        <f>IF('Data Export'!$D152="","", "")</f>
        <v/>
      </c>
      <c r="AJ152" s="626" t="str">
        <f>IF('Data Export'!$D152="","", "")</f>
        <v/>
      </c>
      <c r="AK152" s="626" t="str">
        <f>IF('Data Export'!$D152="","", "")</f>
        <v/>
      </c>
      <c r="AL152" s="626"/>
      <c r="AM152" s="626">
        <f t="shared" si="0"/>
        <v>0</v>
      </c>
      <c r="AN152" s="626" t="s">
        <v>322</v>
      </c>
      <c r="AO152" s="638" t="str">
        <f>IF('Data Export'!$D152="","", IFERROR(ROUND($F152/$D152, 2), ""))</f>
        <v/>
      </c>
      <c r="AP152" s="642">
        <f>IF('Data Export'!$D152="","",'Project Summary'!$C$11)</f>
        <v>0</v>
      </c>
      <c r="AQ152" s="626"/>
      <c r="AR152" s="626"/>
    </row>
    <row r="153" spans="1:44" ht="15" thickTop="1" x14ac:dyDescent="0.2">
      <c r="A153" s="655" t="str">
        <f>'Refrigeration Economizer'!$B$3</f>
        <v>Refrigeration Economizers</v>
      </c>
      <c r="B153" s="621"/>
      <c r="C153" s="621">
        <v>151</v>
      </c>
      <c r="D153" s="632">
        <f>IF('Refrigeration Economizer'!Z8&gt;0,'Refrigeration Economizer'!K8,"")</f>
        <v>0</v>
      </c>
      <c r="E153" s="621">
        <f>IF(D153="","",'Look Up Tables'!$AS$61)</f>
        <v>0</v>
      </c>
      <c r="F153" s="637" t="str">
        <f>IF('Data Export'!$D153="","", 'Refrigeration Economizer'!Z8)</f>
        <v/>
      </c>
      <c r="G153" s="622">
        <f>IF('Data Export'!D153="","", 'Project Summary'!$C$6)</f>
        <v>0</v>
      </c>
      <c r="H153" s="640">
        <f>IF('Data Export'!$D153="","",'Refrigeration Economizer'!W8)</f>
        <v>0</v>
      </c>
      <c r="I153" s="644">
        <f>IF('Data Export'!$D153="","",'Refrigeration Economizer'!X8)</f>
        <v>0</v>
      </c>
      <c r="J153" s="632">
        <f>IF('Data Export'!$D153="","", 'Project Summary'!$J$1)</f>
        <v>5.01</v>
      </c>
      <c r="K153" s="632">
        <f>IF('Data Export'!$D153="","",'Refrigeration Economizer'!D8)</f>
        <v>0</v>
      </c>
      <c r="L153" s="632">
        <f>IF('Data Export'!$D153="","",'Refrigeration Economizer'!E8)</f>
        <v>0</v>
      </c>
      <c r="M153" s="621">
        <f>IF('Data Export'!$D153="","", 'Project Summary'!$C$13)</f>
        <v>0</v>
      </c>
      <c r="N153" s="621" t="str">
        <f>IF('Data Export'!$D153="","", "")</f>
        <v/>
      </c>
      <c r="O153" s="621" t="str">
        <f>IF('Data Export'!$D153="","", "")</f>
        <v/>
      </c>
      <c r="P153" s="621" t="str">
        <f>IF('Data Export'!$D153="","", "")</f>
        <v/>
      </c>
      <c r="Q153" s="621">
        <f>IF('Data Export'!$D153="","", 'Refrigeration Economizer'!G8)</f>
        <v>0</v>
      </c>
      <c r="R153" s="621" t="str">
        <f>IF('Data Export'!$D153="","", "")</f>
        <v/>
      </c>
      <c r="S153" s="621" t="str">
        <f>IF('Data Export'!$D153="","", "")</f>
        <v/>
      </c>
      <c r="T153" s="621" t="str">
        <f>IF('Data Export'!$D153="","", "")</f>
        <v/>
      </c>
      <c r="U153" s="621" t="str">
        <f>IF('Data Export'!$D153="","", "")</f>
        <v/>
      </c>
      <c r="V153" s="621" t="str">
        <f>IF('Data Export'!$D153="","", "")</f>
        <v/>
      </c>
      <c r="W153" s="621">
        <f>IF('Data Export'!$D153="","", 'Refrigeration Economizer'!H8)</f>
        <v>0</v>
      </c>
      <c r="X153" s="621" t="str">
        <f>IF('Data Export'!$D153="","", "")</f>
        <v/>
      </c>
      <c r="Y153" s="621" t="str">
        <f>IF('Data Export'!$D153="","", "")</f>
        <v/>
      </c>
      <c r="Z153" s="621" t="str">
        <f>IF('Data Export'!$D153="","", "")</f>
        <v/>
      </c>
      <c r="AA153" s="621" t="str">
        <f>IF('Data Export'!$D153="","", "")</f>
        <v/>
      </c>
      <c r="AB153" s="621" t="str">
        <f>IF('Data Export'!$D153="","", "")</f>
        <v/>
      </c>
      <c r="AC153" s="621" t="str">
        <f>IF('Data Export'!$D153="","", "")</f>
        <v/>
      </c>
      <c r="AD153" s="621" t="str">
        <f>IF('Data Export'!$D153="","", "")</f>
        <v/>
      </c>
      <c r="AE153" s="621" t="str">
        <f>IF('Data Export'!$D153="","", "")</f>
        <v/>
      </c>
      <c r="AF153" s="621" t="str">
        <f>IF('Data Export'!$D153="","", "")</f>
        <v/>
      </c>
      <c r="AG153" s="621" t="str">
        <f>IF('Data Export'!$D153="","", "")</f>
        <v/>
      </c>
      <c r="AH153" s="621" t="str">
        <f>IF('Data Export'!$D153="","", "")</f>
        <v/>
      </c>
      <c r="AI153" s="621" t="str">
        <f>IF('Data Export'!$D153="","", "")</f>
        <v/>
      </c>
      <c r="AJ153" s="621" t="str">
        <f>IF('Data Export'!$D153="","", "")</f>
        <v/>
      </c>
      <c r="AK153" s="621" t="str">
        <f>IF('Data Export'!$D153="","", "")</f>
        <v/>
      </c>
      <c r="AL153" s="621"/>
      <c r="AM153" s="621">
        <f t="shared" si="0"/>
        <v>0</v>
      </c>
      <c r="AN153" s="621" t="s">
        <v>322</v>
      </c>
      <c r="AO153" s="637" t="str">
        <f>IF('Data Export'!$D153="","", IFERROR(ROUND($F153/$D153, 2), ""))</f>
        <v/>
      </c>
      <c r="AP153" s="643">
        <f>IF('Data Export'!$D153="","",'Project Summary'!$C$11)</f>
        <v>0</v>
      </c>
      <c r="AQ153" s="621"/>
      <c r="AR153" s="621"/>
    </row>
    <row r="154" spans="1:44" x14ac:dyDescent="0.2">
      <c r="A154" s="656" t="str">
        <f>'Refrigeration Economizer'!$B$3</f>
        <v>Refrigeration Economizers</v>
      </c>
      <c r="B154" s="614"/>
      <c r="C154" s="614">
        <v>152</v>
      </c>
      <c r="D154" s="630">
        <f>IF('Refrigeration Economizer'!Z9&gt;0,'Refrigeration Economizer'!K9,"")</f>
        <v>0</v>
      </c>
      <c r="E154" s="614">
        <f>IF(D154="","",'Look Up Tables'!$AS$61)</f>
        <v>0</v>
      </c>
      <c r="F154" s="636" t="str">
        <f>IF('Data Export'!$D154="","", 'Refrigeration Economizer'!Z9)</f>
        <v/>
      </c>
      <c r="G154" s="615">
        <f>IF('Data Export'!D154="","", 'Project Summary'!$C$6)</f>
        <v>0</v>
      </c>
      <c r="H154" s="635">
        <f>IF('Data Export'!$D154="","",'Refrigeration Economizer'!W9)</f>
        <v>0</v>
      </c>
      <c r="I154" s="633">
        <f>IF('Data Export'!$D154="","",'Refrigeration Economizer'!X9)</f>
        <v>0</v>
      </c>
      <c r="J154" s="630">
        <f>IF('Data Export'!$D154="","", 'Project Summary'!$J$1)</f>
        <v>5.01</v>
      </c>
      <c r="K154" s="630">
        <f>IF('Data Export'!$D154="","",'Refrigeration Economizer'!D9)</f>
        <v>0</v>
      </c>
      <c r="L154" s="630">
        <f>IF('Data Export'!$D154="","",'Refrigeration Economizer'!E9)</f>
        <v>0</v>
      </c>
      <c r="M154" s="614">
        <f>IF('Data Export'!$D154="","", 'Project Summary'!$C$13)</f>
        <v>0</v>
      </c>
      <c r="N154" s="614" t="str">
        <f>IF('Data Export'!$D154="","", "")</f>
        <v/>
      </c>
      <c r="O154" s="614"/>
      <c r="P154" s="614"/>
      <c r="Q154" s="614">
        <f>IF('Data Export'!$D154="","", 'Refrigeration Economizer'!G9)</f>
        <v>0</v>
      </c>
      <c r="R154" s="614" t="str">
        <f>IF('Data Export'!$D154="","", "")</f>
        <v/>
      </c>
      <c r="S154" s="614" t="str">
        <f>IF('Data Export'!$D154="","", "")</f>
        <v/>
      </c>
      <c r="T154" s="614" t="str">
        <f>IF('Data Export'!$D154="","", "")</f>
        <v/>
      </c>
      <c r="U154" s="614" t="str">
        <f>IF('Data Export'!$D154="","", "")</f>
        <v/>
      </c>
      <c r="V154" s="614" t="str">
        <f>IF('Data Export'!$D154="","", "")</f>
        <v/>
      </c>
      <c r="W154" s="614">
        <f>IF('Data Export'!$D154="","", 'Refrigeration Economizer'!H9)</f>
        <v>0</v>
      </c>
      <c r="X154" s="614" t="str">
        <f>IF('Data Export'!$D154="","", "")</f>
        <v/>
      </c>
      <c r="Y154" s="614" t="str">
        <f>IF('Data Export'!$D154="","", "")</f>
        <v/>
      </c>
      <c r="Z154" s="614" t="str">
        <f>IF('Data Export'!$D154="","", "")</f>
        <v/>
      </c>
      <c r="AA154" s="614" t="str">
        <f>IF('Data Export'!$D154="","", "")</f>
        <v/>
      </c>
      <c r="AB154" s="614" t="str">
        <f>IF('Data Export'!$D154="","", "")</f>
        <v/>
      </c>
      <c r="AC154" s="614" t="str">
        <f>IF('Data Export'!$D154="","", "")</f>
        <v/>
      </c>
      <c r="AD154" s="614" t="str">
        <f>IF('Data Export'!$D154="","", "")</f>
        <v/>
      </c>
      <c r="AE154" s="614" t="str">
        <f>IF('Data Export'!$D154="","", "")</f>
        <v/>
      </c>
      <c r="AF154" s="614" t="str">
        <f>IF('Data Export'!$D154="","", "")</f>
        <v/>
      </c>
      <c r="AG154" s="614" t="str">
        <f>IF('Data Export'!$D154="","", "")</f>
        <v/>
      </c>
      <c r="AH154" s="614" t="str">
        <f>IF('Data Export'!$D154="","", "")</f>
        <v/>
      </c>
      <c r="AI154" s="614" t="str">
        <f>IF('Data Export'!$D154="","", "")</f>
        <v/>
      </c>
      <c r="AJ154" s="614" t="str">
        <f>IF('Data Export'!$D154="","", "")</f>
        <v/>
      </c>
      <c r="AK154" s="614" t="str">
        <f>IF('Data Export'!$D154="","", "")</f>
        <v/>
      </c>
      <c r="AL154" s="614"/>
      <c r="AM154" s="614">
        <f t="shared" si="0"/>
        <v>0</v>
      </c>
      <c r="AN154" s="614" t="s">
        <v>322</v>
      </c>
      <c r="AO154" s="636" t="str">
        <f>IF('Data Export'!$D154="","", IFERROR(ROUND($F154/$D154, 2), ""))</f>
        <v/>
      </c>
      <c r="AP154" s="641">
        <f>IF('Data Export'!$D154="","",'Project Summary'!$C$11)</f>
        <v>0</v>
      </c>
      <c r="AQ154" s="614"/>
      <c r="AR154" s="614"/>
    </row>
    <row r="155" spans="1:44" x14ac:dyDescent="0.2">
      <c r="A155" s="656" t="str">
        <f>'Refrigeration Economizer'!$B$3</f>
        <v>Refrigeration Economizers</v>
      </c>
      <c r="B155" s="614"/>
      <c r="C155" s="614">
        <v>153</v>
      </c>
      <c r="D155" s="630">
        <f>IF('Refrigeration Economizer'!Z10&gt;0,'Refrigeration Economizer'!K10,"")</f>
        <v>0</v>
      </c>
      <c r="E155" s="614">
        <f>IF(D155="","",'Look Up Tables'!$AS$61)</f>
        <v>0</v>
      </c>
      <c r="F155" s="636" t="str">
        <f>IF('Data Export'!$D155="","", 'Refrigeration Economizer'!Z10)</f>
        <v/>
      </c>
      <c r="G155" s="615">
        <f>IF('Data Export'!D155="","", 'Project Summary'!$C$6)</f>
        <v>0</v>
      </c>
      <c r="H155" s="635">
        <f>IF('Data Export'!$D155="","",'Refrigeration Economizer'!W10)</f>
        <v>0</v>
      </c>
      <c r="I155" s="633">
        <f>IF('Data Export'!$D155="","",'Refrigeration Economizer'!X10)</f>
        <v>0</v>
      </c>
      <c r="J155" s="630">
        <f>IF('Data Export'!$D155="","", 'Project Summary'!$J$1)</f>
        <v>5.01</v>
      </c>
      <c r="K155" s="630">
        <f>IF('Data Export'!$D155="","",'Refrigeration Economizer'!D10)</f>
        <v>0</v>
      </c>
      <c r="L155" s="630">
        <f>IF('Data Export'!$D155="","",'Refrigeration Economizer'!E10)</f>
        <v>0</v>
      </c>
      <c r="M155" s="614">
        <f>IF('Data Export'!$D155="","", 'Project Summary'!$C$13)</f>
        <v>0</v>
      </c>
      <c r="N155" s="614" t="str">
        <f>IF('Data Export'!$D155="","", "")</f>
        <v/>
      </c>
      <c r="O155" s="614"/>
      <c r="P155" s="614"/>
      <c r="Q155" s="614">
        <f>IF('Data Export'!$D155="","", 'Refrigeration Economizer'!G10)</f>
        <v>0</v>
      </c>
      <c r="R155" s="614" t="str">
        <f>IF('Data Export'!$D155="","", "")</f>
        <v/>
      </c>
      <c r="S155" s="614" t="str">
        <f>IF('Data Export'!$D155="","", "")</f>
        <v/>
      </c>
      <c r="T155" s="614" t="str">
        <f>IF('Data Export'!$D155="","", "")</f>
        <v/>
      </c>
      <c r="U155" s="614" t="str">
        <f>IF('Data Export'!$D155="","", "")</f>
        <v/>
      </c>
      <c r="V155" s="614" t="str">
        <f>IF('Data Export'!$D155="","", "")</f>
        <v/>
      </c>
      <c r="W155" s="614">
        <f>IF('Data Export'!$D155="","", 'Refrigeration Economizer'!H10)</f>
        <v>0</v>
      </c>
      <c r="X155" s="614" t="str">
        <f>IF('Data Export'!$D155="","", "")</f>
        <v/>
      </c>
      <c r="Y155" s="614" t="str">
        <f>IF('Data Export'!$D155="","", "")</f>
        <v/>
      </c>
      <c r="Z155" s="614" t="str">
        <f>IF('Data Export'!$D155="","", "")</f>
        <v/>
      </c>
      <c r="AA155" s="614" t="str">
        <f>IF('Data Export'!$D155="","", "")</f>
        <v/>
      </c>
      <c r="AB155" s="614" t="str">
        <f>IF('Data Export'!$D155="","", "")</f>
        <v/>
      </c>
      <c r="AC155" s="614" t="str">
        <f>IF('Data Export'!$D155="","", "")</f>
        <v/>
      </c>
      <c r="AD155" s="614" t="str">
        <f>IF('Data Export'!$D155="","", "")</f>
        <v/>
      </c>
      <c r="AE155" s="614" t="str">
        <f>IF('Data Export'!$D155="","", "")</f>
        <v/>
      </c>
      <c r="AF155" s="614" t="str">
        <f>IF('Data Export'!$D155="","", "")</f>
        <v/>
      </c>
      <c r="AG155" s="614" t="str">
        <f>IF('Data Export'!$D155="","", "")</f>
        <v/>
      </c>
      <c r="AH155" s="614" t="str">
        <f>IF('Data Export'!$D155="","", "")</f>
        <v/>
      </c>
      <c r="AI155" s="614" t="str">
        <f>IF('Data Export'!$D155="","", "")</f>
        <v/>
      </c>
      <c r="AJ155" s="614" t="str">
        <f>IF('Data Export'!$D155="","", "")</f>
        <v/>
      </c>
      <c r="AK155" s="614" t="str">
        <f>IF('Data Export'!$D155="","", "")</f>
        <v/>
      </c>
      <c r="AL155" s="614"/>
      <c r="AM155" s="614">
        <f t="shared" si="0"/>
        <v>0</v>
      </c>
      <c r="AN155" s="614" t="s">
        <v>322</v>
      </c>
      <c r="AO155" s="636" t="str">
        <f>IF('Data Export'!$D155="","", IFERROR(ROUND($F155/$D155, 2), ""))</f>
        <v/>
      </c>
      <c r="AP155" s="641">
        <f>IF('Data Export'!$D155="","",'Project Summary'!$C$11)</f>
        <v>0</v>
      </c>
      <c r="AQ155" s="614"/>
      <c r="AR155" s="614"/>
    </row>
    <row r="156" spans="1:44" x14ac:dyDescent="0.2">
      <c r="A156" s="656" t="str">
        <f>'Refrigeration Economizer'!$B$3</f>
        <v>Refrigeration Economizers</v>
      </c>
      <c r="B156" s="614"/>
      <c r="C156" s="614">
        <v>154</v>
      </c>
      <c r="D156" s="630">
        <f>IF('Refrigeration Economizer'!Z11&gt;0,'Refrigeration Economizer'!K11,"")</f>
        <v>0</v>
      </c>
      <c r="E156" s="614">
        <f>IF(D156="","",'Look Up Tables'!$AS$61)</f>
        <v>0</v>
      </c>
      <c r="F156" s="636" t="str">
        <f>IF('Data Export'!$D156="","", 'Refrigeration Economizer'!Z11)</f>
        <v/>
      </c>
      <c r="G156" s="615">
        <f>IF('Data Export'!D156="","", 'Project Summary'!$C$6)</f>
        <v>0</v>
      </c>
      <c r="H156" s="635">
        <f>IF('Data Export'!$D156="","",'Refrigeration Economizer'!W11)</f>
        <v>0</v>
      </c>
      <c r="I156" s="633">
        <f>IF('Data Export'!$D156="","",'Refrigeration Economizer'!X11)</f>
        <v>0</v>
      </c>
      <c r="J156" s="630">
        <f>IF('Data Export'!$D156="","", 'Project Summary'!$J$1)</f>
        <v>5.01</v>
      </c>
      <c r="K156" s="630">
        <f>IF('Data Export'!$D156="","",'Refrigeration Economizer'!D11)</f>
        <v>0</v>
      </c>
      <c r="L156" s="630">
        <f>IF('Data Export'!$D156="","",'Refrigeration Economizer'!E11)</f>
        <v>0</v>
      </c>
      <c r="M156" s="614">
        <f>IF('Data Export'!$D156="","", 'Project Summary'!$C$13)</f>
        <v>0</v>
      </c>
      <c r="N156" s="614" t="str">
        <f>IF('Data Export'!$D156="","", "")</f>
        <v/>
      </c>
      <c r="O156" s="614"/>
      <c r="P156" s="614"/>
      <c r="Q156" s="614">
        <f>IF('Data Export'!$D156="","", 'Refrigeration Economizer'!G11)</f>
        <v>0</v>
      </c>
      <c r="R156" s="614" t="str">
        <f>IF('Data Export'!$D156="","", "")</f>
        <v/>
      </c>
      <c r="S156" s="614" t="str">
        <f>IF('Data Export'!$D156="","", "")</f>
        <v/>
      </c>
      <c r="T156" s="614" t="str">
        <f>IF('Data Export'!$D156="","", "")</f>
        <v/>
      </c>
      <c r="U156" s="614" t="str">
        <f>IF('Data Export'!$D156="","", "")</f>
        <v/>
      </c>
      <c r="V156" s="614" t="str">
        <f>IF('Data Export'!$D156="","", "")</f>
        <v/>
      </c>
      <c r="W156" s="614">
        <f>IF('Data Export'!$D156="","", 'Refrigeration Economizer'!H11)</f>
        <v>0</v>
      </c>
      <c r="X156" s="614" t="str">
        <f>IF('Data Export'!$D156="","", "")</f>
        <v/>
      </c>
      <c r="Y156" s="614" t="str">
        <f>IF('Data Export'!$D156="","", "")</f>
        <v/>
      </c>
      <c r="Z156" s="614" t="str">
        <f>IF('Data Export'!$D156="","", "")</f>
        <v/>
      </c>
      <c r="AA156" s="614" t="str">
        <f>IF('Data Export'!$D156="","", "")</f>
        <v/>
      </c>
      <c r="AB156" s="614" t="str">
        <f>IF('Data Export'!$D156="","", "")</f>
        <v/>
      </c>
      <c r="AC156" s="614" t="str">
        <f>IF('Data Export'!$D156="","", "")</f>
        <v/>
      </c>
      <c r="AD156" s="614" t="str">
        <f>IF('Data Export'!$D156="","", "")</f>
        <v/>
      </c>
      <c r="AE156" s="614" t="str">
        <f>IF('Data Export'!$D156="","", "")</f>
        <v/>
      </c>
      <c r="AF156" s="614" t="str">
        <f>IF('Data Export'!$D156="","", "")</f>
        <v/>
      </c>
      <c r="AG156" s="614" t="str">
        <f>IF('Data Export'!$D156="","", "")</f>
        <v/>
      </c>
      <c r="AH156" s="614" t="str">
        <f>IF('Data Export'!$D156="","", "")</f>
        <v/>
      </c>
      <c r="AI156" s="614" t="str">
        <f>IF('Data Export'!$D156="","", "")</f>
        <v/>
      </c>
      <c r="AJ156" s="614" t="str">
        <f>IF('Data Export'!$D156="","", "")</f>
        <v/>
      </c>
      <c r="AK156" s="614" t="str">
        <f>IF('Data Export'!$D156="","", "")</f>
        <v/>
      </c>
      <c r="AL156" s="614"/>
      <c r="AM156" s="614">
        <f t="shared" si="0"/>
        <v>0</v>
      </c>
      <c r="AN156" s="614" t="s">
        <v>322</v>
      </c>
      <c r="AO156" s="636" t="str">
        <f>IF('Data Export'!$D156="","", IFERROR(ROUND($F156/$D156, 2), ""))</f>
        <v/>
      </c>
      <c r="AP156" s="641">
        <f>IF('Data Export'!$D156="","",'Project Summary'!$C$11)</f>
        <v>0</v>
      </c>
      <c r="AQ156" s="614"/>
      <c r="AR156" s="614"/>
    </row>
    <row r="157" spans="1:44" x14ac:dyDescent="0.2">
      <c r="A157" s="656" t="str">
        <f>'Refrigeration Economizer'!$B$3</f>
        <v>Refrigeration Economizers</v>
      </c>
      <c r="B157" s="614"/>
      <c r="C157" s="614">
        <v>155</v>
      </c>
      <c r="D157" s="630">
        <f>IF('Refrigeration Economizer'!Z12&gt;0,'Refrigeration Economizer'!K12,"")</f>
        <v>0</v>
      </c>
      <c r="E157" s="614">
        <f>IF(D157="","",'Look Up Tables'!$AS$61)</f>
        <v>0</v>
      </c>
      <c r="F157" s="636" t="str">
        <f>IF('Data Export'!$D157="","", 'Refrigeration Economizer'!Z12)</f>
        <v/>
      </c>
      <c r="G157" s="615">
        <f>IF('Data Export'!D157="","", 'Project Summary'!$C$6)</f>
        <v>0</v>
      </c>
      <c r="H157" s="635">
        <f>IF('Data Export'!$D157="","",'Refrigeration Economizer'!W12)</f>
        <v>0</v>
      </c>
      <c r="I157" s="633">
        <f>IF('Data Export'!$D157="","",'Refrigeration Economizer'!X12)</f>
        <v>0</v>
      </c>
      <c r="J157" s="630">
        <f>IF('Data Export'!$D157="","", 'Project Summary'!$J$1)</f>
        <v>5.01</v>
      </c>
      <c r="K157" s="630">
        <f>IF('Data Export'!$D157="","",'Refrigeration Economizer'!D12)</f>
        <v>0</v>
      </c>
      <c r="L157" s="630">
        <f>IF('Data Export'!$D157="","",'Refrigeration Economizer'!E12)</f>
        <v>0</v>
      </c>
      <c r="M157" s="614">
        <f>IF('Data Export'!$D157="","", 'Project Summary'!$C$13)</f>
        <v>0</v>
      </c>
      <c r="N157" s="614" t="str">
        <f>IF('Data Export'!$D157="","", "")</f>
        <v/>
      </c>
      <c r="O157" s="614"/>
      <c r="P157" s="614"/>
      <c r="Q157" s="614">
        <f>IF('Data Export'!$D157="","", 'Refrigeration Economizer'!G12)</f>
        <v>0</v>
      </c>
      <c r="R157" s="614" t="str">
        <f>IF('Data Export'!$D157="","", "")</f>
        <v/>
      </c>
      <c r="S157" s="614" t="str">
        <f>IF('Data Export'!$D157="","", "")</f>
        <v/>
      </c>
      <c r="T157" s="614" t="str">
        <f>IF('Data Export'!$D157="","", "")</f>
        <v/>
      </c>
      <c r="U157" s="614" t="str">
        <f>IF('Data Export'!$D157="","", "")</f>
        <v/>
      </c>
      <c r="V157" s="614" t="str">
        <f>IF('Data Export'!$D157="","", "")</f>
        <v/>
      </c>
      <c r="W157" s="614">
        <f>IF('Data Export'!$D157="","", 'Refrigeration Economizer'!H12)</f>
        <v>0</v>
      </c>
      <c r="X157" s="614" t="str">
        <f>IF('Data Export'!$D157="","", "")</f>
        <v/>
      </c>
      <c r="Y157" s="614" t="str">
        <f>IF('Data Export'!$D157="","", "")</f>
        <v/>
      </c>
      <c r="Z157" s="614" t="str">
        <f>IF('Data Export'!$D157="","", "")</f>
        <v/>
      </c>
      <c r="AA157" s="614" t="str">
        <f>IF('Data Export'!$D157="","", "")</f>
        <v/>
      </c>
      <c r="AB157" s="614" t="str">
        <f>IF('Data Export'!$D157="","", "")</f>
        <v/>
      </c>
      <c r="AC157" s="614" t="str">
        <f>IF('Data Export'!$D157="","", "")</f>
        <v/>
      </c>
      <c r="AD157" s="614" t="str">
        <f>IF('Data Export'!$D157="","", "")</f>
        <v/>
      </c>
      <c r="AE157" s="614" t="str">
        <f>IF('Data Export'!$D157="","", "")</f>
        <v/>
      </c>
      <c r="AF157" s="614" t="str">
        <f>IF('Data Export'!$D157="","", "")</f>
        <v/>
      </c>
      <c r="AG157" s="614" t="str">
        <f>IF('Data Export'!$D157="","", "")</f>
        <v/>
      </c>
      <c r="AH157" s="614" t="str">
        <f>IF('Data Export'!$D157="","", "")</f>
        <v/>
      </c>
      <c r="AI157" s="614" t="str">
        <f>IF('Data Export'!$D157="","", "")</f>
        <v/>
      </c>
      <c r="AJ157" s="614" t="str">
        <f>IF('Data Export'!$D157="","", "")</f>
        <v/>
      </c>
      <c r="AK157" s="614" t="str">
        <f>IF('Data Export'!$D157="","", "")</f>
        <v/>
      </c>
      <c r="AL157" s="614"/>
      <c r="AM157" s="614">
        <f t="shared" si="0"/>
        <v>0</v>
      </c>
      <c r="AN157" s="614" t="s">
        <v>322</v>
      </c>
      <c r="AO157" s="636" t="str">
        <f>IF('Data Export'!$D157="","", IFERROR(ROUND($F157/$D157, 2), ""))</f>
        <v/>
      </c>
      <c r="AP157" s="641">
        <f>IF('Data Export'!$D157="","",'Project Summary'!$C$11)</f>
        <v>0</v>
      </c>
      <c r="AQ157" s="614"/>
      <c r="AR157" s="614"/>
    </row>
    <row r="158" spans="1:44" x14ac:dyDescent="0.2">
      <c r="A158" s="656" t="str">
        <f>'Refrigeration Economizer'!$B$3</f>
        <v>Refrigeration Economizers</v>
      </c>
      <c r="B158" s="614"/>
      <c r="C158" s="614">
        <v>156</v>
      </c>
      <c r="D158" s="630">
        <f>IF('Refrigeration Economizer'!Z13&gt;0,'Refrigeration Economizer'!K13,"")</f>
        <v>0</v>
      </c>
      <c r="E158" s="614">
        <f>IF(D158="","",'Look Up Tables'!$AS$61)</f>
        <v>0</v>
      </c>
      <c r="F158" s="636" t="str">
        <f>IF('Data Export'!$D158="","", 'Refrigeration Economizer'!Z13)</f>
        <v/>
      </c>
      <c r="G158" s="615">
        <f>IF('Data Export'!D158="","", 'Project Summary'!$C$6)</f>
        <v>0</v>
      </c>
      <c r="H158" s="635">
        <f>IF('Data Export'!$D158="","",'Refrigeration Economizer'!W13)</f>
        <v>0</v>
      </c>
      <c r="I158" s="633">
        <f>IF('Data Export'!$D158="","",'Refrigeration Economizer'!X13)</f>
        <v>0</v>
      </c>
      <c r="J158" s="630">
        <f>IF('Data Export'!$D158="","", 'Project Summary'!$J$1)</f>
        <v>5.01</v>
      </c>
      <c r="K158" s="630">
        <f>IF('Data Export'!$D158="","",'Refrigeration Economizer'!D13)</f>
        <v>0</v>
      </c>
      <c r="L158" s="630">
        <f>IF('Data Export'!$D158="","",'Refrigeration Economizer'!E13)</f>
        <v>0</v>
      </c>
      <c r="M158" s="614">
        <f>IF('Data Export'!$D158="","", 'Project Summary'!$C$13)</f>
        <v>0</v>
      </c>
      <c r="N158" s="614" t="str">
        <f>IF('Data Export'!$D158="","", "")</f>
        <v/>
      </c>
      <c r="O158" s="614"/>
      <c r="P158" s="614"/>
      <c r="Q158" s="614">
        <f>IF('Data Export'!$D158="","", 'Refrigeration Economizer'!G13)</f>
        <v>0</v>
      </c>
      <c r="R158" s="614" t="str">
        <f>IF('Data Export'!$D158="","", "")</f>
        <v/>
      </c>
      <c r="S158" s="614" t="str">
        <f>IF('Data Export'!$D158="","", "")</f>
        <v/>
      </c>
      <c r="T158" s="614" t="str">
        <f>IF('Data Export'!$D158="","", "")</f>
        <v/>
      </c>
      <c r="U158" s="614" t="str">
        <f>IF('Data Export'!$D158="","", "")</f>
        <v/>
      </c>
      <c r="V158" s="614" t="str">
        <f>IF('Data Export'!$D158="","", "")</f>
        <v/>
      </c>
      <c r="W158" s="614">
        <f>IF('Data Export'!$D158="","", 'Refrigeration Economizer'!H13)</f>
        <v>0</v>
      </c>
      <c r="X158" s="614" t="str">
        <f>IF('Data Export'!$D158="","", "")</f>
        <v/>
      </c>
      <c r="Y158" s="614" t="str">
        <f>IF('Data Export'!$D158="","", "")</f>
        <v/>
      </c>
      <c r="Z158" s="614" t="str">
        <f>IF('Data Export'!$D158="","", "")</f>
        <v/>
      </c>
      <c r="AA158" s="614" t="str">
        <f>IF('Data Export'!$D158="","", "")</f>
        <v/>
      </c>
      <c r="AB158" s="614" t="str">
        <f>IF('Data Export'!$D158="","", "")</f>
        <v/>
      </c>
      <c r="AC158" s="614" t="str">
        <f>IF('Data Export'!$D158="","", "")</f>
        <v/>
      </c>
      <c r="AD158" s="614" t="str">
        <f>IF('Data Export'!$D158="","", "")</f>
        <v/>
      </c>
      <c r="AE158" s="614" t="str">
        <f>IF('Data Export'!$D158="","", "")</f>
        <v/>
      </c>
      <c r="AF158" s="614" t="str">
        <f>IF('Data Export'!$D158="","", "")</f>
        <v/>
      </c>
      <c r="AG158" s="614" t="str">
        <f>IF('Data Export'!$D158="","", "")</f>
        <v/>
      </c>
      <c r="AH158" s="614" t="str">
        <f>IF('Data Export'!$D158="","", "")</f>
        <v/>
      </c>
      <c r="AI158" s="614" t="str">
        <f>IF('Data Export'!$D158="","", "")</f>
        <v/>
      </c>
      <c r="AJ158" s="614" t="str">
        <f>IF('Data Export'!$D158="","", "")</f>
        <v/>
      </c>
      <c r="AK158" s="614" t="str">
        <f>IF('Data Export'!$D158="","", "")</f>
        <v/>
      </c>
      <c r="AL158" s="614"/>
      <c r="AM158" s="614">
        <f t="shared" si="0"/>
        <v>0</v>
      </c>
      <c r="AN158" s="614" t="s">
        <v>322</v>
      </c>
      <c r="AO158" s="636" t="str">
        <f>IF('Data Export'!$D158="","", IFERROR(ROUND($F158/$D158, 2), ""))</f>
        <v/>
      </c>
      <c r="AP158" s="641">
        <f>IF('Data Export'!$D158="","",'Project Summary'!$C$11)</f>
        <v>0</v>
      </c>
      <c r="AQ158" s="614"/>
      <c r="AR158" s="614"/>
    </row>
    <row r="159" spans="1:44" x14ac:dyDescent="0.2">
      <c r="A159" s="656" t="str">
        <f>'Refrigeration Economizer'!$B$3</f>
        <v>Refrigeration Economizers</v>
      </c>
      <c r="B159" s="614"/>
      <c r="C159" s="614">
        <v>157</v>
      </c>
      <c r="D159" s="630">
        <f>IF('Refrigeration Economizer'!Z14&gt;0,'Refrigeration Economizer'!K14,"")</f>
        <v>0</v>
      </c>
      <c r="E159" s="614">
        <f>IF(D159="","",'Look Up Tables'!$AS$61)</f>
        <v>0</v>
      </c>
      <c r="F159" s="636" t="str">
        <f>IF('Data Export'!$D159="","", 'Refrigeration Economizer'!Z14)</f>
        <v/>
      </c>
      <c r="G159" s="615">
        <f>IF('Data Export'!D159="","", 'Project Summary'!$C$6)</f>
        <v>0</v>
      </c>
      <c r="H159" s="635">
        <f>IF('Data Export'!$D159="","",'Refrigeration Economizer'!W14)</f>
        <v>0</v>
      </c>
      <c r="I159" s="633">
        <f>IF('Data Export'!$D159="","",'Refrigeration Economizer'!X14)</f>
        <v>0</v>
      </c>
      <c r="J159" s="630">
        <f>IF('Data Export'!$D159="","", 'Project Summary'!$J$1)</f>
        <v>5.01</v>
      </c>
      <c r="K159" s="630">
        <f>IF('Data Export'!$D159="","",'Refrigeration Economizer'!D14)</f>
        <v>0</v>
      </c>
      <c r="L159" s="630">
        <f>IF('Data Export'!$D159="","",'Refrigeration Economizer'!E14)</f>
        <v>0</v>
      </c>
      <c r="M159" s="614">
        <f>IF('Data Export'!$D159="","", 'Project Summary'!$C$13)</f>
        <v>0</v>
      </c>
      <c r="N159" s="614" t="str">
        <f>IF('Data Export'!$D159="","", "")</f>
        <v/>
      </c>
      <c r="O159" s="614"/>
      <c r="P159" s="614"/>
      <c r="Q159" s="614">
        <f>IF('Data Export'!$D159="","", 'Refrigeration Economizer'!G14)</f>
        <v>0</v>
      </c>
      <c r="R159" s="614" t="str">
        <f>IF('Data Export'!$D159="","", "")</f>
        <v/>
      </c>
      <c r="S159" s="614" t="str">
        <f>IF('Data Export'!$D159="","", "")</f>
        <v/>
      </c>
      <c r="T159" s="614" t="str">
        <f>IF('Data Export'!$D159="","", "")</f>
        <v/>
      </c>
      <c r="U159" s="614" t="str">
        <f>IF('Data Export'!$D159="","", "")</f>
        <v/>
      </c>
      <c r="V159" s="614" t="str">
        <f>IF('Data Export'!$D159="","", "")</f>
        <v/>
      </c>
      <c r="W159" s="614">
        <f>IF('Data Export'!$D159="","", 'Refrigeration Economizer'!H14)</f>
        <v>0</v>
      </c>
      <c r="X159" s="614" t="str">
        <f>IF('Data Export'!$D159="","", "")</f>
        <v/>
      </c>
      <c r="Y159" s="614" t="str">
        <f>IF('Data Export'!$D159="","", "")</f>
        <v/>
      </c>
      <c r="Z159" s="614" t="str">
        <f>IF('Data Export'!$D159="","", "")</f>
        <v/>
      </c>
      <c r="AA159" s="614" t="str">
        <f>IF('Data Export'!$D159="","", "")</f>
        <v/>
      </c>
      <c r="AB159" s="614" t="str">
        <f>IF('Data Export'!$D159="","", "")</f>
        <v/>
      </c>
      <c r="AC159" s="614" t="str">
        <f>IF('Data Export'!$D159="","", "")</f>
        <v/>
      </c>
      <c r="AD159" s="614" t="str">
        <f>IF('Data Export'!$D159="","", "")</f>
        <v/>
      </c>
      <c r="AE159" s="614" t="str">
        <f>IF('Data Export'!$D159="","", "")</f>
        <v/>
      </c>
      <c r="AF159" s="614" t="str">
        <f>IF('Data Export'!$D159="","", "")</f>
        <v/>
      </c>
      <c r="AG159" s="614" t="str">
        <f>IF('Data Export'!$D159="","", "")</f>
        <v/>
      </c>
      <c r="AH159" s="614" t="str">
        <f>IF('Data Export'!$D159="","", "")</f>
        <v/>
      </c>
      <c r="AI159" s="614" t="str">
        <f>IF('Data Export'!$D159="","", "")</f>
        <v/>
      </c>
      <c r="AJ159" s="614" t="str">
        <f>IF('Data Export'!$D159="","", "")</f>
        <v/>
      </c>
      <c r="AK159" s="614" t="str">
        <f>IF('Data Export'!$D159="","", "")</f>
        <v/>
      </c>
      <c r="AL159" s="614"/>
      <c r="AM159" s="614">
        <f t="shared" si="0"/>
        <v>0</v>
      </c>
      <c r="AN159" s="614" t="s">
        <v>322</v>
      </c>
      <c r="AO159" s="636" t="str">
        <f>IF('Data Export'!$D159="","", IFERROR(ROUND($F159/$D159, 2), ""))</f>
        <v/>
      </c>
      <c r="AP159" s="641">
        <f>IF('Data Export'!$D159="","",'Project Summary'!$C$11)</f>
        <v>0</v>
      </c>
      <c r="AQ159" s="614"/>
      <c r="AR159" s="614"/>
    </row>
    <row r="160" spans="1:44" x14ac:dyDescent="0.2">
      <c r="A160" s="656" t="str">
        <f>'Refrigeration Economizer'!$B$3</f>
        <v>Refrigeration Economizers</v>
      </c>
      <c r="B160" s="614"/>
      <c r="C160" s="614">
        <v>158</v>
      </c>
      <c r="D160" s="630">
        <f>IF('Refrigeration Economizer'!Z15&gt;0,'Refrigeration Economizer'!K15,"")</f>
        <v>0</v>
      </c>
      <c r="E160" s="614">
        <f>IF(D160="","",'Look Up Tables'!$AS$61)</f>
        <v>0</v>
      </c>
      <c r="F160" s="636" t="str">
        <f>IF('Data Export'!$D160="","", 'Refrigeration Economizer'!Z15)</f>
        <v/>
      </c>
      <c r="G160" s="615">
        <f>IF('Data Export'!D160="","", 'Project Summary'!$C$6)</f>
        <v>0</v>
      </c>
      <c r="H160" s="635">
        <f>IF('Data Export'!$D160="","",'Refrigeration Economizer'!W15)</f>
        <v>0</v>
      </c>
      <c r="I160" s="633">
        <f>IF('Data Export'!$D160="","",'Refrigeration Economizer'!X15)</f>
        <v>0</v>
      </c>
      <c r="J160" s="630">
        <f>IF('Data Export'!$D160="","", 'Project Summary'!$J$1)</f>
        <v>5.01</v>
      </c>
      <c r="K160" s="630">
        <f>IF('Data Export'!$D160="","",'Refrigeration Economizer'!D15)</f>
        <v>0</v>
      </c>
      <c r="L160" s="630">
        <f>IF('Data Export'!$D160="","",'Refrigeration Economizer'!E15)</f>
        <v>0</v>
      </c>
      <c r="M160" s="614">
        <f>IF('Data Export'!$D160="","", 'Project Summary'!$C$13)</f>
        <v>0</v>
      </c>
      <c r="N160" s="614" t="str">
        <f>IF('Data Export'!$D160="","", "")</f>
        <v/>
      </c>
      <c r="O160" s="614"/>
      <c r="P160" s="614"/>
      <c r="Q160" s="614">
        <f>IF('Data Export'!$D160="","", 'Refrigeration Economizer'!G15)</f>
        <v>0</v>
      </c>
      <c r="R160" s="614" t="str">
        <f>IF('Data Export'!$D160="","", "")</f>
        <v/>
      </c>
      <c r="S160" s="614" t="str">
        <f>IF('Data Export'!$D160="","", "")</f>
        <v/>
      </c>
      <c r="T160" s="614" t="str">
        <f>IF('Data Export'!$D160="","", "")</f>
        <v/>
      </c>
      <c r="U160" s="614" t="str">
        <f>IF('Data Export'!$D160="","", "")</f>
        <v/>
      </c>
      <c r="V160" s="614" t="str">
        <f>IF('Data Export'!$D160="","", "")</f>
        <v/>
      </c>
      <c r="W160" s="614">
        <f>IF('Data Export'!$D160="","", 'Refrigeration Economizer'!H15)</f>
        <v>0</v>
      </c>
      <c r="X160" s="614" t="str">
        <f>IF('Data Export'!$D160="","", "")</f>
        <v/>
      </c>
      <c r="Y160" s="614" t="str">
        <f>IF('Data Export'!$D160="","", "")</f>
        <v/>
      </c>
      <c r="Z160" s="614" t="str">
        <f>IF('Data Export'!$D160="","", "")</f>
        <v/>
      </c>
      <c r="AA160" s="614" t="str">
        <f>IF('Data Export'!$D160="","", "")</f>
        <v/>
      </c>
      <c r="AB160" s="614" t="str">
        <f>IF('Data Export'!$D160="","", "")</f>
        <v/>
      </c>
      <c r="AC160" s="614" t="str">
        <f>IF('Data Export'!$D160="","", "")</f>
        <v/>
      </c>
      <c r="AD160" s="614" t="str">
        <f>IF('Data Export'!$D160="","", "")</f>
        <v/>
      </c>
      <c r="AE160" s="614" t="str">
        <f>IF('Data Export'!$D160="","", "")</f>
        <v/>
      </c>
      <c r="AF160" s="614" t="str">
        <f>IF('Data Export'!$D160="","", "")</f>
        <v/>
      </c>
      <c r="AG160" s="614" t="str">
        <f>IF('Data Export'!$D160="","", "")</f>
        <v/>
      </c>
      <c r="AH160" s="614" t="str">
        <f>IF('Data Export'!$D160="","", "")</f>
        <v/>
      </c>
      <c r="AI160" s="614" t="str">
        <f>IF('Data Export'!$D160="","", "")</f>
        <v/>
      </c>
      <c r="AJ160" s="614" t="str">
        <f>IF('Data Export'!$D160="","", "")</f>
        <v/>
      </c>
      <c r="AK160" s="614" t="str">
        <f>IF('Data Export'!$D160="","", "")</f>
        <v/>
      </c>
      <c r="AL160" s="614"/>
      <c r="AM160" s="614">
        <f t="shared" si="0"/>
        <v>0</v>
      </c>
      <c r="AN160" s="614" t="s">
        <v>322</v>
      </c>
      <c r="AO160" s="636" t="str">
        <f>IF('Data Export'!$D160="","", IFERROR(ROUND($F160/$D160, 2), ""))</f>
        <v/>
      </c>
      <c r="AP160" s="641">
        <f>IF('Data Export'!$D160="","",'Project Summary'!$C$11)</f>
        <v>0</v>
      </c>
      <c r="AQ160" s="614"/>
      <c r="AR160" s="614"/>
    </row>
    <row r="161" spans="1:44" x14ac:dyDescent="0.2">
      <c r="A161" s="656" t="str">
        <f>'Refrigeration Economizer'!$B$3</f>
        <v>Refrigeration Economizers</v>
      </c>
      <c r="B161" s="614"/>
      <c r="C161" s="614">
        <v>159</v>
      </c>
      <c r="D161" s="630">
        <f>IF('Refrigeration Economizer'!Z16&gt;0,'Refrigeration Economizer'!K16,"")</f>
        <v>0</v>
      </c>
      <c r="E161" s="614">
        <f>IF(D161="","",'Look Up Tables'!$AS$61)</f>
        <v>0</v>
      </c>
      <c r="F161" s="636" t="str">
        <f>IF('Data Export'!$D161="","", 'Refrigeration Economizer'!Z16)</f>
        <v/>
      </c>
      <c r="G161" s="615">
        <f>IF('Data Export'!D161="","", 'Project Summary'!$C$6)</f>
        <v>0</v>
      </c>
      <c r="H161" s="635">
        <f>IF('Data Export'!$D161="","",'Refrigeration Economizer'!W16)</f>
        <v>0</v>
      </c>
      <c r="I161" s="633">
        <f>IF('Data Export'!$D161="","",'Refrigeration Economizer'!X16)</f>
        <v>0</v>
      </c>
      <c r="J161" s="630">
        <f>IF('Data Export'!$D161="","", 'Project Summary'!$J$1)</f>
        <v>5.01</v>
      </c>
      <c r="K161" s="630">
        <f>IF('Data Export'!$D161="","",'Refrigeration Economizer'!D16)</f>
        <v>0</v>
      </c>
      <c r="L161" s="630">
        <f>IF('Data Export'!$D161="","",'Refrigeration Economizer'!E16)</f>
        <v>0</v>
      </c>
      <c r="M161" s="614">
        <f>IF('Data Export'!$D161="","", 'Project Summary'!$C$13)</f>
        <v>0</v>
      </c>
      <c r="N161" s="614" t="str">
        <f>IF('Data Export'!$D161="","", "")</f>
        <v/>
      </c>
      <c r="O161" s="614"/>
      <c r="P161" s="614"/>
      <c r="Q161" s="614">
        <f>IF('Data Export'!$D161="","", 'Refrigeration Economizer'!G16)</f>
        <v>0</v>
      </c>
      <c r="R161" s="614" t="str">
        <f>IF('Data Export'!$D161="","", "")</f>
        <v/>
      </c>
      <c r="S161" s="614" t="str">
        <f>IF('Data Export'!$D161="","", "")</f>
        <v/>
      </c>
      <c r="T161" s="614" t="str">
        <f>IF('Data Export'!$D161="","", "")</f>
        <v/>
      </c>
      <c r="U161" s="614" t="str">
        <f>IF('Data Export'!$D161="","", "")</f>
        <v/>
      </c>
      <c r="V161" s="614" t="str">
        <f>IF('Data Export'!$D161="","", "")</f>
        <v/>
      </c>
      <c r="W161" s="614">
        <f>IF('Data Export'!$D161="","", 'Refrigeration Economizer'!H16)</f>
        <v>0</v>
      </c>
      <c r="X161" s="614" t="str">
        <f>IF('Data Export'!$D161="","", "")</f>
        <v/>
      </c>
      <c r="Y161" s="614" t="str">
        <f>IF('Data Export'!$D161="","", "")</f>
        <v/>
      </c>
      <c r="Z161" s="614" t="str">
        <f>IF('Data Export'!$D161="","", "")</f>
        <v/>
      </c>
      <c r="AA161" s="614" t="str">
        <f>IF('Data Export'!$D161="","", "")</f>
        <v/>
      </c>
      <c r="AB161" s="614" t="str">
        <f>IF('Data Export'!$D161="","", "")</f>
        <v/>
      </c>
      <c r="AC161" s="614" t="str">
        <f>IF('Data Export'!$D161="","", "")</f>
        <v/>
      </c>
      <c r="AD161" s="614" t="str">
        <f>IF('Data Export'!$D161="","", "")</f>
        <v/>
      </c>
      <c r="AE161" s="614" t="str">
        <f>IF('Data Export'!$D161="","", "")</f>
        <v/>
      </c>
      <c r="AF161" s="614" t="str">
        <f>IF('Data Export'!$D161="","", "")</f>
        <v/>
      </c>
      <c r="AG161" s="614" t="str">
        <f>IF('Data Export'!$D161="","", "")</f>
        <v/>
      </c>
      <c r="AH161" s="614" t="str">
        <f>IF('Data Export'!$D161="","", "")</f>
        <v/>
      </c>
      <c r="AI161" s="614" t="str">
        <f>IF('Data Export'!$D161="","", "")</f>
        <v/>
      </c>
      <c r="AJ161" s="614" t="str">
        <f>IF('Data Export'!$D161="","", "")</f>
        <v/>
      </c>
      <c r="AK161" s="614" t="str">
        <f>IF('Data Export'!$D161="","", "")</f>
        <v/>
      </c>
      <c r="AL161" s="614"/>
      <c r="AM161" s="614">
        <f t="shared" si="0"/>
        <v>0</v>
      </c>
      <c r="AN161" s="614" t="s">
        <v>322</v>
      </c>
      <c r="AO161" s="636" t="str">
        <f>IF('Data Export'!$D161="","", IFERROR(ROUND($F161/$D161, 2), ""))</f>
        <v/>
      </c>
      <c r="AP161" s="641">
        <f>IF('Data Export'!$D161="","",'Project Summary'!$C$11)</f>
        <v>0</v>
      </c>
      <c r="AQ161" s="614"/>
      <c r="AR161" s="614"/>
    </row>
    <row r="162" spans="1:44" ht="15" thickBot="1" x14ac:dyDescent="0.25">
      <c r="A162" s="657" t="str">
        <f>'Refrigeration Economizer'!$B$3</f>
        <v>Refrigeration Economizers</v>
      </c>
      <c r="B162" s="626"/>
      <c r="C162" s="626">
        <v>160</v>
      </c>
      <c r="D162" s="631">
        <f>IF('Refrigeration Economizer'!Z17&gt;0,'Refrigeration Economizer'!K17,"")</f>
        <v>0</v>
      </c>
      <c r="E162" s="626">
        <f>IF(D162="","",'Look Up Tables'!$AS$61)</f>
        <v>0</v>
      </c>
      <c r="F162" s="638" t="str">
        <f>IF('Data Export'!$D162="","", 'Refrigeration Economizer'!Z17)</f>
        <v/>
      </c>
      <c r="G162" s="627">
        <f>IF('Data Export'!D162="","", 'Project Summary'!$C$6)</f>
        <v>0</v>
      </c>
      <c r="H162" s="639">
        <f>IF('Data Export'!$D162="","",'Refrigeration Economizer'!W17)</f>
        <v>0</v>
      </c>
      <c r="I162" s="634">
        <f>IF('Data Export'!$D162="","",'Refrigeration Economizer'!X17)</f>
        <v>0</v>
      </c>
      <c r="J162" s="631">
        <f>IF('Data Export'!$D162="","", 'Project Summary'!$J$1)</f>
        <v>5.01</v>
      </c>
      <c r="K162" s="631">
        <f>IF('Data Export'!$D162="","",'Refrigeration Economizer'!D17)</f>
        <v>0</v>
      </c>
      <c r="L162" s="631">
        <f>IF('Data Export'!$D162="","",'Refrigeration Economizer'!E17)</f>
        <v>0</v>
      </c>
      <c r="M162" s="626">
        <f>IF('Data Export'!$D162="","", 'Project Summary'!$C$13)</f>
        <v>0</v>
      </c>
      <c r="N162" s="626" t="str">
        <f>IF('Data Export'!$D162="","", "")</f>
        <v/>
      </c>
      <c r="O162" s="626"/>
      <c r="P162" s="626"/>
      <c r="Q162" s="626">
        <f>IF('Data Export'!$D162="","", 'Refrigeration Economizer'!G17)</f>
        <v>0</v>
      </c>
      <c r="R162" s="626" t="str">
        <f>IF('Data Export'!$D162="","", "")</f>
        <v/>
      </c>
      <c r="S162" s="626" t="str">
        <f>IF('Data Export'!$D162="","", "")</f>
        <v/>
      </c>
      <c r="T162" s="626" t="str">
        <f>IF('Data Export'!$D162="","", "")</f>
        <v/>
      </c>
      <c r="U162" s="626" t="str">
        <f>IF('Data Export'!$D162="","", "")</f>
        <v/>
      </c>
      <c r="V162" s="626" t="str">
        <f>IF('Data Export'!$D162="","", "")</f>
        <v/>
      </c>
      <c r="W162" s="626">
        <f>IF('Data Export'!$D162="","", 'Refrigeration Economizer'!H17)</f>
        <v>0</v>
      </c>
      <c r="X162" s="626" t="str">
        <f>IF('Data Export'!$D162="","", "")</f>
        <v/>
      </c>
      <c r="Y162" s="626" t="str">
        <f>IF('Data Export'!$D162="","", "")</f>
        <v/>
      </c>
      <c r="Z162" s="626" t="str">
        <f>IF('Data Export'!$D162="","", "")</f>
        <v/>
      </c>
      <c r="AA162" s="626" t="str">
        <f>IF('Data Export'!$D162="","", "")</f>
        <v/>
      </c>
      <c r="AB162" s="626" t="str">
        <f>IF('Data Export'!$D162="","", "")</f>
        <v/>
      </c>
      <c r="AC162" s="626" t="str">
        <f>IF('Data Export'!$D162="","", "")</f>
        <v/>
      </c>
      <c r="AD162" s="626" t="str">
        <f>IF('Data Export'!$D162="","", "")</f>
        <v/>
      </c>
      <c r="AE162" s="626" t="str">
        <f>IF('Data Export'!$D162="","", "")</f>
        <v/>
      </c>
      <c r="AF162" s="626" t="str">
        <f>IF('Data Export'!$D162="","", "")</f>
        <v/>
      </c>
      <c r="AG162" s="626" t="str">
        <f>IF('Data Export'!$D162="","", "")</f>
        <v/>
      </c>
      <c r="AH162" s="626" t="str">
        <f>IF('Data Export'!$D162="","", "")</f>
        <v/>
      </c>
      <c r="AI162" s="626" t="str">
        <f>IF('Data Export'!$D162="","", "")</f>
        <v/>
      </c>
      <c r="AJ162" s="626" t="str">
        <f>IF('Data Export'!$D162="","", "")</f>
        <v/>
      </c>
      <c r="AK162" s="626" t="str">
        <f>IF('Data Export'!$D162="","", "")</f>
        <v/>
      </c>
      <c r="AL162" s="626"/>
      <c r="AM162" s="626">
        <f t="shared" si="0"/>
        <v>0</v>
      </c>
      <c r="AN162" s="626" t="s">
        <v>322</v>
      </c>
      <c r="AO162" s="638" t="str">
        <f>IF('Data Export'!$D162="","", IFERROR(ROUND($F162/$D162, 2), ""))</f>
        <v/>
      </c>
      <c r="AP162" s="642">
        <f>IF('Data Export'!$D162="","",'Project Summary'!$C$11)</f>
        <v>0</v>
      </c>
      <c r="AQ162" s="626"/>
      <c r="AR162" s="626"/>
    </row>
    <row r="163" spans="1:44" ht="15" thickTop="1" x14ac:dyDescent="0.2">
      <c r="A163" s="655" t="str">
        <f>'Door Gaskets'!$B$3</f>
        <v>Door Gaskets for Walk In and Reach In Coolers and Freezers</v>
      </c>
      <c r="B163" s="621"/>
      <c r="C163" s="621">
        <v>161</v>
      </c>
      <c r="D163" s="632">
        <f>IF('Door Gaskets'!M8&gt;0,'Door Gaskets'!I8,"")</f>
        <v>0</v>
      </c>
      <c r="E163" s="621" t="str">
        <f>IF($D163="","",IF(AND('Door Gaskets'!G8='Look Up Tables'!$D$4,'Door Gaskets'!H8='Look Up Tables'!$I$67),'Look Up Tables'!$AS$38,IF(AND('Door Gaskets'!G8='Look Up Tables'!$D$3,'Door Gaskets'!H8='Look Up Tables'!$I$68),'Look Up Tables'!$AS$39,IF(AND('Door Gaskets'!G8='Look Up Tables'!$D$4,'Door Gaskets'!H8='Look Up Tables'!$I$68),'Look Up Tables'!$AS$40,'Look Up Tables'!$AS$41))))</f>
        <v>DoorGasketWIFrz</v>
      </c>
      <c r="F163" s="637" t="str">
        <f>IF('Data Export'!$D163="","", 'Door Gaskets'!M8)</f>
        <v/>
      </c>
      <c r="G163" s="622">
        <f>IF('Data Export'!D163="","", 'Project Summary'!$C$6)</f>
        <v>0</v>
      </c>
      <c r="H163" s="640">
        <f>IF('Data Export'!$D163="","",'Door Gaskets'!J8)</f>
        <v>0</v>
      </c>
      <c r="I163" s="644">
        <f>IF('Data Export'!$D163="","",'Door Gaskets'!K8)</f>
        <v>0</v>
      </c>
      <c r="J163" s="632">
        <f>IF('Data Export'!$D163="","", 'Project Summary'!$J$1)</f>
        <v>5.01</v>
      </c>
      <c r="K163" s="632">
        <f>IF('Data Export'!$D163="","",'Door Gaskets'!D8)</f>
        <v>0</v>
      </c>
      <c r="L163" s="632">
        <f>IF('Data Export'!$D163="","",'Door Gaskets'!E8)</f>
        <v>0</v>
      </c>
      <c r="M163" s="621">
        <f>IF('Data Export'!$D163="","", 'Project Summary'!$C$13)</f>
        <v>0</v>
      </c>
      <c r="N163" s="621" t="str">
        <f>IF('Data Export'!$D163="","", "")</f>
        <v/>
      </c>
      <c r="O163" s="632">
        <f>IF('Data Export'!$D163="","", 'Door Gaskets'!I8)</f>
        <v>0</v>
      </c>
      <c r="P163" s="632">
        <f>IF('Data Export'!$D163="","",IF('Door Gaskets'!G8="Refrigeration","Refrigerator",'Door Gaskets'!G8))</f>
        <v>0</v>
      </c>
      <c r="Q163" s="621" t="str">
        <f>IF('Data Export'!$D163="","", "")</f>
        <v/>
      </c>
      <c r="R163" s="621" t="str">
        <f>IF('Data Export'!$D163="","", "")</f>
        <v/>
      </c>
      <c r="S163" s="621" t="str">
        <f>IF('Data Export'!$D163="","", "")</f>
        <v/>
      </c>
      <c r="T163" s="621" t="str">
        <f>IF('Data Export'!$D163="","", "")</f>
        <v/>
      </c>
      <c r="U163" s="621" t="str">
        <f>IF('Data Export'!$D163="","", "")</f>
        <v/>
      </c>
      <c r="V163" s="621" t="str">
        <f>IF('Data Export'!$D163="","", "")</f>
        <v/>
      </c>
      <c r="W163" s="621" t="str">
        <f>IF('Data Export'!$D163="","", "")</f>
        <v/>
      </c>
      <c r="X163" s="621" t="str">
        <f>IF('Data Export'!$D163="","", "")</f>
        <v/>
      </c>
      <c r="Y163" s="621" t="str">
        <f>IF('Data Export'!$D163="","", "")</f>
        <v/>
      </c>
      <c r="Z163" s="621" t="str">
        <f>IF('Data Export'!$D163="","", "")</f>
        <v/>
      </c>
      <c r="AA163" s="624"/>
      <c r="AB163" s="621" t="str">
        <f>IF('Data Export'!$D163="","", "")</f>
        <v/>
      </c>
      <c r="AC163" s="621" t="str">
        <f>IF('Data Export'!$D163="","", "")</f>
        <v/>
      </c>
      <c r="AD163" s="621" t="str">
        <f>IF('Data Export'!$D163="","", "")</f>
        <v/>
      </c>
      <c r="AE163" s="621" t="str">
        <f>IF('Data Export'!$D163="","", "")</f>
        <v/>
      </c>
      <c r="AF163" s="623">
        <f>IF('Data Export'!$D163="","", 'Door Gaskets'!H8)</f>
        <v>0</v>
      </c>
      <c r="AG163" s="621" t="str">
        <f>IF('Data Export'!$D163="","", "")</f>
        <v/>
      </c>
      <c r="AH163" s="621" t="str">
        <f>IF('Data Export'!$D163="","", "")</f>
        <v/>
      </c>
      <c r="AI163" s="621" t="str">
        <f>IF('Data Export'!$D163="","", "")</f>
        <v/>
      </c>
      <c r="AJ163" s="621" t="str">
        <f>IF('Data Export'!$D163="","", "")</f>
        <v/>
      </c>
      <c r="AK163" s="621" t="str">
        <f>IF('Data Export'!$D163="","", "")</f>
        <v/>
      </c>
      <c r="AL163" s="621"/>
      <c r="AM163" s="621">
        <f t="shared" si="0"/>
        <v>0</v>
      </c>
      <c r="AN163" s="621" t="s">
        <v>322</v>
      </c>
      <c r="AO163" s="637" t="str">
        <f>IF('Data Export'!$D163="","", IFERROR(ROUND($F163/$D163, 2), ""))</f>
        <v/>
      </c>
      <c r="AP163" s="643">
        <f>IF('Data Export'!$D163="","",'Project Summary'!$C$11)</f>
        <v>0</v>
      </c>
      <c r="AQ163" s="621"/>
      <c r="AR163" s="621"/>
    </row>
    <row r="164" spans="1:44" x14ac:dyDescent="0.2">
      <c r="A164" s="656" t="str">
        <f>'Door Gaskets'!$B$3</f>
        <v>Door Gaskets for Walk In and Reach In Coolers and Freezers</v>
      </c>
      <c r="B164" s="614"/>
      <c r="C164" s="614">
        <v>162</v>
      </c>
      <c r="D164" s="630">
        <f>IF('Door Gaskets'!M9&gt;0,'Door Gaskets'!I9,"")</f>
        <v>0</v>
      </c>
      <c r="E164" s="614" t="str">
        <f>IF($D164="","",IF(AND('Door Gaskets'!G9='Look Up Tables'!$D$4,'Door Gaskets'!H9='Look Up Tables'!$I$67),'Look Up Tables'!$AS$38,IF(AND('Door Gaskets'!G9='Look Up Tables'!$D$3,'Door Gaskets'!H9='Look Up Tables'!$I$68),'Look Up Tables'!$AS$39,IF(AND('Door Gaskets'!G9='Look Up Tables'!$D$4,'Door Gaskets'!H9='Look Up Tables'!$I$68),'Look Up Tables'!$AS$40,'Look Up Tables'!$AS$41))))</f>
        <v>DoorGasketWIFrz</v>
      </c>
      <c r="F164" s="636" t="str">
        <f>IF('Data Export'!$D164="","", 'Door Gaskets'!M9)</f>
        <v/>
      </c>
      <c r="G164" s="615">
        <f>IF('Data Export'!D164="","", 'Project Summary'!$C$6)</f>
        <v>0</v>
      </c>
      <c r="H164" s="635">
        <f>IF('Data Export'!$D164="","",'Door Gaskets'!J9)</f>
        <v>0</v>
      </c>
      <c r="I164" s="633">
        <f>IF('Data Export'!$D164="","",'Door Gaskets'!K9)</f>
        <v>0</v>
      </c>
      <c r="J164" s="630">
        <f>IF('Data Export'!$D164="","", 'Project Summary'!$J$1)</f>
        <v>5.01</v>
      </c>
      <c r="K164" s="630">
        <f>IF('Data Export'!$D164="","",'Door Gaskets'!D9)</f>
        <v>0</v>
      </c>
      <c r="L164" s="630">
        <f>IF('Data Export'!$D164="","",'Door Gaskets'!E9)</f>
        <v>0</v>
      </c>
      <c r="M164" s="614">
        <f>IF('Data Export'!$D164="","", 'Project Summary'!$C$13)</f>
        <v>0</v>
      </c>
      <c r="N164" s="614" t="str">
        <f>IF('Data Export'!$D164="","", "")</f>
        <v/>
      </c>
      <c r="O164" s="632">
        <f>IF('Data Export'!$D164="","", 'Door Gaskets'!I9)</f>
        <v>0</v>
      </c>
      <c r="P164" s="630">
        <f>IF('Data Export'!$D164="","",IF('Door Gaskets'!G9="Refrigeration","Refrigerator",'Door Gaskets'!G9))</f>
        <v>0</v>
      </c>
      <c r="Q164" s="614" t="str">
        <f>IF('Data Export'!$D164="","", "")</f>
        <v/>
      </c>
      <c r="R164" s="614" t="str">
        <f>IF('Data Export'!$D164="","", "")</f>
        <v/>
      </c>
      <c r="S164" s="614" t="str">
        <f>IF('Data Export'!$D164="","", "")</f>
        <v/>
      </c>
      <c r="T164" s="614" t="str">
        <f>IF('Data Export'!$D164="","", "")</f>
        <v/>
      </c>
      <c r="U164" s="614" t="str">
        <f>IF('Data Export'!$D164="","", "")</f>
        <v/>
      </c>
      <c r="V164" s="614" t="str">
        <f>IF('Data Export'!$D164="","", "")</f>
        <v/>
      </c>
      <c r="W164" s="614" t="str">
        <f>IF('Data Export'!$D164="","", "")</f>
        <v/>
      </c>
      <c r="X164" s="614" t="str">
        <f>IF('Data Export'!$D164="","", "")</f>
        <v/>
      </c>
      <c r="Y164" s="614" t="str">
        <f>IF('Data Export'!$D164="","", "")</f>
        <v/>
      </c>
      <c r="Z164" s="614" t="str">
        <f>IF('Data Export'!$D164="","", "")</f>
        <v/>
      </c>
      <c r="AA164" s="617"/>
      <c r="AB164" s="614" t="str">
        <f>IF('Data Export'!$D164="","", "")</f>
        <v/>
      </c>
      <c r="AC164" s="614" t="str">
        <f>IF('Data Export'!$D164="","", "")</f>
        <v/>
      </c>
      <c r="AD164" s="614" t="str">
        <f>IF('Data Export'!$D164="","", "")</f>
        <v/>
      </c>
      <c r="AE164" s="614" t="str">
        <f>IF('Data Export'!$D164="","", "")</f>
        <v/>
      </c>
      <c r="AF164" s="616">
        <f>IF('Data Export'!$D164="","", 'Door Gaskets'!H9)</f>
        <v>0</v>
      </c>
      <c r="AG164" s="614" t="str">
        <f>IF('Data Export'!$D164="","", "")</f>
        <v/>
      </c>
      <c r="AH164" s="614" t="str">
        <f>IF('Data Export'!$D164="","", "")</f>
        <v/>
      </c>
      <c r="AI164" s="614" t="str">
        <f>IF('Data Export'!$D164="","", "")</f>
        <v/>
      </c>
      <c r="AJ164" s="614" t="str">
        <f>IF('Data Export'!$D164="","", "")</f>
        <v/>
      </c>
      <c r="AK164" s="614" t="str">
        <f>IF('Data Export'!$D164="","", "")</f>
        <v/>
      </c>
      <c r="AL164" s="614"/>
      <c r="AM164" s="614">
        <f t="shared" si="0"/>
        <v>0</v>
      </c>
      <c r="AN164" s="614" t="s">
        <v>322</v>
      </c>
      <c r="AO164" s="636" t="str">
        <f>IF('Data Export'!$D164="","", IFERROR(ROUND($F164/$D164, 2), ""))</f>
        <v/>
      </c>
      <c r="AP164" s="641">
        <f>IF('Data Export'!$D164="","",'Project Summary'!$C$11)</f>
        <v>0</v>
      </c>
      <c r="AQ164" s="614"/>
      <c r="AR164" s="614"/>
    </row>
    <row r="165" spans="1:44" x14ac:dyDescent="0.2">
      <c r="A165" s="656" t="str">
        <f>'Door Gaskets'!$B$3</f>
        <v>Door Gaskets for Walk In and Reach In Coolers and Freezers</v>
      </c>
      <c r="B165" s="614"/>
      <c r="C165" s="614">
        <v>163</v>
      </c>
      <c r="D165" s="630">
        <f>IF('Door Gaskets'!M10&gt;0,'Door Gaskets'!I10,"")</f>
        <v>0</v>
      </c>
      <c r="E165" s="614" t="str">
        <f>IF($D165="","",IF(AND('Door Gaskets'!G10='Look Up Tables'!$D$4,'Door Gaskets'!H10='Look Up Tables'!$I$67),'Look Up Tables'!$AS$38,IF(AND('Door Gaskets'!G10='Look Up Tables'!$D$3,'Door Gaskets'!H10='Look Up Tables'!$I$68),'Look Up Tables'!$AS$39,IF(AND('Door Gaskets'!G10='Look Up Tables'!$D$4,'Door Gaskets'!H10='Look Up Tables'!$I$68),'Look Up Tables'!$AS$40,'Look Up Tables'!$AS$41))))</f>
        <v>DoorGasketWIFrz</v>
      </c>
      <c r="F165" s="636" t="str">
        <f>IF('Data Export'!$D165="","", 'Door Gaskets'!M10)</f>
        <v/>
      </c>
      <c r="G165" s="615">
        <f>IF('Data Export'!D165="","", 'Project Summary'!$C$6)</f>
        <v>0</v>
      </c>
      <c r="H165" s="635">
        <f>IF('Data Export'!$D165="","",'Door Gaskets'!J10)</f>
        <v>0</v>
      </c>
      <c r="I165" s="633">
        <f>IF('Data Export'!$D165="","",'Door Gaskets'!K10)</f>
        <v>0</v>
      </c>
      <c r="J165" s="630">
        <f>IF('Data Export'!$D165="","", 'Project Summary'!$J$1)</f>
        <v>5.01</v>
      </c>
      <c r="K165" s="630">
        <f>IF('Data Export'!$D165="","",'Door Gaskets'!D10)</f>
        <v>0</v>
      </c>
      <c r="L165" s="630">
        <f>IF('Data Export'!$D165="","",'Door Gaskets'!E10)</f>
        <v>0</v>
      </c>
      <c r="M165" s="614">
        <f>IF('Data Export'!$D165="","", 'Project Summary'!$C$13)</f>
        <v>0</v>
      </c>
      <c r="N165" s="614" t="str">
        <f>IF('Data Export'!$D165="","", "")</f>
        <v/>
      </c>
      <c r="O165" s="632">
        <f>IF('Data Export'!$D165="","", 'Door Gaskets'!I10)</f>
        <v>0</v>
      </c>
      <c r="P165" s="630">
        <f>IF('Data Export'!$D165="","",IF('Door Gaskets'!G10="Refrigeration","Refrigerator",'Door Gaskets'!G10))</f>
        <v>0</v>
      </c>
      <c r="Q165" s="614" t="str">
        <f>IF('Data Export'!$D165="","", "")</f>
        <v/>
      </c>
      <c r="R165" s="614" t="str">
        <f>IF('Data Export'!$D165="","", "")</f>
        <v/>
      </c>
      <c r="S165" s="614" t="str">
        <f>IF('Data Export'!$D165="","", "")</f>
        <v/>
      </c>
      <c r="T165" s="614" t="str">
        <f>IF('Data Export'!$D165="","", "")</f>
        <v/>
      </c>
      <c r="U165" s="614" t="str">
        <f>IF('Data Export'!$D165="","", "")</f>
        <v/>
      </c>
      <c r="V165" s="614" t="str">
        <f>IF('Data Export'!$D165="","", "")</f>
        <v/>
      </c>
      <c r="W165" s="614" t="str">
        <f>IF('Data Export'!$D165="","", "")</f>
        <v/>
      </c>
      <c r="X165" s="614" t="str">
        <f>IF('Data Export'!$D165="","", "")</f>
        <v/>
      </c>
      <c r="Y165" s="614" t="str">
        <f>IF('Data Export'!$D165="","", "")</f>
        <v/>
      </c>
      <c r="Z165" s="614" t="str">
        <f>IF('Data Export'!$D165="","", "")</f>
        <v/>
      </c>
      <c r="AA165" s="617"/>
      <c r="AB165" s="614" t="str">
        <f>IF('Data Export'!$D165="","", "")</f>
        <v/>
      </c>
      <c r="AC165" s="614" t="str">
        <f>IF('Data Export'!$D165="","", "")</f>
        <v/>
      </c>
      <c r="AD165" s="614" t="str">
        <f>IF('Data Export'!$D165="","", "")</f>
        <v/>
      </c>
      <c r="AE165" s="614" t="str">
        <f>IF('Data Export'!$D165="","", "")</f>
        <v/>
      </c>
      <c r="AF165" s="616">
        <f>IF('Data Export'!$D165="","", 'Door Gaskets'!H10)</f>
        <v>0</v>
      </c>
      <c r="AG165" s="614" t="str">
        <f>IF('Data Export'!$D165="","", "")</f>
        <v/>
      </c>
      <c r="AH165" s="614" t="str">
        <f>IF('Data Export'!$D165="","", "")</f>
        <v/>
      </c>
      <c r="AI165" s="614" t="str">
        <f>IF('Data Export'!$D165="","", "")</f>
        <v/>
      </c>
      <c r="AJ165" s="614" t="str">
        <f>IF('Data Export'!$D165="","", "")</f>
        <v/>
      </c>
      <c r="AK165" s="614" t="str">
        <f>IF('Data Export'!$D165="","", "")</f>
        <v/>
      </c>
      <c r="AL165" s="614"/>
      <c r="AM165" s="614">
        <f t="shared" si="0"/>
        <v>0</v>
      </c>
      <c r="AN165" s="614" t="s">
        <v>322</v>
      </c>
      <c r="AO165" s="636" t="str">
        <f>IF('Data Export'!$D165="","", IFERROR(ROUND($F165/$D165, 2), ""))</f>
        <v/>
      </c>
      <c r="AP165" s="641">
        <f>IF('Data Export'!$D165="","",'Project Summary'!$C$11)</f>
        <v>0</v>
      </c>
      <c r="AQ165" s="614"/>
      <c r="AR165" s="614"/>
    </row>
    <row r="166" spans="1:44" x14ac:dyDescent="0.2">
      <c r="A166" s="656" t="str">
        <f>'Door Gaskets'!$B$3</f>
        <v>Door Gaskets for Walk In and Reach In Coolers and Freezers</v>
      </c>
      <c r="B166" s="614"/>
      <c r="C166" s="614">
        <v>164</v>
      </c>
      <c r="D166" s="630">
        <f>IF('Door Gaskets'!M11&gt;0,'Door Gaskets'!I11,"")</f>
        <v>0</v>
      </c>
      <c r="E166" s="614" t="str">
        <f>IF($D166="","",IF(AND('Door Gaskets'!G11='Look Up Tables'!$D$4,'Door Gaskets'!H11='Look Up Tables'!$I$67),'Look Up Tables'!$AS$38,IF(AND('Door Gaskets'!G11='Look Up Tables'!$D$3,'Door Gaskets'!H11='Look Up Tables'!$I$68),'Look Up Tables'!$AS$39,IF(AND('Door Gaskets'!G11='Look Up Tables'!$D$4,'Door Gaskets'!H11='Look Up Tables'!$I$68),'Look Up Tables'!$AS$40,'Look Up Tables'!$AS$41))))</f>
        <v>DoorGasketWIFrz</v>
      </c>
      <c r="F166" s="636" t="str">
        <f>IF('Data Export'!$D166="","", 'Door Gaskets'!M11)</f>
        <v/>
      </c>
      <c r="G166" s="615">
        <f>IF('Data Export'!D166="","", 'Project Summary'!$C$6)</f>
        <v>0</v>
      </c>
      <c r="H166" s="635">
        <f>IF('Data Export'!$D166="","",'Door Gaskets'!J11)</f>
        <v>0</v>
      </c>
      <c r="I166" s="633">
        <f>IF('Data Export'!$D166="","",'Door Gaskets'!K11)</f>
        <v>0</v>
      </c>
      <c r="J166" s="630">
        <f>IF('Data Export'!$D166="","", 'Project Summary'!$J$1)</f>
        <v>5.01</v>
      </c>
      <c r="K166" s="630">
        <f>IF('Data Export'!$D166="","",'Door Gaskets'!D11)</f>
        <v>0</v>
      </c>
      <c r="L166" s="630">
        <f>IF('Data Export'!$D166="","",'Door Gaskets'!E11)</f>
        <v>0</v>
      </c>
      <c r="M166" s="614">
        <f>IF('Data Export'!$D166="","", 'Project Summary'!$C$13)</f>
        <v>0</v>
      </c>
      <c r="N166" s="614" t="str">
        <f>IF('Data Export'!$D166="","", "")</f>
        <v/>
      </c>
      <c r="O166" s="632">
        <f>IF('Data Export'!$D166="","", 'Door Gaskets'!I11)</f>
        <v>0</v>
      </c>
      <c r="P166" s="630">
        <f>IF('Data Export'!$D166="","",IF('Door Gaskets'!G11="Refrigeration","Refrigerator",'Door Gaskets'!G11))</f>
        <v>0</v>
      </c>
      <c r="Q166" s="614" t="str">
        <f>IF('Data Export'!$D166="","", "")</f>
        <v/>
      </c>
      <c r="R166" s="614" t="str">
        <f>IF('Data Export'!$D166="","", "")</f>
        <v/>
      </c>
      <c r="S166" s="614" t="str">
        <f>IF('Data Export'!$D166="","", "")</f>
        <v/>
      </c>
      <c r="T166" s="614" t="str">
        <f>IF('Data Export'!$D166="","", "")</f>
        <v/>
      </c>
      <c r="U166" s="614" t="str">
        <f>IF('Data Export'!$D166="","", "")</f>
        <v/>
      </c>
      <c r="V166" s="614" t="str">
        <f>IF('Data Export'!$D166="","", "")</f>
        <v/>
      </c>
      <c r="W166" s="614" t="str">
        <f>IF('Data Export'!$D166="","", "")</f>
        <v/>
      </c>
      <c r="X166" s="614" t="str">
        <f>IF('Data Export'!$D166="","", "")</f>
        <v/>
      </c>
      <c r="Y166" s="614" t="str">
        <f>IF('Data Export'!$D166="","", "")</f>
        <v/>
      </c>
      <c r="Z166" s="614" t="str">
        <f>IF('Data Export'!$D166="","", "")</f>
        <v/>
      </c>
      <c r="AA166" s="617"/>
      <c r="AB166" s="614" t="str">
        <f>IF('Data Export'!$D166="","", "")</f>
        <v/>
      </c>
      <c r="AC166" s="614" t="str">
        <f>IF('Data Export'!$D166="","", "")</f>
        <v/>
      </c>
      <c r="AD166" s="614" t="str">
        <f>IF('Data Export'!$D166="","", "")</f>
        <v/>
      </c>
      <c r="AE166" s="614" t="str">
        <f>IF('Data Export'!$D166="","", "")</f>
        <v/>
      </c>
      <c r="AF166" s="616">
        <f>IF('Data Export'!$D166="","", 'Door Gaskets'!H11)</f>
        <v>0</v>
      </c>
      <c r="AG166" s="614" t="str">
        <f>IF('Data Export'!$D166="","", "")</f>
        <v/>
      </c>
      <c r="AH166" s="614" t="str">
        <f>IF('Data Export'!$D166="","", "")</f>
        <v/>
      </c>
      <c r="AI166" s="614" t="str">
        <f>IF('Data Export'!$D166="","", "")</f>
        <v/>
      </c>
      <c r="AJ166" s="614" t="str">
        <f>IF('Data Export'!$D166="","", "")</f>
        <v/>
      </c>
      <c r="AK166" s="614" t="str">
        <f>IF('Data Export'!$D166="","", "")</f>
        <v/>
      </c>
      <c r="AL166" s="614"/>
      <c r="AM166" s="614">
        <f t="shared" si="0"/>
        <v>0</v>
      </c>
      <c r="AN166" s="614" t="s">
        <v>322</v>
      </c>
      <c r="AO166" s="636" t="str">
        <f>IF('Data Export'!$D166="","", IFERROR(ROUND($F166/$D166, 2), ""))</f>
        <v/>
      </c>
      <c r="AP166" s="641">
        <f>IF('Data Export'!$D166="","",'Project Summary'!$C$11)</f>
        <v>0</v>
      </c>
      <c r="AQ166" s="614"/>
      <c r="AR166" s="614"/>
    </row>
    <row r="167" spans="1:44" x14ac:dyDescent="0.2">
      <c r="A167" s="656" t="str">
        <f>'Door Gaskets'!$B$3</f>
        <v>Door Gaskets for Walk In and Reach In Coolers and Freezers</v>
      </c>
      <c r="B167" s="614"/>
      <c r="C167" s="614">
        <v>165</v>
      </c>
      <c r="D167" s="630">
        <f>IF('Door Gaskets'!M12&gt;0,'Door Gaskets'!I12,"")</f>
        <v>0</v>
      </c>
      <c r="E167" s="614" t="str">
        <f>IF($D167="","",IF(AND('Door Gaskets'!G12='Look Up Tables'!$D$4,'Door Gaskets'!H12='Look Up Tables'!$I$67),'Look Up Tables'!$AS$38,IF(AND('Door Gaskets'!G12='Look Up Tables'!$D$3,'Door Gaskets'!H12='Look Up Tables'!$I$68),'Look Up Tables'!$AS$39,IF(AND('Door Gaskets'!G12='Look Up Tables'!$D$4,'Door Gaskets'!H12='Look Up Tables'!$I$68),'Look Up Tables'!$AS$40,'Look Up Tables'!$AS$41))))</f>
        <v>DoorGasketWIFrz</v>
      </c>
      <c r="F167" s="636" t="str">
        <f>IF('Data Export'!$D167="","", 'Door Gaskets'!M12)</f>
        <v/>
      </c>
      <c r="G167" s="615">
        <f>IF('Data Export'!D167="","", 'Project Summary'!$C$6)</f>
        <v>0</v>
      </c>
      <c r="H167" s="635">
        <f>IF('Data Export'!$D167="","",'Door Gaskets'!J12)</f>
        <v>0</v>
      </c>
      <c r="I167" s="633">
        <f>IF('Data Export'!$D167="","",'Door Gaskets'!K12)</f>
        <v>0</v>
      </c>
      <c r="J167" s="630">
        <f>IF('Data Export'!$D167="","", 'Project Summary'!$J$1)</f>
        <v>5.01</v>
      </c>
      <c r="K167" s="630">
        <f>IF('Data Export'!$D167="","",'Door Gaskets'!D12)</f>
        <v>0</v>
      </c>
      <c r="L167" s="630">
        <f>IF('Data Export'!$D167="","",'Door Gaskets'!E12)</f>
        <v>0</v>
      </c>
      <c r="M167" s="614">
        <f>IF('Data Export'!$D167="","", 'Project Summary'!$C$13)</f>
        <v>0</v>
      </c>
      <c r="N167" s="614" t="str">
        <f>IF('Data Export'!$D167="","", "")</f>
        <v/>
      </c>
      <c r="O167" s="632">
        <f>IF('Data Export'!$D167="","", 'Door Gaskets'!I12)</f>
        <v>0</v>
      </c>
      <c r="P167" s="630">
        <f>IF('Data Export'!$D167="","",IF('Door Gaskets'!G12="Refrigeration","Refrigerator",'Door Gaskets'!G12))</f>
        <v>0</v>
      </c>
      <c r="Q167" s="614" t="str">
        <f>IF('Data Export'!$D167="","", "")</f>
        <v/>
      </c>
      <c r="R167" s="614" t="str">
        <f>IF('Data Export'!$D167="","", "")</f>
        <v/>
      </c>
      <c r="S167" s="614" t="str">
        <f>IF('Data Export'!$D167="","", "")</f>
        <v/>
      </c>
      <c r="T167" s="614" t="str">
        <f>IF('Data Export'!$D167="","", "")</f>
        <v/>
      </c>
      <c r="U167" s="614" t="str">
        <f>IF('Data Export'!$D167="","", "")</f>
        <v/>
      </c>
      <c r="V167" s="614" t="str">
        <f>IF('Data Export'!$D167="","", "")</f>
        <v/>
      </c>
      <c r="W167" s="614" t="str">
        <f>IF('Data Export'!$D167="","", "")</f>
        <v/>
      </c>
      <c r="X167" s="614" t="str">
        <f>IF('Data Export'!$D167="","", "")</f>
        <v/>
      </c>
      <c r="Y167" s="614" t="str">
        <f>IF('Data Export'!$D167="","", "")</f>
        <v/>
      </c>
      <c r="Z167" s="614" t="str">
        <f>IF('Data Export'!$D167="","", "")</f>
        <v/>
      </c>
      <c r="AA167" s="617"/>
      <c r="AB167" s="614" t="str">
        <f>IF('Data Export'!$D167="","", "")</f>
        <v/>
      </c>
      <c r="AC167" s="614" t="str">
        <f>IF('Data Export'!$D167="","", "")</f>
        <v/>
      </c>
      <c r="AD167" s="614" t="str">
        <f>IF('Data Export'!$D167="","", "")</f>
        <v/>
      </c>
      <c r="AE167" s="614" t="str">
        <f>IF('Data Export'!$D167="","", "")</f>
        <v/>
      </c>
      <c r="AF167" s="616">
        <f>IF('Data Export'!$D167="","", 'Door Gaskets'!H12)</f>
        <v>0</v>
      </c>
      <c r="AG167" s="614" t="str">
        <f>IF('Data Export'!$D167="","", "")</f>
        <v/>
      </c>
      <c r="AH167" s="614" t="str">
        <f>IF('Data Export'!$D167="","", "")</f>
        <v/>
      </c>
      <c r="AI167" s="614" t="str">
        <f>IF('Data Export'!$D167="","", "")</f>
        <v/>
      </c>
      <c r="AJ167" s="614" t="str">
        <f>IF('Data Export'!$D167="","", "")</f>
        <v/>
      </c>
      <c r="AK167" s="614" t="str">
        <f>IF('Data Export'!$D167="","", "")</f>
        <v/>
      </c>
      <c r="AL167" s="614"/>
      <c r="AM167" s="614">
        <f t="shared" si="0"/>
        <v>0</v>
      </c>
      <c r="AN167" s="614" t="s">
        <v>322</v>
      </c>
      <c r="AO167" s="636" t="str">
        <f>IF('Data Export'!$D167="","", IFERROR(ROUND($F167/$D167, 2), ""))</f>
        <v/>
      </c>
      <c r="AP167" s="641">
        <f>IF('Data Export'!$D167="","",'Project Summary'!$C$11)</f>
        <v>0</v>
      </c>
      <c r="AQ167" s="614"/>
      <c r="AR167" s="614"/>
    </row>
    <row r="168" spans="1:44" x14ac:dyDescent="0.2">
      <c r="A168" s="656" t="str">
        <f>'Door Gaskets'!$B$3</f>
        <v>Door Gaskets for Walk In and Reach In Coolers and Freezers</v>
      </c>
      <c r="B168" s="614"/>
      <c r="C168" s="614">
        <v>166</v>
      </c>
      <c r="D168" s="630">
        <f>IF('Door Gaskets'!M13&gt;0,'Door Gaskets'!I13,"")</f>
        <v>0</v>
      </c>
      <c r="E168" s="614" t="str">
        <f>IF($D168="","",IF(AND('Door Gaskets'!G13='Look Up Tables'!$D$4,'Door Gaskets'!H13='Look Up Tables'!$I$67),'Look Up Tables'!$AS$38,IF(AND('Door Gaskets'!G13='Look Up Tables'!$D$3,'Door Gaskets'!H13='Look Up Tables'!$I$68),'Look Up Tables'!$AS$39,IF(AND('Door Gaskets'!G13='Look Up Tables'!$D$4,'Door Gaskets'!H13='Look Up Tables'!$I$68),'Look Up Tables'!$AS$40,'Look Up Tables'!$AS$41))))</f>
        <v>DoorGasketWIFrz</v>
      </c>
      <c r="F168" s="636" t="str">
        <f>IF('Data Export'!$D168="","", 'Door Gaskets'!M13)</f>
        <v/>
      </c>
      <c r="G168" s="615">
        <f>IF('Data Export'!D168="","", 'Project Summary'!$C$6)</f>
        <v>0</v>
      </c>
      <c r="H168" s="635">
        <f>IF('Data Export'!$D168="","",'Door Gaskets'!J13)</f>
        <v>0</v>
      </c>
      <c r="I168" s="633">
        <f>IF('Data Export'!$D168="","",'Door Gaskets'!K13)</f>
        <v>0</v>
      </c>
      <c r="J168" s="630">
        <f>IF('Data Export'!$D168="","", 'Project Summary'!$J$1)</f>
        <v>5.01</v>
      </c>
      <c r="K168" s="630">
        <f>IF('Data Export'!$D168="","",'Door Gaskets'!D13)</f>
        <v>0</v>
      </c>
      <c r="L168" s="630">
        <f>IF('Data Export'!$D168="","",'Door Gaskets'!E13)</f>
        <v>0</v>
      </c>
      <c r="M168" s="614">
        <f>IF('Data Export'!$D168="","", 'Project Summary'!$C$13)</f>
        <v>0</v>
      </c>
      <c r="N168" s="614" t="str">
        <f>IF('Data Export'!$D168="","", "")</f>
        <v/>
      </c>
      <c r="O168" s="632">
        <f>IF('Data Export'!$D168="","", 'Door Gaskets'!I13)</f>
        <v>0</v>
      </c>
      <c r="P168" s="630">
        <f>IF('Data Export'!$D168="","",IF('Door Gaskets'!G13="Refrigeration","Refrigerator",'Door Gaskets'!G13))</f>
        <v>0</v>
      </c>
      <c r="Q168" s="614" t="str">
        <f>IF('Data Export'!$D168="","", "")</f>
        <v/>
      </c>
      <c r="R168" s="614" t="str">
        <f>IF('Data Export'!$D168="","", "")</f>
        <v/>
      </c>
      <c r="S168" s="614" t="str">
        <f>IF('Data Export'!$D168="","", "")</f>
        <v/>
      </c>
      <c r="T168" s="614" t="str">
        <f>IF('Data Export'!$D168="","", "")</f>
        <v/>
      </c>
      <c r="U168" s="614" t="str">
        <f>IF('Data Export'!$D168="","", "")</f>
        <v/>
      </c>
      <c r="V168" s="614" t="str">
        <f>IF('Data Export'!$D168="","", "")</f>
        <v/>
      </c>
      <c r="W168" s="614" t="str">
        <f>IF('Data Export'!$D168="","", "")</f>
        <v/>
      </c>
      <c r="X168" s="614" t="str">
        <f>IF('Data Export'!$D168="","", "")</f>
        <v/>
      </c>
      <c r="Y168" s="614" t="str">
        <f>IF('Data Export'!$D168="","", "")</f>
        <v/>
      </c>
      <c r="Z168" s="614" t="str">
        <f>IF('Data Export'!$D168="","", "")</f>
        <v/>
      </c>
      <c r="AA168" s="617"/>
      <c r="AB168" s="614" t="str">
        <f>IF('Data Export'!$D168="","", "")</f>
        <v/>
      </c>
      <c r="AC168" s="614" t="str">
        <f>IF('Data Export'!$D168="","", "")</f>
        <v/>
      </c>
      <c r="AD168" s="614" t="str">
        <f>IF('Data Export'!$D168="","", "")</f>
        <v/>
      </c>
      <c r="AE168" s="614" t="str">
        <f>IF('Data Export'!$D168="","", "")</f>
        <v/>
      </c>
      <c r="AF168" s="616">
        <f>IF('Data Export'!$D168="","", 'Door Gaskets'!H13)</f>
        <v>0</v>
      </c>
      <c r="AG168" s="614" t="str">
        <f>IF('Data Export'!$D168="","", "")</f>
        <v/>
      </c>
      <c r="AH168" s="614" t="str">
        <f>IF('Data Export'!$D168="","", "")</f>
        <v/>
      </c>
      <c r="AI168" s="614" t="str">
        <f>IF('Data Export'!$D168="","", "")</f>
        <v/>
      </c>
      <c r="AJ168" s="614" t="str">
        <f>IF('Data Export'!$D168="","", "")</f>
        <v/>
      </c>
      <c r="AK168" s="614" t="str">
        <f>IF('Data Export'!$D168="","", "")</f>
        <v/>
      </c>
      <c r="AL168" s="614"/>
      <c r="AM168" s="614">
        <f t="shared" si="0"/>
        <v>0</v>
      </c>
      <c r="AN168" s="614" t="s">
        <v>322</v>
      </c>
      <c r="AO168" s="636" t="str">
        <f>IF('Data Export'!$D168="","", IFERROR(ROUND($F168/$D168, 2), ""))</f>
        <v/>
      </c>
      <c r="AP168" s="641">
        <f>IF('Data Export'!$D168="","",'Project Summary'!$C$11)</f>
        <v>0</v>
      </c>
      <c r="AQ168" s="614"/>
      <c r="AR168" s="614"/>
    </row>
    <row r="169" spans="1:44" x14ac:dyDescent="0.2">
      <c r="A169" s="656" t="str">
        <f>'Door Gaskets'!$B$3</f>
        <v>Door Gaskets for Walk In and Reach In Coolers and Freezers</v>
      </c>
      <c r="B169" s="614"/>
      <c r="C169" s="614">
        <v>167</v>
      </c>
      <c r="D169" s="630">
        <f>IF('Door Gaskets'!M14&gt;0,'Door Gaskets'!I14,"")</f>
        <v>0</v>
      </c>
      <c r="E169" s="614" t="str">
        <f>IF($D169="","",IF(AND('Door Gaskets'!G14='Look Up Tables'!$D$4,'Door Gaskets'!H14='Look Up Tables'!$I$67),'Look Up Tables'!$AS$38,IF(AND('Door Gaskets'!G14='Look Up Tables'!$D$3,'Door Gaskets'!H14='Look Up Tables'!$I$68),'Look Up Tables'!$AS$39,IF(AND('Door Gaskets'!G14='Look Up Tables'!$D$4,'Door Gaskets'!H14='Look Up Tables'!$I$68),'Look Up Tables'!$AS$40,'Look Up Tables'!$AS$41))))</f>
        <v>DoorGasketWIFrz</v>
      </c>
      <c r="F169" s="636" t="str">
        <f>IF('Data Export'!$D169="","", 'Door Gaskets'!M14)</f>
        <v/>
      </c>
      <c r="G169" s="615">
        <f>IF('Data Export'!D169="","", 'Project Summary'!$C$6)</f>
        <v>0</v>
      </c>
      <c r="H169" s="635">
        <f>IF('Data Export'!$D169="","",'Door Gaskets'!J14)</f>
        <v>0</v>
      </c>
      <c r="I169" s="633">
        <f>IF('Data Export'!$D169="","",'Door Gaskets'!K14)</f>
        <v>0</v>
      </c>
      <c r="J169" s="630">
        <f>IF('Data Export'!$D169="","", 'Project Summary'!$J$1)</f>
        <v>5.01</v>
      </c>
      <c r="K169" s="630">
        <f>IF('Data Export'!$D169="","",'Door Gaskets'!D14)</f>
        <v>0</v>
      </c>
      <c r="L169" s="630">
        <f>IF('Data Export'!$D169="","",'Door Gaskets'!E14)</f>
        <v>0</v>
      </c>
      <c r="M169" s="614">
        <f>IF('Data Export'!$D169="","", 'Project Summary'!$C$13)</f>
        <v>0</v>
      </c>
      <c r="N169" s="614" t="str">
        <f>IF('Data Export'!$D169="","", "")</f>
        <v/>
      </c>
      <c r="O169" s="632">
        <f>IF('Data Export'!$D169="","", 'Door Gaskets'!I14)</f>
        <v>0</v>
      </c>
      <c r="P169" s="630">
        <f>IF('Data Export'!$D169="","",IF('Door Gaskets'!G14="Refrigeration","Refrigerator",'Door Gaskets'!G14))</f>
        <v>0</v>
      </c>
      <c r="Q169" s="614" t="str">
        <f>IF('Data Export'!$D169="","", "")</f>
        <v/>
      </c>
      <c r="R169" s="614" t="str">
        <f>IF('Data Export'!$D169="","", "")</f>
        <v/>
      </c>
      <c r="S169" s="614" t="str">
        <f>IF('Data Export'!$D169="","", "")</f>
        <v/>
      </c>
      <c r="T169" s="614" t="str">
        <f>IF('Data Export'!$D169="","", "")</f>
        <v/>
      </c>
      <c r="U169" s="614" t="str">
        <f>IF('Data Export'!$D169="","", "")</f>
        <v/>
      </c>
      <c r="V169" s="614" t="str">
        <f>IF('Data Export'!$D169="","", "")</f>
        <v/>
      </c>
      <c r="W169" s="614" t="str">
        <f>IF('Data Export'!$D169="","", "")</f>
        <v/>
      </c>
      <c r="X169" s="614" t="str">
        <f>IF('Data Export'!$D169="","", "")</f>
        <v/>
      </c>
      <c r="Y169" s="614" t="str">
        <f>IF('Data Export'!$D169="","", "")</f>
        <v/>
      </c>
      <c r="Z169" s="614" t="str">
        <f>IF('Data Export'!$D169="","", "")</f>
        <v/>
      </c>
      <c r="AA169" s="617"/>
      <c r="AB169" s="614" t="str">
        <f>IF('Data Export'!$D169="","", "")</f>
        <v/>
      </c>
      <c r="AC169" s="614" t="str">
        <f>IF('Data Export'!$D169="","", "")</f>
        <v/>
      </c>
      <c r="AD169" s="614" t="str">
        <f>IF('Data Export'!$D169="","", "")</f>
        <v/>
      </c>
      <c r="AE169" s="614" t="str">
        <f>IF('Data Export'!$D169="","", "")</f>
        <v/>
      </c>
      <c r="AF169" s="616">
        <f>IF('Data Export'!$D169="","", 'Door Gaskets'!H14)</f>
        <v>0</v>
      </c>
      <c r="AG169" s="614" t="str">
        <f>IF('Data Export'!$D169="","", "")</f>
        <v/>
      </c>
      <c r="AH169" s="614" t="str">
        <f>IF('Data Export'!$D169="","", "")</f>
        <v/>
      </c>
      <c r="AI169" s="614" t="str">
        <f>IF('Data Export'!$D169="","", "")</f>
        <v/>
      </c>
      <c r="AJ169" s="614" t="str">
        <f>IF('Data Export'!$D169="","", "")</f>
        <v/>
      </c>
      <c r="AK169" s="614" t="str">
        <f>IF('Data Export'!$D169="","", "")</f>
        <v/>
      </c>
      <c r="AL169" s="614"/>
      <c r="AM169" s="614">
        <f t="shared" si="0"/>
        <v>0</v>
      </c>
      <c r="AN169" s="614" t="s">
        <v>322</v>
      </c>
      <c r="AO169" s="636" t="str">
        <f>IF('Data Export'!$D169="","", IFERROR(ROUND($F169/$D169, 2), ""))</f>
        <v/>
      </c>
      <c r="AP169" s="641">
        <f>IF('Data Export'!$D169="","",'Project Summary'!$C$11)</f>
        <v>0</v>
      </c>
      <c r="AQ169" s="614"/>
      <c r="AR169" s="614"/>
    </row>
    <row r="170" spans="1:44" x14ac:dyDescent="0.2">
      <c r="A170" s="656" t="str">
        <f>'Door Gaskets'!$B$3</f>
        <v>Door Gaskets for Walk In and Reach In Coolers and Freezers</v>
      </c>
      <c r="B170" s="614"/>
      <c r="C170" s="614">
        <v>168</v>
      </c>
      <c r="D170" s="630">
        <f>IF('Door Gaskets'!M15&gt;0,'Door Gaskets'!I15,"")</f>
        <v>0</v>
      </c>
      <c r="E170" s="614" t="str">
        <f>IF($D170="","",IF(AND('Door Gaskets'!G15='Look Up Tables'!$D$4,'Door Gaskets'!H15='Look Up Tables'!$I$67),'Look Up Tables'!$AS$38,IF(AND('Door Gaskets'!G15='Look Up Tables'!$D$3,'Door Gaskets'!H15='Look Up Tables'!$I$68),'Look Up Tables'!$AS$39,IF(AND('Door Gaskets'!G15='Look Up Tables'!$D$4,'Door Gaskets'!H15='Look Up Tables'!$I$68),'Look Up Tables'!$AS$40,'Look Up Tables'!$AS$41))))</f>
        <v>DoorGasketWIFrz</v>
      </c>
      <c r="F170" s="636" t="str">
        <f>IF('Data Export'!$D170="","", 'Door Gaskets'!M15)</f>
        <v/>
      </c>
      <c r="G170" s="615">
        <f>IF('Data Export'!D170="","", 'Project Summary'!$C$6)</f>
        <v>0</v>
      </c>
      <c r="H170" s="635">
        <f>IF('Data Export'!$D170="","",'Door Gaskets'!J15)</f>
        <v>0</v>
      </c>
      <c r="I170" s="633">
        <f>IF('Data Export'!$D170="","",'Door Gaskets'!K15)</f>
        <v>0</v>
      </c>
      <c r="J170" s="630">
        <f>IF('Data Export'!$D170="","", 'Project Summary'!$J$1)</f>
        <v>5.01</v>
      </c>
      <c r="K170" s="630">
        <f>IF('Data Export'!$D170="","",'Door Gaskets'!D15)</f>
        <v>0</v>
      </c>
      <c r="L170" s="630">
        <f>IF('Data Export'!$D170="","",'Door Gaskets'!E15)</f>
        <v>0</v>
      </c>
      <c r="M170" s="614">
        <f>IF('Data Export'!$D170="","", 'Project Summary'!$C$13)</f>
        <v>0</v>
      </c>
      <c r="N170" s="614" t="str">
        <f>IF('Data Export'!$D170="","", "")</f>
        <v/>
      </c>
      <c r="O170" s="632">
        <f>IF('Data Export'!$D170="","", 'Door Gaskets'!I15)</f>
        <v>0</v>
      </c>
      <c r="P170" s="630">
        <f>IF('Data Export'!$D170="","",IF('Door Gaskets'!G15="Refrigeration","Refrigerator",'Door Gaskets'!G15))</f>
        <v>0</v>
      </c>
      <c r="Q170" s="614" t="str">
        <f>IF('Data Export'!$D170="","", "")</f>
        <v/>
      </c>
      <c r="R170" s="614" t="str">
        <f>IF('Data Export'!$D170="","", "")</f>
        <v/>
      </c>
      <c r="S170" s="614" t="str">
        <f>IF('Data Export'!$D170="","", "")</f>
        <v/>
      </c>
      <c r="T170" s="614" t="str">
        <f>IF('Data Export'!$D170="","", "")</f>
        <v/>
      </c>
      <c r="U170" s="614" t="str">
        <f>IF('Data Export'!$D170="","", "")</f>
        <v/>
      </c>
      <c r="V170" s="614" t="str">
        <f>IF('Data Export'!$D170="","", "")</f>
        <v/>
      </c>
      <c r="W170" s="614" t="str">
        <f>IF('Data Export'!$D170="","", "")</f>
        <v/>
      </c>
      <c r="X170" s="614" t="str">
        <f>IF('Data Export'!$D170="","", "")</f>
        <v/>
      </c>
      <c r="Y170" s="614" t="str">
        <f>IF('Data Export'!$D170="","", "")</f>
        <v/>
      </c>
      <c r="Z170" s="614" t="str">
        <f>IF('Data Export'!$D170="","", "")</f>
        <v/>
      </c>
      <c r="AA170" s="617"/>
      <c r="AB170" s="614" t="str">
        <f>IF('Data Export'!$D170="","", "")</f>
        <v/>
      </c>
      <c r="AC170" s="614" t="str">
        <f>IF('Data Export'!$D170="","", "")</f>
        <v/>
      </c>
      <c r="AD170" s="614" t="str">
        <f>IF('Data Export'!$D170="","", "")</f>
        <v/>
      </c>
      <c r="AE170" s="614" t="str">
        <f>IF('Data Export'!$D170="","", "")</f>
        <v/>
      </c>
      <c r="AF170" s="616">
        <f>IF('Data Export'!$D170="","", 'Door Gaskets'!H15)</f>
        <v>0</v>
      </c>
      <c r="AG170" s="614" t="str">
        <f>IF('Data Export'!$D170="","", "")</f>
        <v/>
      </c>
      <c r="AH170" s="614" t="str">
        <f>IF('Data Export'!$D170="","", "")</f>
        <v/>
      </c>
      <c r="AI170" s="614" t="str">
        <f>IF('Data Export'!$D170="","", "")</f>
        <v/>
      </c>
      <c r="AJ170" s="614" t="str">
        <f>IF('Data Export'!$D170="","", "")</f>
        <v/>
      </c>
      <c r="AK170" s="614" t="str">
        <f>IF('Data Export'!$D170="","", "")</f>
        <v/>
      </c>
      <c r="AL170" s="614"/>
      <c r="AM170" s="614">
        <f t="shared" si="0"/>
        <v>0</v>
      </c>
      <c r="AN170" s="614" t="s">
        <v>322</v>
      </c>
      <c r="AO170" s="636" t="str">
        <f>IF('Data Export'!$D170="","", IFERROR(ROUND($F170/$D170, 2), ""))</f>
        <v/>
      </c>
      <c r="AP170" s="641">
        <f>IF('Data Export'!$D170="","",'Project Summary'!$C$11)</f>
        <v>0</v>
      </c>
      <c r="AQ170" s="614"/>
      <c r="AR170" s="614"/>
    </row>
    <row r="171" spans="1:44" x14ac:dyDescent="0.2">
      <c r="A171" s="656" t="str">
        <f>'Door Gaskets'!$B$3</f>
        <v>Door Gaskets for Walk In and Reach In Coolers and Freezers</v>
      </c>
      <c r="B171" s="614"/>
      <c r="C171" s="614">
        <v>169</v>
      </c>
      <c r="D171" s="630">
        <f>IF('Door Gaskets'!M16&gt;0,'Door Gaskets'!I16,"")</f>
        <v>0</v>
      </c>
      <c r="E171" s="614" t="str">
        <f>IF($D171="","",IF(AND('Door Gaskets'!G16='Look Up Tables'!$D$4,'Door Gaskets'!H16='Look Up Tables'!$I$67),'Look Up Tables'!$AS$38,IF(AND('Door Gaskets'!G16='Look Up Tables'!$D$3,'Door Gaskets'!H16='Look Up Tables'!$I$68),'Look Up Tables'!$AS$39,IF(AND('Door Gaskets'!G16='Look Up Tables'!$D$4,'Door Gaskets'!H16='Look Up Tables'!$I$68),'Look Up Tables'!$AS$40,'Look Up Tables'!$AS$41))))</f>
        <v>DoorGasketWIFrz</v>
      </c>
      <c r="F171" s="636" t="str">
        <f>IF('Data Export'!$D171="","", 'Door Gaskets'!M16)</f>
        <v/>
      </c>
      <c r="G171" s="615">
        <f>IF('Data Export'!D171="","", 'Project Summary'!$C$6)</f>
        <v>0</v>
      </c>
      <c r="H171" s="635">
        <f>IF('Data Export'!$D171="","",'Door Gaskets'!J16)</f>
        <v>0</v>
      </c>
      <c r="I171" s="633">
        <f>IF('Data Export'!$D171="","",'Door Gaskets'!K16)</f>
        <v>0</v>
      </c>
      <c r="J171" s="630">
        <f>IF('Data Export'!$D171="","", 'Project Summary'!$J$1)</f>
        <v>5.01</v>
      </c>
      <c r="K171" s="630">
        <f>IF('Data Export'!$D171="","",'Door Gaskets'!D16)</f>
        <v>0</v>
      </c>
      <c r="L171" s="630">
        <f>IF('Data Export'!$D171="","",'Door Gaskets'!E16)</f>
        <v>0</v>
      </c>
      <c r="M171" s="614">
        <f>IF('Data Export'!$D171="","", 'Project Summary'!$C$13)</f>
        <v>0</v>
      </c>
      <c r="N171" s="614" t="str">
        <f>IF('Data Export'!$D171="","", "")</f>
        <v/>
      </c>
      <c r="O171" s="632">
        <f>IF('Data Export'!$D171="","", 'Door Gaskets'!I16)</f>
        <v>0</v>
      </c>
      <c r="P171" s="630">
        <f>IF('Data Export'!$D171="","",IF('Door Gaskets'!G16="Refrigeration","Refrigerator",'Door Gaskets'!G16))</f>
        <v>0</v>
      </c>
      <c r="Q171" s="614" t="str">
        <f>IF('Data Export'!$D171="","", "")</f>
        <v/>
      </c>
      <c r="R171" s="614" t="str">
        <f>IF('Data Export'!$D171="","", "")</f>
        <v/>
      </c>
      <c r="S171" s="614" t="str">
        <f>IF('Data Export'!$D171="","", "")</f>
        <v/>
      </c>
      <c r="T171" s="614" t="str">
        <f>IF('Data Export'!$D171="","", "")</f>
        <v/>
      </c>
      <c r="U171" s="614" t="str">
        <f>IF('Data Export'!$D171="","", "")</f>
        <v/>
      </c>
      <c r="V171" s="614" t="str">
        <f>IF('Data Export'!$D171="","", "")</f>
        <v/>
      </c>
      <c r="W171" s="614" t="str">
        <f>IF('Data Export'!$D171="","", "")</f>
        <v/>
      </c>
      <c r="X171" s="614" t="str">
        <f>IF('Data Export'!$D171="","", "")</f>
        <v/>
      </c>
      <c r="Y171" s="614" t="str">
        <f>IF('Data Export'!$D171="","", "")</f>
        <v/>
      </c>
      <c r="Z171" s="614" t="str">
        <f>IF('Data Export'!$D171="","", "")</f>
        <v/>
      </c>
      <c r="AA171" s="617"/>
      <c r="AB171" s="614" t="str">
        <f>IF('Data Export'!$D171="","", "")</f>
        <v/>
      </c>
      <c r="AC171" s="614" t="str">
        <f>IF('Data Export'!$D171="","", "")</f>
        <v/>
      </c>
      <c r="AD171" s="614" t="str">
        <f>IF('Data Export'!$D171="","", "")</f>
        <v/>
      </c>
      <c r="AE171" s="614" t="str">
        <f>IF('Data Export'!$D171="","", "")</f>
        <v/>
      </c>
      <c r="AF171" s="616">
        <f>IF('Data Export'!$D171="","", 'Door Gaskets'!H16)</f>
        <v>0</v>
      </c>
      <c r="AG171" s="614" t="str">
        <f>IF('Data Export'!$D171="","", "")</f>
        <v/>
      </c>
      <c r="AH171" s="614" t="str">
        <f>IF('Data Export'!$D171="","", "")</f>
        <v/>
      </c>
      <c r="AI171" s="614" t="str">
        <f>IF('Data Export'!$D171="","", "")</f>
        <v/>
      </c>
      <c r="AJ171" s="614" t="str">
        <f>IF('Data Export'!$D171="","", "")</f>
        <v/>
      </c>
      <c r="AK171" s="614" t="str">
        <f>IF('Data Export'!$D171="","", "")</f>
        <v/>
      </c>
      <c r="AL171" s="614"/>
      <c r="AM171" s="614">
        <f t="shared" si="0"/>
        <v>0</v>
      </c>
      <c r="AN171" s="614" t="s">
        <v>322</v>
      </c>
      <c r="AO171" s="636" t="str">
        <f>IF('Data Export'!$D171="","", IFERROR(ROUND($F171/$D171, 2), ""))</f>
        <v/>
      </c>
      <c r="AP171" s="641">
        <f>IF('Data Export'!$D171="","",'Project Summary'!$C$11)</f>
        <v>0</v>
      </c>
      <c r="AQ171" s="614"/>
      <c r="AR171" s="614"/>
    </row>
    <row r="172" spans="1:44" ht="15" thickBot="1" x14ac:dyDescent="0.25">
      <c r="A172" s="657" t="str">
        <f>'Door Gaskets'!$B$3</f>
        <v>Door Gaskets for Walk In and Reach In Coolers and Freezers</v>
      </c>
      <c r="B172" s="626"/>
      <c r="C172" s="626">
        <v>170</v>
      </c>
      <c r="D172" s="631">
        <f>IF('Door Gaskets'!M17&gt;0,'Door Gaskets'!I17,"")</f>
        <v>0</v>
      </c>
      <c r="E172" s="626" t="str">
        <f>IF($D172="","",IF(AND('Door Gaskets'!G17='Look Up Tables'!$D$4,'Door Gaskets'!H17='Look Up Tables'!$I$67),'Look Up Tables'!$AS$38,IF(AND('Door Gaskets'!G17='Look Up Tables'!$D$3,'Door Gaskets'!H17='Look Up Tables'!$I$68),'Look Up Tables'!$AS$39,IF(AND('Door Gaskets'!G17='Look Up Tables'!$D$4,'Door Gaskets'!H17='Look Up Tables'!$I$68),'Look Up Tables'!$AS$40,'Look Up Tables'!$AS$41))))</f>
        <v>DoorGasketWIFrz</v>
      </c>
      <c r="F172" s="638" t="str">
        <f>IF('Data Export'!$D172="","", 'Door Gaskets'!M17)</f>
        <v/>
      </c>
      <c r="G172" s="627">
        <f>IF('Data Export'!D172="","", 'Project Summary'!$C$6)</f>
        <v>0</v>
      </c>
      <c r="H172" s="639">
        <f>IF('Data Export'!$D172="","",'Door Gaskets'!J17)</f>
        <v>0</v>
      </c>
      <c r="I172" s="634">
        <f>IF('Data Export'!$D172="","",'Door Gaskets'!K17)</f>
        <v>0</v>
      </c>
      <c r="J172" s="631">
        <f>IF('Data Export'!$D172="","", 'Project Summary'!$J$1)</f>
        <v>5.01</v>
      </c>
      <c r="K172" s="631">
        <f>IF('Data Export'!$D172="","",'Door Gaskets'!D17)</f>
        <v>0</v>
      </c>
      <c r="L172" s="631">
        <f>IF('Data Export'!$D172="","",'Door Gaskets'!E17)</f>
        <v>0</v>
      </c>
      <c r="M172" s="626">
        <f>IF('Data Export'!$D172="","", 'Project Summary'!$C$13)</f>
        <v>0</v>
      </c>
      <c r="N172" s="626" t="str">
        <f>IF('Data Export'!$D172="","", "")</f>
        <v/>
      </c>
      <c r="O172" s="646">
        <f>IF('Data Export'!$D172="","", 'Door Gaskets'!I17)</f>
        <v>0</v>
      </c>
      <c r="P172" s="631">
        <f>IF('Data Export'!$D172="","",IF('Door Gaskets'!G17="Refrigeration","Refrigerator",'Door Gaskets'!G17))</f>
        <v>0</v>
      </c>
      <c r="Q172" s="626" t="str">
        <f>IF('Data Export'!$D172="","", "")</f>
        <v/>
      </c>
      <c r="R172" s="626" t="str">
        <f>IF('Data Export'!$D172="","", "")</f>
        <v/>
      </c>
      <c r="S172" s="626" t="str">
        <f>IF('Data Export'!$D172="","", "")</f>
        <v/>
      </c>
      <c r="T172" s="626" t="str">
        <f>IF('Data Export'!$D172="","", "")</f>
        <v/>
      </c>
      <c r="U172" s="626" t="str">
        <f>IF('Data Export'!$D172="","", "")</f>
        <v/>
      </c>
      <c r="V172" s="626" t="str">
        <f>IF('Data Export'!$D172="","", "")</f>
        <v/>
      </c>
      <c r="W172" s="626" t="str">
        <f>IF('Data Export'!$D172="","", "")</f>
        <v/>
      </c>
      <c r="X172" s="626" t="str">
        <f>IF('Data Export'!$D172="","", "")</f>
        <v/>
      </c>
      <c r="Y172" s="626" t="str">
        <f>IF('Data Export'!$D172="","", "")</f>
        <v/>
      </c>
      <c r="Z172" s="626" t="str">
        <f>IF('Data Export'!$D172="","", "")</f>
        <v/>
      </c>
      <c r="AA172" s="629"/>
      <c r="AB172" s="626" t="str">
        <f>IF('Data Export'!$D172="","", "")</f>
        <v/>
      </c>
      <c r="AC172" s="626" t="str">
        <f>IF('Data Export'!$D172="","", "")</f>
        <v/>
      </c>
      <c r="AD172" s="626" t="str">
        <f>IF('Data Export'!$D172="","", "")</f>
        <v/>
      </c>
      <c r="AE172" s="626" t="str">
        <f>IF('Data Export'!$D172="","", "")</f>
        <v/>
      </c>
      <c r="AF172" s="628">
        <f>IF('Data Export'!$D172="","", 'Door Gaskets'!H17)</f>
        <v>0</v>
      </c>
      <c r="AG172" s="626" t="str">
        <f>IF('Data Export'!$D172="","", "")</f>
        <v/>
      </c>
      <c r="AH172" s="626" t="str">
        <f>IF('Data Export'!$D172="","", "")</f>
        <v/>
      </c>
      <c r="AI172" s="626" t="str">
        <f>IF('Data Export'!$D172="","", "")</f>
        <v/>
      </c>
      <c r="AJ172" s="626" t="str">
        <f>IF('Data Export'!$D172="","", "")</f>
        <v/>
      </c>
      <c r="AK172" s="626" t="str">
        <f>IF('Data Export'!$D172="","", "")</f>
        <v/>
      </c>
      <c r="AL172" s="626"/>
      <c r="AM172" s="626">
        <f t="shared" si="0"/>
        <v>0</v>
      </c>
      <c r="AN172" s="626" t="s">
        <v>322</v>
      </c>
      <c r="AO172" s="638" t="str">
        <f>IF('Data Export'!$D172="","", IFERROR(ROUND($F172/$D172, 2), ""))</f>
        <v/>
      </c>
      <c r="AP172" s="642">
        <f>IF('Data Export'!$D172="","",'Project Summary'!$C$11)</f>
        <v>0</v>
      </c>
      <c r="AQ172" s="626"/>
      <c r="AR172" s="626"/>
    </row>
    <row r="173" spans="1:44" ht="15" thickTop="1" x14ac:dyDescent="0.2"/>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tabColor theme="0" tint="-0.14999847407452621"/>
  </sheetPr>
  <dimension ref="A2:N26"/>
  <sheetViews>
    <sheetView zoomScale="85" zoomScaleNormal="85" workbookViewId="0">
      <selection activeCell="E22" sqref="E22"/>
    </sheetView>
  </sheetViews>
  <sheetFormatPr defaultColWidth="8.625" defaultRowHeight="14.25" x14ac:dyDescent="0.2"/>
  <cols>
    <col min="1" max="1" width="3.625" style="8" customWidth="1"/>
    <col min="2" max="2" width="8.625" style="8" customWidth="1"/>
    <col min="3" max="3" width="14.125" style="8" customWidth="1"/>
    <col min="4" max="4" width="19.125" style="8" customWidth="1"/>
    <col min="5" max="5" width="52.625" style="9" customWidth="1"/>
    <col min="6" max="6" width="26.625" style="8" customWidth="1"/>
    <col min="7" max="7" width="8.625" style="1"/>
    <col min="8" max="8" width="14.125" style="1" bestFit="1" customWidth="1"/>
    <col min="9" max="9" width="9.625" style="1" bestFit="1" customWidth="1"/>
    <col min="10" max="16384" width="8.625" style="1"/>
  </cols>
  <sheetData>
    <row r="2" spans="1:14" ht="20.25" x14ac:dyDescent="0.2">
      <c r="B2" s="831" t="s">
        <v>123</v>
      </c>
      <c r="C2" s="831"/>
      <c r="D2" s="831"/>
      <c r="E2" s="831"/>
      <c r="F2" s="831"/>
    </row>
    <row r="4" spans="1:14" ht="15" x14ac:dyDescent="0.2">
      <c r="B4" s="25" t="s">
        <v>323</v>
      </c>
      <c r="D4" s="26" t="s">
        <v>324</v>
      </c>
      <c r="E4" s="27" t="s">
        <v>325</v>
      </c>
      <c r="F4" s="26" t="s">
        <v>326</v>
      </c>
      <c r="H4" s="1" t="s">
        <v>327</v>
      </c>
      <c r="I4" s="1" cm="1">
        <f t="array" ref="I4">LOOKUP(2,1/(B:B&lt;&gt;""),B:B)</f>
        <v>5.01</v>
      </c>
    </row>
    <row r="5" spans="1:14" ht="15" x14ac:dyDescent="0.2">
      <c r="B5" s="25" t="s">
        <v>328</v>
      </c>
      <c r="D5" s="28" t="s">
        <v>324</v>
      </c>
      <c r="E5" s="29" t="s">
        <v>329</v>
      </c>
      <c r="F5" s="28"/>
      <c r="H5" s="1" t="s">
        <v>330</v>
      </c>
      <c r="I5" s="306" cm="1">
        <f t="array" ref="I5">LOOKUP(2,1/(C:C&lt;&gt;""),C:C)</f>
        <v>46209</v>
      </c>
    </row>
    <row r="6" spans="1:14" ht="25.5" customHeight="1" x14ac:dyDescent="0.2"/>
    <row r="7" spans="1:14" s="11" customFormat="1" ht="15" x14ac:dyDescent="0.25">
      <c r="A7" s="10"/>
      <c r="B7" s="12" t="s">
        <v>208</v>
      </c>
      <c r="C7" s="13" t="s">
        <v>126</v>
      </c>
      <c r="D7" s="13" t="s">
        <v>331</v>
      </c>
      <c r="E7" s="14" t="s">
        <v>332</v>
      </c>
      <c r="F7" s="15" t="s">
        <v>333</v>
      </c>
    </row>
    <row r="8" spans="1:14" ht="28.5" customHeight="1" x14ac:dyDescent="0.2">
      <c r="B8" s="725">
        <v>0.1</v>
      </c>
      <c r="C8" s="16">
        <v>42478</v>
      </c>
      <c r="D8" s="16" t="s">
        <v>334</v>
      </c>
      <c r="E8" s="17" t="s">
        <v>335</v>
      </c>
      <c r="F8" s="18" t="s">
        <v>336</v>
      </c>
    </row>
    <row r="9" spans="1:14" ht="36" customHeight="1" x14ac:dyDescent="0.2">
      <c r="B9" s="725">
        <v>1</v>
      </c>
      <c r="C9" s="16">
        <v>42521</v>
      </c>
      <c r="D9" s="19" t="s">
        <v>337</v>
      </c>
      <c r="E9" s="17" t="s">
        <v>338</v>
      </c>
      <c r="F9" s="18" t="s">
        <v>326</v>
      </c>
    </row>
    <row r="10" spans="1:14" ht="28.5" customHeight="1" x14ac:dyDescent="0.25">
      <c r="B10" s="725">
        <v>1.1000000000000001</v>
      </c>
      <c r="C10" s="16">
        <v>42524</v>
      </c>
      <c r="D10" s="19" t="s">
        <v>339</v>
      </c>
      <c r="E10" s="17" t="s">
        <v>340</v>
      </c>
      <c r="F10" s="18" t="s">
        <v>326</v>
      </c>
      <c r="H10" s="11" t="s">
        <v>341</v>
      </c>
    </row>
    <row r="11" spans="1:14" ht="28.5" customHeight="1" x14ac:dyDescent="0.2">
      <c r="B11" s="725">
        <v>2</v>
      </c>
      <c r="C11" s="16">
        <v>42822</v>
      </c>
      <c r="D11" s="19" t="s">
        <v>342</v>
      </c>
      <c r="E11" s="17" t="s">
        <v>343</v>
      </c>
      <c r="F11" s="18" t="s">
        <v>344</v>
      </c>
      <c r="H11" s="843" t="s">
        <v>345</v>
      </c>
      <c r="I11" s="844"/>
      <c r="J11" s="844"/>
      <c r="K11" s="844"/>
      <c r="L11" s="844"/>
      <c r="M11" s="844"/>
      <c r="N11" s="845"/>
    </row>
    <row r="12" spans="1:14" ht="28.5" customHeight="1" x14ac:dyDescent="0.2">
      <c r="B12" s="725">
        <v>3</v>
      </c>
      <c r="C12" s="16">
        <v>43318</v>
      </c>
      <c r="D12" s="19" t="s">
        <v>346</v>
      </c>
      <c r="E12" s="17" t="s">
        <v>347</v>
      </c>
      <c r="F12" s="18" t="s">
        <v>348</v>
      </c>
      <c r="H12" s="846"/>
      <c r="I12" s="847"/>
      <c r="J12" s="847"/>
      <c r="K12" s="847"/>
      <c r="L12" s="847"/>
      <c r="M12" s="847"/>
      <c r="N12" s="848"/>
    </row>
    <row r="13" spans="1:14" ht="28.5" customHeight="1" x14ac:dyDescent="0.2">
      <c r="B13" s="725">
        <v>3</v>
      </c>
      <c r="C13" s="16">
        <v>43434</v>
      </c>
      <c r="D13" s="19" t="s">
        <v>349</v>
      </c>
      <c r="E13" s="17"/>
      <c r="F13" s="18" t="s">
        <v>350</v>
      </c>
      <c r="H13" s="846"/>
      <c r="I13" s="847"/>
      <c r="J13" s="847"/>
      <c r="K13" s="847"/>
      <c r="L13" s="847"/>
      <c r="M13" s="847"/>
      <c r="N13" s="848"/>
    </row>
    <row r="14" spans="1:14" ht="28.5" customHeight="1" x14ac:dyDescent="0.2">
      <c r="B14" s="725">
        <v>4</v>
      </c>
      <c r="C14" s="16">
        <v>44348</v>
      </c>
      <c r="D14" s="19" t="s">
        <v>351</v>
      </c>
      <c r="E14" s="17" t="s">
        <v>352</v>
      </c>
      <c r="F14" s="18" t="s">
        <v>353</v>
      </c>
      <c r="H14" s="846"/>
      <c r="I14" s="847"/>
      <c r="J14" s="847"/>
      <c r="K14" s="847"/>
      <c r="L14" s="847"/>
      <c r="M14" s="847"/>
      <c r="N14" s="848"/>
    </row>
    <row r="15" spans="1:14" ht="28.5" customHeight="1" x14ac:dyDescent="0.2">
      <c r="B15" s="725">
        <v>5</v>
      </c>
      <c r="C15" s="16">
        <v>46174</v>
      </c>
      <c r="D15" s="19" t="s">
        <v>354</v>
      </c>
      <c r="E15" s="17" t="s">
        <v>355</v>
      </c>
      <c r="F15" s="18" t="s">
        <v>356</v>
      </c>
      <c r="H15" s="846"/>
      <c r="I15" s="847"/>
      <c r="J15" s="847"/>
      <c r="K15" s="847"/>
      <c r="L15" s="847"/>
      <c r="M15" s="847"/>
      <c r="N15" s="848"/>
    </row>
    <row r="16" spans="1:14" ht="28.5" customHeight="1" x14ac:dyDescent="0.2">
      <c r="B16" s="726">
        <v>5.01</v>
      </c>
      <c r="C16" s="16">
        <v>46209</v>
      </c>
      <c r="D16" s="19" t="s">
        <v>893</v>
      </c>
      <c r="E16" s="17" t="s">
        <v>894</v>
      </c>
      <c r="F16" s="18" t="s">
        <v>356</v>
      </c>
      <c r="H16" s="846"/>
      <c r="I16" s="847"/>
      <c r="J16" s="847"/>
      <c r="K16" s="847"/>
      <c r="L16" s="847"/>
      <c r="M16" s="847"/>
      <c r="N16" s="848"/>
    </row>
    <row r="17" spans="2:14" x14ac:dyDescent="0.2">
      <c r="B17" s="726"/>
      <c r="C17" s="16"/>
      <c r="D17" s="17"/>
      <c r="E17" s="17"/>
      <c r="F17" s="18"/>
      <c r="H17" s="846"/>
      <c r="I17" s="847"/>
      <c r="J17" s="847"/>
      <c r="K17" s="847"/>
      <c r="L17" s="847"/>
      <c r="M17" s="847"/>
      <c r="N17" s="848"/>
    </row>
    <row r="18" spans="2:14" x14ac:dyDescent="0.2">
      <c r="B18" s="726"/>
      <c r="C18" s="16"/>
      <c r="D18" s="17"/>
      <c r="E18" s="17"/>
      <c r="F18" s="18"/>
      <c r="H18" s="849"/>
      <c r="I18" s="850"/>
      <c r="J18" s="850"/>
      <c r="K18" s="850"/>
      <c r="L18" s="850"/>
      <c r="M18" s="850"/>
      <c r="N18" s="851"/>
    </row>
    <row r="19" spans="2:14" x14ac:dyDescent="0.2">
      <c r="B19" s="726"/>
      <c r="C19" s="16"/>
      <c r="D19" s="17"/>
      <c r="E19" s="17"/>
      <c r="F19" s="18"/>
    </row>
    <row r="20" spans="2:14" ht="28.5" customHeight="1" x14ac:dyDescent="0.2">
      <c r="B20" s="726"/>
      <c r="C20" s="16"/>
      <c r="D20" s="19"/>
      <c r="E20" s="17"/>
      <c r="F20" s="18"/>
    </row>
    <row r="21" spans="2:14" ht="28.5" customHeight="1" x14ac:dyDescent="0.2">
      <c r="B21" s="726"/>
      <c r="C21" s="16"/>
      <c r="D21" s="19"/>
      <c r="E21" s="17"/>
      <c r="F21" s="18"/>
    </row>
    <row r="22" spans="2:14" x14ac:dyDescent="0.2">
      <c r="B22" s="726"/>
      <c r="C22" s="16"/>
      <c r="D22" s="19"/>
      <c r="E22" s="17"/>
      <c r="F22" s="18"/>
    </row>
    <row r="23" spans="2:14" ht="28.5" customHeight="1" x14ac:dyDescent="0.2">
      <c r="B23" s="397"/>
      <c r="C23" s="389"/>
      <c r="D23" s="20"/>
      <c r="E23" s="21"/>
      <c r="F23" s="22"/>
    </row>
    <row r="24" spans="2:14" ht="28.5" customHeight="1" x14ac:dyDescent="0.2">
      <c r="B24" s="390"/>
      <c r="C24" s="16"/>
      <c r="D24" s="19"/>
      <c r="E24" s="17"/>
      <c r="F24" s="19"/>
    </row>
    <row r="25" spans="2:14" x14ac:dyDescent="0.2">
      <c r="B25" s="391"/>
      <c r="C25" s="392"/>
      <c r="D25" s="391"/>
      <c r="E25" s="393"/>
      <c r="F25" s="391"/>
    </row>
    <row r="26" spans="2:14" x14ac:dyDescent="0.2">
      <c r="B26" s="394"/>
      <c r="C26" s="395"/>
      <c r="D26" s="394"/>
      <c r="E26" s="396"/>
      <c r="F26" s="394"/>
    </row>
  </sheetData>
  <mergeCells count="2">
    <mergeCell ref="B2:F2"/>
    <mergeCell ref="H11:N1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8204D-49BD-4506-A113-D113133C1C06}">
  <sheetPr codeName="Sheet27">
    <tabColor theme="5"/>
  </sheetPr>
  <dimension ref="A1:K171"/>
  <sheetViews>
    <sheetView zoomScale="70" zoomScaleNormal="70" workbookViewId="0">
      <pane ySplit="1" topLeftCell="A35" activePane="bottomLeft" state="frozen"/>
      <selection pane="bottomLeft" activeCell="H41" sqref="H41"/>
    </sheetView>
  </sheetViews>
  <sheetFormatPr defaultRowHeight="14.25" x14ac:dyDescent="0.2"/>
  <cols>
    <col min="2" max="2" width="52.125" customWidth="1"/>
    <col min="3" max="3" width="46.625" style="295" customWidth="1"/>
    <col min="5" max="5" width="11.125" customWidth="1"/>
    <col min="7" max="8" width="10.125" customWidth="1"/>
    <col min="9" max="9" width="12.125" customWidth="1"/>
    <col min="11" max="11" width="11.125" customWidth="1"/>
  </cols>
  <sheetData>
    <row r="1" spans="1:11" s="297" customFormat="1" ht="48" customHeight="1" x14ac:dyDescent="0.25">
      <c r="A1" s="297" t="s">
        <v>357</v>
      </c>
      <c r="B1" s="297" t="s">
        <v>77</v>
      </c>
      <c r="C1" s="297" t="s">
        <v>78</v>
      </c>
      <c r="D1" s="297" t="s">
        <v>79</v>
      </c>
      <c r="F1" s="297" t="s">
        <v>358</v>
      </c>
      <c r="G1" s="297" t="s">
        <v>81</v>
      </c>
      <c r="H1" s="297" t="s">
        <v>359</v>
      </c>
      <c r="I1" s="297" t="s">
        <v>82</v>
      </c>
      <c r="J1" s="297" t="s">
        <v>83</v>
      </c>
      <c r="K1" s="297" t="s">
        <v>84</v>
      </c>
    </row>
    <row r="2" spans="1:11" ht="42.75" x14ac:dyDescent="0.2">
      <c r="A2">
        <v>2</v>
      </c>
      <c r="B2" t="s">
        <v>360</v>
      </c>
      <c r="C2" s="295" t="str">
        <f>"Case ID: "&amp;'High Eff Ref Freeze'!C8&amp;CHAR(10)&amp;"Case Type: "&amp;'High Eff Ref Freeze'!H8&amp;CHAR(10)&amp;"Door Type: "&amp;'High Eff Ref Freeze'!L8</f>
        <v xml:space="preserve">Case ID: 
Case Type: 
Door Type: </v>
      </c>
      <c r="D2">
        <f>'High Eff Ref Freeze'!K8</f>
        <v>0</v>
      </c>
      <c r="E2" t="s">
        <v>361</v>
      </c>
      <c r="F2" t="e">
        <f t="shared" ref="F2:F33" si="0">IF(G2&gt;0,ProjectCost/COUNTIF(G$2:G$171,"&gt;0"),0)</f>
        <v>#DIV/0!</v>
      </c>
      <c r="G2" s="296" t="str">
        <f>'High Eff Ref Freeze'!R8</f>
        <v/>
      </c>
      <c r="H2" s="303" t="str">
        <f>'High Eff Ref Freeze'!S8</f>
        <v/>
      </c>
      <c r="I2" t="e">
        <f t="shared" ref="I2:I33" si="1">G2*kWh_Rate+H2*kW_Rate</f>
        <v>#VALUE!</v>
      </c>
      <c r="J2" t="str">
        <f>'High Eff Ref Freeze'!W8</f>
        <v/>
      </c>
      <c r="K2" t="e">
        <f>F2-J2</f>
        <v>#DIV/0!</v>
      </c>
    </row>
    <row r="3" spans="1:11" ht="42.75" x14ac:dyDescent="0.2">
      <c r="A3">
        <v>3</v>
      </c>
      <c r="B3" t="s">
        <v>360</v>
      </c>
      <c r="C3" s="295" t="str">
        <f>"Case ID: "&amp;'High Eff Ref Freeze'!C9&amp;CHAR(10)&amp;"Case Type: "&amp;'High Eff Ref Freeze'!H9&amp;CHAR(10)&amp;"Door Type: "&amp;'High Eff Ref Freeze'!L9</f>
        <v xml:space="preserve">Case ID: 
Case Type: 
Door Type: </v>
      </c>
      <c r="D3">
        <f>'High Eff Ref Freeze'!K9</f>
        <v>0</v>
      </c>
      <c r="E3" t="s">
        <v>361</v>
      </c>
      <c r="F3" t="e">
        <f t="shared" si="0"/>
        <v>#DIV/0!</v>
      </c>
      <c r="G3" s="296" t="str">
        <f>'High Eff Ref Freeze'!R9</f>
        <v/>
      </c>
      <c r="H3" s="303" t="str">
        <f>'High Eff Ref Freeze'!U9</f>
        <v/>
      </c>
      <c r="I3" t="e">
        <f t="shared" si="1"/>
        <v>#VALUE!</v>
      </c>
      <c r="J3" t="str">
        <f>'High Eff Ref Freeze'!W9</f>
        <v/>
      </c>
      <c r="K3" t="e">
        <f t="shared" ref="K3:K12" si="2">F3-J3</f>
        <v>#DIV/0!</v>
      </c>
    </row>
    <row r="4" spans="1:11" ht="42.75" x14ac:dyDescent="0.2">
      <c r="A4">
        <v>4</v>
      </c>
      <c r="B4" t="s">
        <v>360</v>
      </c>
      <c r="C4" s="295" t="str">
        <f>"Case ID: "&amp;'High Eff Ref Freeze'!C10&amp;CHAR(10)&amp;"Case Type: "&amp;'High Eff Ref Freeze'!H10&amp;CHAR(10)&amp;"Door Type: "&amp;'High Eff Ref Freeze'!L10</f>
        <v xml:space="preserve">Case ID: 
Case Type: 
Door Type: </v>
      </c>
      <c r="D4">
        <f>'High Eff Ref Freeze'!K10</f>
        <v>0</v>
      </c>
      <c r="E4" t="s">
        <v>361</v>
      </c>
      <c r="F4" t="e">
        <f t="shared" si="0"/>
        <v>#DIV/0!</v>
      </c>
      <c r="G4" s="296" t="str">
        <f>'High Eff Ref Freeze'!R10</f>
        <v/>
      </c>
      <c r="H4" s="303" t="str">
        <f>'High Eff Ref Freeze'!U10</f>
        <v/>
      </c>
      <c r="I4" t="e">
        <f t="shared" si="1"/>
        <v>#VALUE!</v>
      </c>
      <c r="J4" t="str">
        <f>'High Eff Ref Freeze'!W10</f>
        <v/>
      </c>
      <c r="K4" t="e">
        <f t="shared" si="2"/>
        <v>#DIV/0!</v>
      </c>
    </row>
    <row r="5" spans="1:11" ht="42.75" x14ac:dyDescent="0.2">
      <c r="A5">
        <v>5</v>
      </c>
      <c r="B5" t="s">
        <v>360</v>
      </c>
      <c r="C5" s="295" t="str">
        <f>"Case ID: "&amp;'High Eff Ref Freeze'!C11&amp;CHAR(10)&amp;"Case Type: "&amp;'High Eff Ref Freeze'!H11&amp;CHAR(10)&amp;"Door Type: "&amp;'High Eff Ref Freeze'!L11</f>
        <v xml:space="preserve">Case ID: 
Case Type: 
Door Type: </v>
      </c>
      <c r="D5">
        <f>'High Eff Ref Freeze'!K11</f>
        <v>0</v>
      </c>
      <c r="E5" t="s">
        <v>361</v>
      </c>
      <c r="F5" t="e">
        <f t="shared" si="0"/>
        <v>#DIV/0!</v>
      </c>
      <c r="G5" s="296" t="str">
        <f>'High Eff Ref Freeze'!R11</f>
        <v/>
      </c>
      <c r="H5" s="303" t="str">
        <f>'High Eff Ref Freeze'!U11</f>
        <v/>
      </c>
      <c r="I5" t="e">
        <f t="shared" si="1"/>
        <v>#VALUE!</v>
      </c>
      <c r="J5" t="str">
        <f>'High Eff Ref Freeze'!W11</f>
        <v/>
      </c>
      <c r="K5" t="e">
        <f t="shared" si="2"/>
        <v>#DIV/0!</v>
      </c>
    </row>
    <row r="6" spans="1:11" ht="42.75" x14ac:dyDescent="0.2">
      <c r="A6">
        <v>6</v>
      </c>
      <c r="B6" t="s">
        <v>360</v>
      </c>
      <c r="C6" s="295" t="str">
        <f>"Case ID: "&amp;'High Eff Ref Freeze'!C12&amp;CHAR(10)&amp;"Case Type: "&amp;'High Eff Ref Freeze'!H12&amp;CHAR(10)&amp;"Door Type: "&amp;'High Eff Ref Freeze'!L12</f>
        <v xml:space="preserve">Case ID: 
Case Type: 
Door Type: </v>
      </c>
      <c r="D6">
        <f>'High Eff Ref Freeze'!K12</f>
        <v>0</v>
      </c>
      <c r="E6" t="s">
        <v>361</v>
      </c>
      <c r="F6" t="e">
        <f t="shared" si="0"/>
        <v>#DIV/0!</v>
      </c>
      <c r="G6" s="296" t="str">
        <f>'High Eff Ref Freeze'!R12</f>
        <v/>
      </c>
      <c r="H6" s="303" t="str">
        <f>'High Eff Ref Freeze'!U12</f>
        <v/>
      </c>
      <c r="I6" t="e">
        <f t="shared" si="1"/>
        <v>#VALUE!</v>
      </c>
      <c r="J6" t="str">
        <f>'High Eff Ref Freeze'!W12</f>
        <v/>
      </c>
      <c r="K6" t="e">
        <f t="shared" si="2"/>
        <v>#DIV/0!</v>
      </c>
    </row>
    <row r="7" spans="1:11" ht="42.75" x14ac:dyDescent="0.2">
      <c r="A7">
        <v>7</v>
      </c>
      <c r="B7" t="s">
        <v>360</v>
      </c>
      <c r="C7" s="295" t="str">
        <f>"Case ID: "&amp;'High Eff Ref Freeze'!C13&amp;CHAR(10)&amp;"Case Type: "&amp;'High Eff Ref Freeze'!H13&amp;CHAR(10)&amp;"Door Type: "&amp;'High Eff Ref Freeze'!L13</f>
        <v xml:space="preserve">Case ID: 
Case Type: 
Door Type: </v>
      </c>
      <c r="D7">
        <f>'High Eff Ref Freeze'!K13</f>
        <v>0</v>
      </c>
      <c r="E7" t="s">
        <v>361</v>
      </c>
      <c r="F7" t="e">
        <f t="shared" si="0"/>
        <v>#DIV/0!</v>
      </c>
      <c r="G7" s="296" t="str">
        <f>'High Eff Ref Freeze'!R13</f>
        <v/>
      </c>
      <c r="H7" s="303" t="str">
        <f>'High Eff Ref Freeze'!U13</f>
        <v/>
      </c>
      <c r="I7" t="e">
        <f t="shared" si="1"/>
        <v>#VALUE!</v>
      </c>
      <c r="J7" t="str">
        <f>'High Eff Ref Freeze'!W13</f>
        <v/>
      </c>
      <c r="K7" t="e">
        <f t="shared" si="2"/>
        <v>#DIV/0!</v>
      </c>
    </row>
    <row r="8" spans="1:11" ht="42.75" x14ac:dyDescent="0.2">
      <c r="A8">
        <v>8</v>
      </c>
      <c r="B8" t="s">
        <v>360</v>
      </c>
      <c r="C8" s="295" t="str">
        <f>"Case ID: "&amp;'High Eff Ref Freeze'!C14&amp;CHAR(10)&amp;"Case Type: "&amp;'High Eff Ref Freeze'!H14&amp;CHAR(10)&amp;"Door Type: "&amp;'High Eff Ref Freeze'!L14</f>
        <v xml:space="preserve">Case ID: 
Case Type: 
Door Type: </v>
      </c>
      <c r="D8">
        <f>'High Eff Ref Freeze'!K14</f>
        <v>0</v>
      </c>
      <c r="E8" t="s">
        <v>361</v>
      </c>
      <c r="F8" t="e">
        <f t="shared" si="0"/>
        <v>#DIV/0!</v>
      </c>
      <c r="G8" s="296" t="str">
        <f>'High Eff Ref Freeze'!R14</f>
        <v/>
      </c>
      <c r="H8" s="303" t="str">
        <f>'High Eff Ref Freeze'!U14</f>
        <v/>
      </c>
      <c r="I8" t="e">
        <f t="shared" si="1"/>
        <v>#VALUE!</v>
      </c>
      <c r="J8" t="str">
        <f>'High Eff Ref Freeze'!W14</f>
        <v/>
      </c>
      <c r="K8" t="e">
        <f t="shared" si="2"/>
        <v>#DIV/0!</v>
      </c>
    </row>
    <row r="9" spans="1:11" ht="42.75" x14ac:dyDescent="0.2">
      <c r="A9">
        <v>9</v>
      </c>
      <c r="B9" t="s">
        <v>360</v>
      </c>
      <c r="C9" s="295" t="str">
        <f>"Case ID: "&amp;'High Eff Ref Freeze'!C15&amp;CHAR(10)&amp;"Case Type: "&amp;'High Eff Ref Freeze'!H15&amp;CHAR(10)&amp;"Door Type: "&amp;'High Eff Ref Freeze'!L15</f>
        <v xml:space="preserve">Case ID: 
Case Type: 
Door Type: </v>
      </c>
      <c r="D9">
        <f>'High Eff Ref Freeze'!K15</f>
        <v>0</v>
      </c>
      <c r="E9" t="s">
        <v>361</v>
      </c>
      <c r="F9" t="e">
        <f t="shared" si="0"/>
        <v>#DIV/0!</v>
      </c>
      <c r="G9" s="296" t="str">
        <f>'High Eff Ref Freeze'!R15</f>
        <v/>
      </c>
      <c r="H9" s="303" t="str">
        <f>'High Eff Ref Freeze'!U15</f>
        <v/>
      </c>
      <c r="I9" t="e">
        <f t="shared" si="1"/>
        <v>#VALUE!</v>
      </c>
      <c r="J9" t="str">
        <f>'High Eff Ref Freeze'!W15</f>
        <v/>
      </c>
      <c r="K9" t="e">
        <f t="shared" si="2"/>
        <v>#DIV/0!</v>
      </c>
    </row>
    <row r="10" spans="1:11" ht="42.75" x14ac:dyDescent="0.2">
      <c r="A10">
        <v>10</v>
      </c>
      <c r="B10" t="s">
        <v>360</v>
      </c>
      <c r="C10" s="295" t="str">
        <f>"Case ID: "&amp;'High Eff Ref Freeze'!C16&amp;CHAR(10)&amp;"Case Type: "&amp;'High Eff Ref Freeze'!H16&amp;CHAR(10)&amp;"Door Type: "&amp;'High Eff Ref Freeze'!L16</f>
        <v xml:space="preserve">Case ID: 
Case Type: 
Door Type: </v>
      </c>
      <c r="D10">
        <f>'High Eff Ref Freeze'!K16</f>
        <v>0</v>
      </c>
      <c r="E10" t="s">
        <v>361</v>
      </c>
      <c r="F10" t="e">
        <f t="shared" si="0"/>
        <v>#DIV/0!</v>
      </c>
      <c r="G10" s="296" t="str">
        <f>'High Eff Ref Freeze'!R16</f>
        <v/>
      </c>
      <c r="H10" s="303" t="str">
        <f>'High Eff Ref Freeze'!U16</f>
        <v/>
      </c>
      <c r="I10" t="e">
        <f t="shared" si="1"/>
        <v>#VALUE!</v>
      </c>
      <c r="J10" t="str">
        <f>'High Eff Ref Freeze'!W16</f>
        <v/>
      </c>
      <c r="K10" t="e">
        <f t="shared" si="2"/>
        <v>#DIV/0!</v>
      </c>
    </row>
    <row r="11" spans="1:11" ht="42.75" x14ac:dyDescent="0.2">
      <c r="A11">
        <v>11</v>
      </c>
      <c r="B11" t="s">
        <v>360</v>
      </c>
      <c r="C11" s="295" t="str">
        <f>"Case ID: "&amp;'High Eff Ref Freeze'!C17&amp;CHAR(10)&amp;"Case Type: "&amp;'High Eff Ref Freeze'!H17&amp;CHAR(10)&amp;"Door Type: "&amp;'High Eff Ref Freeze'!L17</f>
        <v xml:space="preserve">Case ID: 
Case Type: 
Door Type: </v>
      </c>
      <c r="D11">
        <f>'High Eff Ref Freeze'!K17</f>
        <v>0</v>
      </c>
      <c r="E11" t="s">
        <v>361</v>
      </c>
      <c r="F11" t="e">
        <f t="shared" si="0"/>
        <v>#DIV/0!</v>
      </c>
      <c r="G11" s="296" t="str">
        <f>'High Eff Ref Freeze'!R17</f>
        <v/>
      </c>
      <c r="H11" s="303" t="str">
        <f>'High Eff Ref Freeze'!U17</f>
        <v/>
      </c>
      <c r="I11" t="e">
        <f t="shared" si="1"/>
        <v>#VALUE!</v>
      </c>
      <c r="J11" t="str">
        <f>'High Eff Ref Freeze'!W17</f>
        <v/>
      </c>
      <c r="K11" t="e">
        <f t="shared" si="2"/>
        <v>#DIV/0!</v>
      </c>
    </row>
    <row r="12" spans="1:11" ht="42.75" x14ac:dyDescent="0.2">
      <c r="A12">
        <v>12</v>
      </c>
      <c r="B12" t="s">
        <v>220</v>
      </c>
      <c r="C12" s="295" t="str">
        <f>"Case ID: "&amp;'Evap Fan Motors'!C8&amp;CHAR(10)&amp;"Case Type: "&amp;'Evap Fan Motors'!G8&amp;CHAR(10)&amp;"Motor Size: "&amp;'Evap Fan Motors'!L8&amp;" HP"</f>
        <v>Case ID: 
Case Type: 
Motor Size:  HP</v>
      </c>
      <c r="D12">
        <f>'Evap Fan Motors'!M8</f>
        <v>0</v>
      </c>
      <c r="E12" t="s">
        <v>362</v>
      </c>
      <c r="F12" t="e">
        <f t="shared" si="0"/>
        <v>#DIV/0!</v>
      </c>
      <c r="G12" s="296" t="str">
        <f>'Evap Fan Motors'!N8</f>
        <v/>
      </c>
      <c r="H12" s="303" t="str">
        <f>'Evap Fan Motors'!Q8</f>
        <v/>
      </c>
      <c r="I12" t="e">
        <f t="shared" si="1"/>
        <v>#VALUE!</v>
      </c>
      <c r="J12" t="str">
        <f>'Evap Fan Motors'!S8</f>
        <v/>
      </c>
      <c r="K12" t="e">
        <f t="shared" si="2"/>
        <v>#DIV/0!</v>
      </c>
    </row>
    <row r="13" spans="1:11" ht="42.75" x14ac:dyDescent="0.2">
      <c r="A13">
        <v>13</v>
      </c>
      <c r="B13" t="s">
        <v>220</v>
      </c>
      <c r="C13" s="295" t="str">
        <f>"Case ID: "&amp;'Evap Fan Motors'!C9&amp;CHAR(10)&amp;"Case Type: "&amp;'Evap Fan Motors'!G9&amp;CHAR(10)&amp;"Motor Size: "&amp;'Evap Fan Motors'!L9&amp;" HP"</f>
        <v>Case ID: 
Case Type: 
Motor Size:  HP</v>
      </c>
      <c r="D13">
        <f>'Evap Fan Motors'!M9</f>
        <v>0</v>
      </c>
      <c r="E13" t="s">
        <v>362</v>
      </c>
      <c r="F13" t="e">
        <f t="shared" si="0"/>
        <v>#DIV/0!</v>
      </c>
      <c r="G13" s="296" t="str">
        <f>'Evap Fan Motors'!N9</f>
        <v/>
      </c>
      <c r="H13" s="303" t="str">
        <f>'Evap Fan Motors'!Q9</f>
        <v/>
      </c>
      <c r="I13" t="e">
        <f t="shared" si="1"/>
        <v>#VALUE!</v>
      </c>
      <c r="J13" t="str">
        <f>'Evap Fan Motors'!S9</f>
        <v/>
      </c>
      <c r="K13" t="e">
        <f t="shared" ref="K13:K22" si="3">F13-J13</f>
        <v>#DIV/0!</v>
      </c>
    </row>
    <row r="14" spans="1:11" ht="42.75" x14ac:dyDescent="0.2">
      <c r="A14">
        <v>14</v>
      </c>
      <c r="B14" t="s">
        <v>220</v>
      </c>
      <c r="C14" s="295" t="str">
        <f>"Case ID: "&amp;'Evap Fan Motors'!C10&amp;CHAR(10)&amp;"Case Type: "&amp;'Evap Fan Motors'!G10&amp;CHAR(10)&amp;"Motor Size: "&amp;'Evap Fan Motors'!L10&amp;" HP"</f>
        <v>Case ID: 
Case Type: 
Motor Size:  HP</v>
      </c>
      <c r="D14">
        <f>'Evap Fan Motors'!M10</f>
        <v>0</v>
      </c>
      <c r="E14" t="s">
        <v>362</v>
      </c>
      <c r="F14" t="e">
        <f t="shared" si="0"/>
        <v>#DIV/0!</v>
      </c>
      <c r="G14" s="296" t="str">
        <f>'Evap Fan Motors'!N10</f>
        <v/>
      </c>
      <c r="H14" s="303" t="str">
        <f>'Evap Fan Motors'!Q10</f>
        <v/>
      </c>
      <c r="I14" t="e">
        <f t="shared" si="1"/>
        <v>#VALUE!</v>
      </c>
      <c r="J14" t="str">
        <f>'Evap Fan Motors'!S10</f>
        <v/>
      </c>
      <c r="K14" t="e">
        <f t="shared" si="3"/>
        <v>#DIV/0!</v>
      </c>
    </row>
    <row r="15" spans="1:11" ht="42.75" x14ac:dyDescent="0.2">
      <c r="A15">
        <v>15</v>
      </c>
      <c r="B15" t="s">
        <v>220</v>
      </c>
      <c r="C15" s="295" t="str">
        <f>"Case ID: "&amp;'Evap Fan Motors'!C11&amp;CHAR(10)&amp;"Case Type: "&amp;'Evap Fan Motors'!G11&amp;CHAR(10)&amp;"Motor Size: "&amp;'Evap Fan Motors'!L11&amp;" HP"</f>
        <v>Case ID: 
Case Type: 
Motor Size:  HP</v>
      </c>
      <c r="D15">
        <f>'Evap Fan Motors'!M11</f>
        <v>0</v>
      </c>
      <c r="E15" t="s">
        <v>362</v>
      </c>
      <c r="F15" t="e">
        <f t="shared" si="0"/>
        <v>#DIV/0!</v>
      </c>
      <c r="G15" s="296" t="str">
        <f>'Evap Fan Motors'!N11</f>
        <v/>
      </c>
      <c r="H15" s="303" t="str">
        <f>'Evap Fan Motors'!Q11</f>
        <v/>
      </c>
      <c r="I15" t="e">
        <f t="shared" si="1"/>
        <v>#VALUE!</v>
      </c>
      <c r="J15" t="str">
        <f>'Evap Fan Motors'!S11</f>
        <v/>
      </c>
      <c r="K15" t="e">
        <f t="shared" si="3"/>
        <v>#DIV/0!</v>
      </c>
    </row>
    <row r="16" spans="1:11" ht="42.75" x14ac:dyDescent="0.2">
      <c r="A16">
        <v>16</v>
      </c>
      <c r="B16" t="s">
        <v>220</v>
      </c>
      <c r="C16" s="295" t="str">
        <f>"Case ID: "&amp;'Evap Fan Motors'!C12&amp;CHAR(10)&amp;"Case Type: "&amp;'Evap Fan Motors'!G12&amp;CHAR(10)&amp;"Motor Size: "&amp;'Evap Fan Motors'!L12&amp;" HP"</f>
        <v>Case ID: 
Case Type: 
Motor Size:  HP</v>
      </c>
      <c r="D16">
        <f>'Evap Fan Motors'!M12</f>
        <v>0</v>
      </c>
      <c r="E16" t="s">
        <v>362</v>
      </c>
      <c r="F16" t="e">
        <f t="shared" si="0"/>
        <v>#DIV/0!</v>
      </c>
      <c r="G16" s="296" t="str">
        <f>'Evap Fan Motors'!N12</f>
        <v/>
      </c>
      <c r="H16" s="303" t="str">
        <f>'Evap Fan Motors'!Q12</f>
        <v/>
      </c>
      <c r="I16" t="e">
        <f t="shared" si="1"/>
        <v>#VALUE!</v>
      </c>
      <c r="J16" t="str">
        <f>'Evap Fan Motors'!S12</f>
        <v/>
      </c>
      <c r="K16" t="e">
        <f t="shared" si="3"/>
        <v>#DIV/0!</v>
      </c>
    </row>
    <row r="17" spans="1:11" ht="42.75" x14ac:dyDescent="0.2">
      <c r="A17">
        <v>17</v>
      </c>
      <c r="B17" t="s">
        <v>220</v>
      </c>
      <c r="C17" s="295" t="str">
        <f>"Case ID: "&amp;'Evap Fan Motors'!C13&amp;CHAR(10)&amp;"Case Type: "&amp;'Evap Fan Motors'!G13&amp;CHAR(10)&amp;"Motor Size: "&amp;'Evap Fan Motors'!L13&amp;" HP"</f>
        <v>Case ID: 
Case Type: 
Motor Size:  HP</v>
      </c>
      <c r="D17">
        <f>'Evap Fan Motors'!M13</f>
        <v>0</v>
      </c>
      <c r="E17" t="s">
        <v>362</v>
      </c>
      <c r="F17" t="e">
        <f t="shared" si="0"/>
        <v>#DIV/0!</v>
      </c>
      <c r="G17" s="296" t="str">
        <f>'Evap Fan Motors'!N13</f>
        <v/>
      </c>
      <c r="H17" s="303" t="str">
        <f>'Evap Fan Motors'!Q13</f>
        <v/>
      </c>
      <c r="I17" t="e">
        <f t="shared" si="1"/>
        <v>#VALUE!</v>
      </c>
      <c r="J17" t="str">
        <f>'Evap Fan Motors'!S13</f>
        <v/>
      </c>
      <c r="K17" t="e">
        <f t="shared" si="3"/>
        <v>#DIV/0!</v>
      </c>
    </row>
    <row r="18" spans="1:11" ht="42.75" x14ac:dyDescent="0.2">
      <c r="A18">
        <v>18</v>
      </c>
      <c r="B18" t="s">
        <v>220</v>
      </c>
      <c r="C18" s="295" t="str">
        <f>"Case ID: "&amp;'Evap Fan Motors'!C14&amp;CHAR(10)&amp;"Case Type: "&amp;'Evap Fan Motors'!G14&amp;CHAR(10)&amp;"Motor Size: "&amp;'Evap Fan Motors'!L14&amp;" HP"</f>
        <v>Case ID: 
Case Type: 
Motor Size:  HP</v>
      </c>
      <c r="D18">
        <f>'Evap Fan Motors'!M14</f>
        <v>0</v>
      </c>
      <c r="E18" t="s">
        <v>362</v>
      </c>
      <c r="F18" t="e">
        <f t="shared" si="0"/>
        <v>#DIV/0!</v>
      </c>
      <c r="G18" s="296" t="str">
        <f>'Evap Fan Motors'!N14</f>
        <v/>
      </c>
      <c r="H18" s="303" t="str">
        <f>'Evap Fan Motors'!Q14</f>
        <v/>
      </c>
      <c r="I18" t="e">
        <f t="shared" si="1"/>
        <v>#VALUE!</v>
      </c>
      <c r="J18" t="str">
        <f>'Evap Fan Motors'!S14</f>
        <v/>
      </c>
      <c r="K18" t="e">
        <f t="shared" si="3"/>
        <v>#DIV/0!</v>
      </c>
    </row>
    <row r="19" spans="1:11" ht="42.75" x14ac:dyDescent="0.2">
      <c r="A19">
        <v>19</v>
      </c>
      <c r="B19" t="s">
        <v>220</v>
      </c>
      <c r="C19" s="295" t="str">
        <f>"Case ID: "&amp;'Evap Fan Motors'!C15&amp;CHAR(10)&amp;"Case Type: "&amp;'Evap Fan Motors'!G15&amp;CHAR(10)&amp;"Motor Size: "&amp;'Evap Fan Motors'!L15&amp;" HP"</f>
        <v>Case ID: 
Case Type: 
Motor Size:  HP</v>
      </c>
      <c r="D19">
        <f>'Evap Fan Motors'!M15</f>
        <v>0</v>
      </c>
      <c r="E19" t="s">
        <v>362</v>
      </c>
      <c r="F19" t="e">
        <f t="shared" si="0"/>
        <v>#DIV/0!</v>
      </c>
      <c r="G19" s="296" t="str">
        <f>'Evap Fan Motors'!N15</f>
        <v/>
      </c>
      <c r="H19" s="303" t="str">
        <f>'Evap Fan Motors'!Q15</f>
        <v/>
      </c>
      <c r="I19" t="e">
        <f t="shared" si="1"/>
        <v>#VALUE!</v>
      </c>
      <c r="J19" t="str">
        <f>'Evap Fan Motors'!S15</f>
        <v/>
      </c>
      <c r="K19" t="e">
        <f t="shared" si="3"/>
        <v>#DIV/0!</v>
      </c>
    </row>
    <row r="20" spans="1:11" ht="42.75" x14ac:dyDescent="0.2">
      <c r="A20">
        <v>20</v>
      </c>
      <c r="B20" t="s">
        <v>220</v>
      </c>
      <c r="C20" s="295" t="str">
        <f>"Case ID: "&amp;'Evap Fan Motors'!C16&amp;CHAR(10)&amp;"Case Type: "&amp;'Evap Fan Motors'!G16&amp;CHAR(10)&amp;"Motor Size: "&amp;'Evap Fan Motors'!L16&amp;" HP"</f>
        <v>Case ID: 
Case Type: 
Motor Size:  HP</v>
      </c>
      <c r="D20">
        <f>'Evap Fan Motors'!M16</f>
        <v>0</v>
      </c>
      <c r="E20" t="s">
        <v>362</v>
      </c>
      <c r="F20" t="e">
        <f t="shared" si="0"/>
        <v>#DIV/0!</v>
      </c>
      <c r="G20" s="296" t="str">
        <f>'Evap Fan Motors'!N16</f>
        <v/>
      </c>
      <c r="H20" s="303" t="str">
        <f>'Evap Fan Motors'!Q16</f>
        <v/>
      </c>
      <c r="I20" t="e">
        <f t="shared" si="1"/>
        <v>#VALUE!</v>
      </c>
      <c r="J20" t="str">
        <f>'Evap Fan Motors'!S16</f>
        <v/>
      </c>
      <c r="K20" t="e">
        <f t="shared" si="3"/>
        <v>#DIV/0!</v>
      </c>
    </row>
    <row r="21" spans="1:11" ht="42.75" x14ac:dyDescent="0.2">
      <c r="A21">
        <v>21</v>
      </c>
      <c r="B21" t="s">
        <v>220</v>
      </c>
      <c r="C21" s="295" t="str">
        <f>"Case ID: "&amp;'Evap Fan Motors'!C17&amp;CHAR(10)&amp;"Case Type: "&amp;'Evap Fan Motors'!G17&amp;CHAR(10)&amp;"Motor Size: "&amp;'Evap Fan Motors'!L17&amp;" HP"</f>
        <v>Case ID: 
Case Type: 
Motor Size:  HP</v>
      </c>
      <c r="D21">
        <f>'Evap Fan Motors'!M17</f>
        <v>0</v>
      </c>
      <c r="E21" t="s">
        <v>362</v>
      </c>
      <c r="F21" t="e">
        <f t="shared" si="0"/>
        <v>#DIV/0!</v>
      </c>
      <c r="G21" s="296" t="str">
        <f>'Evap Fan Motors'!N17</f>
        <v/>
      </c>
      <c r="H21" s="303" t="str">
        <f>'Evap Fan Motors'!Q17</f>
        <v/>
      </c>
      <c r="I21" t="e">
        <f t="shared" si="1"/>
        <v>#VALUE!</v>
      </c>
      <c r="J21" t="str">
        <f>'Evap Fan Motors'!S17</f>
        <v/>
      </c>
      <c r="K21" t="e">
        <f t="shared" si="3"/>
        <v>#DIV/0!</v>
      </c>
    </row>
    <row r="22" spans="1:11" ht="42.75" customHeight="1" x14ac:dyDescent="0.2">
      <c r="A22">
        <v>22</v>
      </c>
      <c r="B22" t="s">
        <v>26</v>
      </c>
      <c r="C22" s="295" t="str">
        <f>"Case ID: "&amp;'Fan Control'!C8&amp;CHAR(10)&amp;"Evaporator Fan Motor Power: "&amp;'Fan Control'!H8&amp;" HP"&amp;CHAR(10)&amp;"Fan Control Type: "&amp;'Fan Control'!I8</f>
        <v xml:space="preserve">Case ID: 
Evaporator Fan Motor Power:  HP
Fan Control Type: </v>
      </c>
      <c r="D22">
        <f>'Fan Control'!K8</f>
        <v>0</v>
      </c>
      <c r="E22" t="s">
        <v>363</v>
      </c>
      <c r="F22" t="e">
        <f t="shared" si="0"/>
        <v>#DIV/0!</v>
      </c>
      <c r="G22" s="296" t="str">
        <f>'Fan Control'!L8</f>
        <v/>
      </c>
      <c r="H22" s="303" t="str">
        <f>'Fan Control'!O8</f>
        <v/>
      </c>
      <c r="I22" t="e">
        <f t="shared" si="1"/>
        <v>#VALUE!</v>
      </c>
      <c r="J22" t="str">
        <f>'Fan Control'!Q8</f>
        <v/>
      </c>
      <c r="K22" t="e">
        <f t="shared" si="3"/>
        <v>#DIV/0!</v>
      </c>
    </row>
    <row r="23" spans="1:11" ht="42.75" x14ac:dyDescent="0.2">
      <c r="A23">
        <v>23</v>
      </c>
      <c r="B23" t="s">
        <v>26</v>
      </c>
      <c r="C23" s="295" t="str">
        <f>"Case ID: "&amp;'Fan Control'!C9&amp;CHAR(10)&amp;"Evaporator Fan Motor Power: "&amp;'Fan Control'!H9&amp;" HP"&amp;CHAR(10)&amp;"Fan Control Type: "&amp;'Fan Control'!I9</f>
        <v xml:space="preserve">Case ID: 
Evaporator Fan Motor Power:  HP
Fan Control Type: </v>
      </c>
      <c r="D23">
        <f>'Fan Control'!K9</f>
        <v>0</v>
      </c>
      <c r="E23" t="s">
        <v>363</v>
      </c>
      <c r="F23" t="e">
        <f t="shared" si="0"/>
        <v>#DIV/0!</v>
      </c>
      <c r="G23" s="296" t="str">
        <f>'Fan Control'!L9</f>
        <v/>
      </c>
      <c r="H23" s="303" t="str">
        <f>'Fan Control'!O9</f>
        <v/>
      </c>
      <c r="I23" t="e">
        <f t="shared" si="1"/>
        <v>#VALUE!</v>
      </c>
      <c r="J23" t="str">
        <f>'Fan Control'!Q9</f>
        <v/>
      </c>
      <c r="K23" t="e">
        <f t="shared" ref="K23:K31" si="4">F23-J23</f>
        <v>#DIV/0!</v>
      </c>
    </row>
    <row r="24" spans="1:11" ht="42.75" x14ac:dyDescent="0.2">
      <c r="A24">
        <v>24</v>
      </c>
      <c r="B24" t="s">
        <v>26</v>
      </c>
      <c r="C24" s="295" t="str">
        <f>"Case ID: "&amp;'Fan Control'!C10&amp;CHAR(10)&amp;"Evaporator Fan Motor Power: "&amp;'Fan Control'!H10&amp;" HP"&amp;CHAR(10)&amp;"Fan Control Type: "&amp;'Fan Control'!I10</f>
        <v xml:space="preserve">Case ID: 
Evaporator Fan Motor Power:  HP
Fan Control Type: </v>
      </c>
      <c r="D24">
        <f>'Fan Control'!K10</f>
        <v>0</v>
      </c>
      <c r="E24" t="s">
        <v>363</v>
      </c>
      <c r="F24" t="e">
        <f t="shared" si="0"/>
        <v>#DIV/0!</v>
      </c>
      <c r="G24" s="296" t="str">
        <f>'Fan Control'!L10</f>
        <v/>
      </c>
      <c r="H24" s="303" t="str">
        <f>'Fan Control'!O10</f>
        <v/>
      </c>
      <c r="I24" t="e">
        <f t="shared" si="1"/>
        <v>#VALUE!</v>
      </c>
      <c r="J24" t="str">
        <f>'Fan Control'!Q10</f>
        <v/>
      </c>
      <c r="K24" t="e">
        <f t="shared" si="4"/>
        <v>#DIV/0!</v>
      </c>
    </row>
    <row r="25" spans="1:11" ht="42.75" x14ac:dyDescent="0.2">
      <c r="A25">
        <v>25</v>
      </c>
      <c r="B25" t="s">
        <v>26</v>
      </c>
      <c r="C25" s="295" t="str">
        <f>"Case ID: "&amp;'Fan Control'!C11&amp;CHAR(10)&amp;"Evaporator Fan Motor Power: "&amp;'Fan Control'!H11&amp;" HP"&amp;CHAR(10)&amp;"Fan Control Type: "&amp;'Fan Control'!I11</f>
        <v xml:space="preserve">Case ID: 
Evaporator Fan Motor Power:  HP
Fan Control Type: </v>
      </c>
      <c r="D25">
        <f>'Fan Control'!K11</f>
        <v>0</v>
      </c>
      <c r="E25" t="s">
        <v>363</v>
      </c>
      <c r="F25" t="e">
        <f t="shared" si="0"/>
        <v>#DIV/0!</v>
      </c>
      <c r="G25" s="296" t="str">
        <f>'Fan Control'!L11</f>
        <v/>
      </c>
      <c r="H25" s="303" t="str">
        <f>'Fan Control'!O11</f>
        <v/>
      </c>
      <c r="I25" t="e">
        <f t="shared" si="1"/>
        <v>#VALUE!</v>
      </c>
      <c r="J25" t="str">
        <f>'Fan Control'!Q11</f>
        <v/>
      </c>
      <c r="K25" t="e">
        <f t="shared" si="4"/>
        <v>#DIV/0!</v>
      </c>
    </row>
    <row r="26" spans="1:11" ht="42.75" x14ac:dyDescent="0.2">
      <c r="A26">
        <v>26</v>
      </c>
      <c r="B26" t="s">
        <v>26</v>
      </c>
      <c r="C26" s="295" t="str">
        <f>"Case ID: "&amp;'Fan Control'!C12&amp;CHAR(10)&amp;"Evaporator Fan Motor Power: "&amp;'Fan Control'!H12&amp;" HP"&amp;CHAR(10)&amp;"Fan Control Type: "&amp;'Fan Control'!I12</f>
        <v xml:space="preserve">Case ID: 
Evaporator Fan Motor Power:  HP
Fan Control Type: </v>
      </c>
      <c r="D26">
        <f>'Fan Control'!K12</f>
        <v>0</v>
      </c>
      <c r="E26" t="s">
        <v>363</v>
      </c>
      <c r="F26" t="e">
        <f t="shared" si="0"/>
        <v>#DIV/0!</v>
      </c>
      <c r="G26" s="296" t="str">
        <f>'Fan Control'!L12</f>
        <v/>
      </c>
      <c r="H26" s="303" t="str">
        <f>'Fan Control'!O12</f>
        <v/>
      </c>
      <c r="I26" t="e">
        <f t="shared" si="1"/>
        <v>#VALUE!</v>
      </c>
      <c r="J26" t="str">
        <f>'Fan Control'!Q12</f>
        <v/>
      </c>
      <c r="K26" t="e">
        <f t="shared" si="4"/>
        <v>#DIV/0!</v>
      </c>
    </row>
    <row r="27" spans="1:11" ht="42.75" x14ac:dyDescent="0.2">
      <c r="A27">
        <v>27</v>
      </c>
      <c r="B27" t="s">
        <v>26</v>
      </c>
      <c r="C27" s="295" t="str">
        <f>"Case ID: "&amp;'Fan Control'!C13&amp;CHAR(10)&amp;"Evaporator Fan Motor Power: "&amp;'Fan Control'!H13&amp;" HP"&amp;CHAR(10)&amp;"Fan Control Type: "&amp;'Fan Control'!I13</f>
        <v xml:space="preserve">Case ID: 
Evaporator Fan Motor Power:  HP
Fan Control Type: </v>
      </c>
      <c r="D27">
        <f>'Fan Control'!K13</f>
        <v>0</v>
      </c>
      <c r="E27" t="s">
        <v>363</v>
      </c>
      <c r="F27" t="e">
        <f t="shared" si="0"/>
        <v>#DIV/0!</v>
      </c>
      <c r="G27" s="296" t="str">
        <f>'Fan Control'!L13</f>
        <v/>
      </c>
      <c r="H27" s="303" t="str">
        <f>'Fan Control'!O13</f>
        <v/>
      </c>
      <c r="I27" t="e">
        <f t="shared" si="1"/>
        <v>#VALUE!</v>
      </c>
      <c r="J27" t="str">
        <f>'Fan Control'!Q13</f>
        <v/>
      </c>
      <c r="K27" t="e">
        <f t="shared" si="4"/>
        <v>#DIV/0!</v>
      </c>
    </row>
    <row r="28" spans="1:11" ht="42.75" x14ac:dyDescent="0.2">
      <c r="A28">
        <v>28</v>
      </c>
      <c r="B28" t="s">
        <v>26</v>
      </c>
      <c r="C28" s="295" t="str">
        <f>"Case ID: "&amp;'Fan Control'!C14&amp;CHAR(10)&amp;"Evaporator Fan Motor Power: "&amp;'Fan Control'!H14&amp;" HP"&amp;CHAR(10)&amp;"Fan Control Type: "&amp;'Fan Control'!I14</f>
        <v xml:space="preserve">Case ID: 
Evaporator Fan Motor Power:  HP
Fan Control Type: </v>
      </c>
      <c r="D28">
        <f>'Fan Control'!K14</f>
        <v>0</v>
      </c>
      <c r="E28" t="s">
        <v>363</v>
      </c>
      <c r="F28" t="e">
        <f t="shared" si="0"/>
        <v>#DIV/0!</v>
      </c>
      <c r="G28" s="296" t="str">
        <f>'Fan Control'!L14</f>
        <v/>
      </c>
      <c r="H28" s="303" t="str">
        <f>'Fan Control'!O14</f>
        <v/>
      </c>
      <c r="I28" t="e">
        <f t="shared" si="1"/>
        <v>#VALUE!</v>
      </c>
      <c r="J28" t="str">
        <f>'Fan Control'!Q14</f>
        <v/>
      </c>
      <c r="K28" t="e">
        <f t="shared" si="4"/>
        <v>#DIV/0!</v>
      </c>
    </row>
    <row r="29" spans="1:11" ht="42.75" x14ac:dyDescent="0.2">
      <c r="A29">
        <v>29</v>
      </c>
      <c r="B29" t="s">
        <v>26</v>
      </c>
      <c r="C29" s="295" t="str">
        <f>"Case ID: "&amp;'Fan Control'!C15&amp;CHAR(10)&amp;"Evaporator Fan Motor Power: "&amp;'Fan Control'!H15&amp;" HP"&amp;CHAR(10)&amp;"Fan Control Type: "&amp;'Fan Control'!I15</f>
        <v xml:space="preserve">Case ID: 
Evaporator Fan Motor Power:  HP
Fan Control Type: </v>
      </c>
      <c r="D29">
        <f>'Fan Control'!K15</f>
        <v>0</v>
      </c>
      <c r="E29" t="s">
        <v>363</v>
      </c>
      <c r="F29" t="e">
        <f t="shared" si="0"/>
        <v>#DIV/0!</v>
      </c>
      <c r="G29" s="296" t="str">
        <f>'Fan Control'!L15</f>
        <v/>
      </c>
      <c r="H29" s="303" t="str">
        <f>'Fan Control'!O15</f>
        <v/>
      </c>
      <c r="I29" t="e">
        <f t="shared" si="1"/>
        <v>#VALUE!</v>
      </c>
      <c r="J29" t="str">
        <f>'Fan Control'!Q15</f>
        <v/>
      </c>
      <c r="K29" t="e">
        <f t="shared" si="4"/>
        <v>#DIV/0!</v>
      </c>
    </row>
    <row r="30" spans="1:11" ht="42.75" x14ac:dyDescent="0.2">
      <c r="A30">
        <v>30</v>
      </c>
      <c r="B30" t="s">
        <v>26</v>
      </c>
      <c r="C30" s="295" t="str">
        <f>"Case ID: "&amp;'Fan Control'!C16&amp;CHAR(10)&amp;"Evaporator Fan Motor Power: "&amp;'Fan Control'!H16&amp;" HP"&amp;CHAR(10)&amp;"Fan Control Type: "&amp;'Fan Control'!I16</f>
        <v xml:space="preserve">Case ID: 
Evaporator Fan Motor Power:  HP
Fan Control Type: </v>
      </c>
      <c r="D30">
        <f>'Fan Control'!K16</f>
        <v>0</v>
      </c>
      <c r="E30" t="s">
        <v>363</v>
      </c>
      <c r="F30" t="e">
        <f t="shared" si="0"/>
        <v>#DIV/0!</v>
      </c>
      <c r="G30" s="296" t="str">
        <f>'Fan Control'!L16</f>
        <v/>
      </c>
      <c r="H30" s="303" t="str">
        <f>'Fan Control'!O16</f>
        <v/>
      </c>
      <c r="I30" t="e">
        <f t="shared" si="1"/>
        <v>#VALUE!</v>
      </c>
      <c r="J30" t="str">
        <f>'Fan Control'!Q16</f>
        <v/>
      </c>
      <c r="K30" t="e">
        <f t="shared" si="4"/>
        <v>#DIV/0!</v>
      </c>
    </row>
    <row r="31" spans="1:11" ht="42.75" x14ac:dyDescent="0.2">
      <c r="A31">
        <v>31</v>
      </c>
      <c r="B31" t="s">
        <v>26</v>
      </c>
      <c r="C31" s="295" t="str">
        <f>"Case ID: "&amp;'Fan Control'!C17&amp;CHAR(10)&amp;"Evaporator Fan Motor Power: "&amp;'Fan Control'!H17&amp;" HP"&amp;CHAR(10)&amp;"Fan Control Type: "&amp;'Fan Control'!I17</f>
        <v xml:space="preserve">Case ID: 
Evaporator Fan Motor Power:  HP
Fan Control Type: </v>
      </c>
      <c r="D31">
        <f>'Fan Control'!K17</f>
        <v>0</v>
      </c>
      <c r="E31" t="s">
        <v>363</v>
      </c>
      <c r="F31" t="e">
        <f t="shared" si="0"/>
        <v>#DIV/0!</v>
      </c>
      <c r="G31" s="296" t="str">
        <f>'Fan Control'!L17</f>
        <v/>
      </c>
      <c r="H31" s="303" t="str">
        <f>'Fan Control'!O17</f>
        <v/>
      </c>
      <c r="I31" t="e">
        <f t="shared" si="1"/>
        <v>#VALUE!</v>
      </c>
      <c r="J31" t="str">
        <f>'Fan Control'!Q17</f>
        <v/>
      </c>
      <c r="K31" t="e">
        <f t="shared" si="4"/>
        <v>#DIV/0!</v>
      </c>
    </row>
    <row r="32" spans="1:11" ht="42.75" customHeight="1" x14ac:dyDescent="0.2">
      <c r="A32">
        <v>32</v>
      </c>
      <c r="B32" t="s">
        <v>364</v>
      </c>
      <c r="C32" s="295" t="str">
        <f>"Condenser ID: "&amp;'Float Control'!C8&amp;CHAR(10)&amp;"Unit Type: "&amp;'Float Control'!G8&amp;CHAR(10)&amp;"Unit Size: "&amp;'Float Control'!H8&amp;" ton(s)"</f>
        <v>Condenser ID: 
Unit Type: 
Unit Size:  ton(s)</v>
      </c>
      <c r="D32">
        <f>'Float Control'!J8</f>
        <v>0</v>
      </c>
      <c r="E32" t="s">
        <v>365</v>
      </c>
      <c r="F32" t="e">
        <f t="shared" si="0"/>
        <v>#DIV/0!</v>
      </c>
      <c r="G32" s="296" t="str">
        <f>'Float Control'!Q8</f>
        <v/>
      </c>
      <c r="H32" s="303" t="str">
        <f>'Float Control'!S8</f>
        <v/>
      </c>
      <c r="I32" t="e">
        <f t="shared" si="1"/>
        <v>#VALUE!</v>
      </c>
      <c r="J32" t="str">
        <f>'Float Control'!V8</f>
        <v/>
      </c>
    </row>
    <row r="33" spans="1:10" ht="42.75" x14ac:dyDescent="0.2">
      <c r="A33">
        <v>33</v>
      </c>
      <c r="B33" t="s">
        <v>364</v>
      </c>
      <c r="C33" s="295" t="str">
        <f>"Condenser ID: "&amp;'Float Control'!C9&amp;CHAR(10)&amp;"Unit Type: "&amp;'Float Control'!G9&amp;CHAR(10)&amp;"Unit Size: "&amp;'Float Control'!H9&amp;" ton(s)"</f>
        <v>Condenser ID: 
Unit Type: 
Unit Size:  ton(s)</v>
      </c>
      <c r="D33">
        <f>'Float Control'!J9</f>
        <v>0</v>
      </c>
      <c r="E33" t="s">
        <v>365</v>
      </c>
      <c r="F33" t="e">
        <f t="shared" si="0"/>
        <v>#DIV/0!</v>
      </c>
      <c r="G33" s="296" t="str">
        <f>'Float Control'!Q9</f>
        <v/>
      </c>
      <c r="H33" s="303" t="str">
        <f>'Float Control'!S9</f>
        <v/>
      </c>
      <c r="I33" t="e">
        <f t="shared" si="1"/>
        <v>#VALUE!</v>
      </c>
      <c r="J33" t="str">
        <f>'Float Control'!V9</f>
        <v/>
      </c>
    </row>
    <row r="34" spans="1:10" ht="42.75" x14ac:dyDescent="0.2">
      <c r="A34">
        <v>34</v>
      </c>
      <c r="B34" t="s">
        <v>364</v>
      </c>
      <c r="C34" s="295" t="str">
        <f>"Condenser ID: "&amp;'Float Control'!C10&amp;CHAR(10)&amp;"Unit Type: "&amp;'Float Control'!G10&amp;CHAR(10)&amp;"Unit Size: "&amp;'Float Control'!H10&amp;" ton(s)"</f>
        <v>Condenser ID: 
Unit Type: 
Unit Size:  ton(s)</v>
      </c>
      <c r="D34">
        <f>'Float Control'!J10</f>
        <v>0</v>
      </c>
      <c r="E34" t="s">
        <v>365</v>
      </c>
      <c r="F34" t="e">
        <f t="shared" ref="F34:F65" si="5">IF(G34&gt;0,ProjectCost/COUNTIF(G$2:G$171,"&gt;0"),0)</f>
        <v>#DIV/0!</v>
      </c>
      <c r="G34" s="296" t="str">
        <f>'Float Control'!Q10</f>
        <v/>
      </c>
      <c r="H34" s="303" t="str">
        <f>'Float Control'!S10</f>
        <v/>
      </c>
      <c r="I34" t="e">
        <f t="shared" ref="I34:I65" si="6">G34*kWh_Rate+H34*kW_Rate</f>
        <v>#VALUE!</v>
      </c>
      <c r="J34" t="str">
        <f>'Float Control'!V10</f>
        <v/>
      </c>
    </row>
    <row r="35" spans="1:10" ht="42.75" x14ac:dyDescent="0.2">
      <c r="A35">
        <v>35</v>
      </c>
      <c r="B35" t="s">
        <v>364</v>
      </c>
      <c r="C35" s="295" t="str">
        <f>"Condenser ID: "&amp;'Float Control'!C11&amp;CHAR(10)&amp;"Unit Type: "&amp;'Float Control'!G11&amp;CHAR(10)&amp;"Unit Size: "&amp;'Float Control'!H11&amp;" ton(s)"</f>
        <v>Condenser ID: 
Unit Type: 
Unit Size:  ton(s)</v>
      </c>
      <c r="D35">
        <f>'Float Control'!J11</f>
        <v>0</v>
      </c>
      <c r="E35" t="s">
        <v>365</v>
      </c>
      <c r="F35" t="e">
        <f t="shared" si="5"/>
        <v>#DIV/0!</v>
      </c>
      <c r="G35" s="296" t="str">
        <f>'Float Control'!Q11</f>
        <v/>
      </c>
      <c r="H35" s="303" t="str">
        <f>'Float Control'!S11</f>
        <v/>
      </c>
      <c r="I35" t="e">
        <f t="shared" si="6"/>
        <v>#VALUE!</v>
      </c>
      <c r="J35" t="str">
        <f>'Float Control'!V11</f>
        <v/>
      </c>
    </row>
    <row r="36" spans="1:10" ht="42.75" x14ac:dyDescent="0.2">
      <c r="A36">
        <v>36</v>
      </c>
      <c r="B36" t="s">
        <v>364</v>
      </c>
      <c r="C36" s="295" t="str">
        <f>"Condenser ID: "&amp;'Float Control'!C12&amp;CHAR(10)&amp;"Unit Type: "&amp;'Float Control'!G12&amp;CHAR(10)&amp;"Unit Size: "&amp;'Float Control'!H12&amp;" ton(s)"</f>
        <v>Condenser ID: 
Unit Type: 
Unit Size:  ton(s)</v>
      </c>
      <c r="D36">
        <f>'Float Control'!J12</f>
        <v>0</v>
      </c>
      <c r="E36" t="s">
        <v>365</v>
      </c>
      <c r="F36" t="e">
        <f t="shared" si="5"/>
        <v>#DIV/0!</v>
      </c>
      <c r="G36" s="296" t="str">
        <f>'Float Control'!Q12</f>
        <v/>
      </c>
      <c r="H36" s="303" t="str">
        <f>'Float Control'!S12</f>
        <v/>
      </c>
      <c r="I36" t="e">
        <f t="shared" si="6"/>
        <v>#VALUE!</v>
      </c>
      <c r="J36" t="str">
        <f>'Float Control'!V12</f>
        <v/>
      </c>
    </row>
    <row r="37" spans="1:10" ht="42.75" x14ac:dyDescent="0.2">
      <c r="A37">
        <v>37</v>
      </c>
      <c r="B37" t="s">
        <v>364</v>
      </c>
      <c r="C37" s="295" t="str">
        <f>"Condenser ID: "&amp;'Float Control'!C13&amp;CHAR(10)&amp;"Unit Type: "&amp;'Float Control'!G13&amp;CHAR(10)&amp;"Unit Size: "&amp;'Float Control'!H13&amp;" ton(s)"</f>
        <v>Condenser ID: 
Unit Type: 
Unit Size:  ton(s)</v>
      </c>
      <c r="D37">
        <f>'Float Control'!J13</f>
        <v>0</v>
      </c>
      <c r="E37" t="s">
        <v>365</v>
      </c>
      <c r="F37" t="e">
        <f t="shared" si="5"/>
        <v>#DIV/0!</v>
      </c>
      <c r="G37" s="296" t="str">
        <f>'Float Control'!Q13</f>
        <v/>
      </c>
      <c r="H37" s="303" t="str">
        <f>'Float Control'!S13</f>
        <v/>
      </c>
      <c r="I37" t="e">
        <f t="shared" si="6"/>
        <v>#VALUE!</v>
      </c>
      <c r="J37" t="str">
        <f>'Float Control'!V13</f>
        <v/>
      </c>
    </row>
    <row r="38" spans="1:10" ht="42.75" x14ac:dyDescent="0.2">
      <c r="A38">
        <v>38</v>
      </c>
      <c r="B38" t="s">
        <v>364</v>
      </c>
      <c r="C38" s="295" t="str">
        <f>"Condenser ID: "&amp;'Float Control'!C14&amp;CHAR(10)&amp;"Unit Type: "&amp;'Float Control'!G14&amp;CHAR(10)&amp;"Unit Size: "&amp;'Float Control'!H14&amp;" ton(s)"</f>
        <v>Condenser ID: 
Unit Type: 
Unit Size:  ton(s)</v>
      </c>
      <c r="D38">
        <f>'Float Control'!J14</f>
        <v>0</v>
      </c>
      <c r="E38" t="s">
        <v>365</v>
      </c>
      <c r="F38" t="e">
        <f t="shared" si="5"/>
        <v>#DIV/0!</v>
      </c>
      <c r="G38" s="296" t="str">
        <f>'Float Control'!Q14</f>
        <v/>
      </c>
      <c r="H38" s="303" t="str">
        <f>'Float Control'!S14</f>
        <v/>
      </c>
      <c r="I38" t="e">
        <f t="shared" si="6"/>
        <v>#VALUE!</v>
      </c>
      <c r="J38" t="str">
        <f>'Float Control'!V14</f>
        <v/>
      </c>
    </row>
    <row r="39" spans="1:10" ht="42.75" x14ac:dyDescent="0.2">
      <c r="A39">
        <v>39</v>
      </c>
      <c r="B39" t="s">
        <v>364</v>
      </c>
      <c r="C39" s="295" t="str">
        <f>"Condenser ID: "&amp;'Float Control'!C15&amp;CHAR(10)&amp;"Unit Type: "&amp;'Float Control'!G15&amp;CHAR(10)&amp;"Unit Size: "&amp;'Float Control'!H15&amp;" ton(s)"</f>
        <v>Condenser ID: 
Unit Type: 
Unit Size:  ton(s)</v>
      </c>
      <c r="D39">
        <f>'Float Control'!J15</f>
        <v>0</v>
      </c>
      <c r="E39" t="s">
        <v>365</v>
      </c>
      <c r="F39" t="e">
        <f t="shared" si="5"/>
        <v>#DIV/0!</v>
      </c>
      <c r="G39" s="296" t="str">
        <f>'Float Control'!Q15</f>
        <v/>
      </c>
      <c r="H39" s="303" t="str">
        <f>'Float Control'!S15</f>
        <v/>
      </c>
      <c r="I39" t="e">
        <f t="shared" si="6"/>
        <v>#VALUE!</v>
      </c>
      <c r="J39" t="str">
        <f>'Float Control'!V15</f>
        <v/>
      </c>
    </row>
    <row r="40" spans="1:10" ht="42.75" x14ac:dyDescent="0.2">
      <c r="A40">
        <v>40</v>
      </c>
      <c r="B40" t="s">
        <v>364</v>
      </c>
      <c r="C40" s="295" t="str">
        <f>"Condenser ID: "&amp;'Float Control'!C16&amp;CHAR(10)&amp;"Unit Type: "&amp;'Float Control'!G16&amp;CHAR(10)&amp;"Unit Size: "&amp;'Float Control'!H16&amp;" ton(s)"</f>
        <v>Condenser ID: 
Unit Type: 
Unit Size:  ton(s)</v>
      </c>
      <c r="D40">
        <f>'Float Control'!J16</f>
        <v>0</v>
      </c>
      <c r="E40" t="s">
        <v>365</v>
      </c>
      <c r="F40" t="e">
        <f t="shared" si="5"/>
        <v>#DIV/0!</v>
      </c>
      <c r="G40" s="296" t="str">
        <f>'Float Control'!Q16</f>
        <v/>
      </c>
      <c r="H40" s="303" t="str">
        <f>'Float Control'!S16</f>
        <v/>
      </c>
      <c r="I40" t="e">
        <f t="shared" si="6"/>
        <v>#VALUE!</v>
      </c>
      <c r="J40" t="str">
        <f>'Float Control'!V16</f>
        <v/>
      </c>
    </row>
    <row r="41" spans="1:10" ht="42.75" x14ac:dyDescent="0.2">
      <c r="A41">
        <v>41</v>
      </c>
      <c r="B41" t="s">
        <v>364</v>
      </c>
      <c r="C41" s="295" t="str">
        <f>"Condenser ID: "&amp;'Float Control'!C17&amp;CHAR(10)&amp;"Unit Type: "&amp;'Float Control'!G17&amp;CHAR(10)&amp;"Unit Size: "&amp;'Float Control'!H17&amp;" ton(s)"</f>
        <v>Condenser ID: 
Unit Type: 
Unit Size:  ton(s)</v>
      </c>
      <c r="D41">
        <f>'Float Control'!J17</f>
        <v>0</v>
      </c>
      <c r="E41" t="s">
        <v>365</v>
      </c>
      <c r="F41" t="e">
        <f t="shared" si="5"/>
        <v>#DIV/0!</v>
      </c>
      <c r="G41" s="296" t="str">
        <f>'Float Control'!Q17</f>
        <v/>
      </c>
      <c r="H41" s="303" t="str">
        <f>'Float Control'!S17</f>
        <v/>
      </c>
      <c r="I41" t="e">
        <f t="shared" si="6"/>
        <v>#VALUE!</v>
      </c>
      <c r="J41" t="str">
        <f>'Float Control'!V17</f>
        <v/>
      </c>
    </row>
    <row r="42" spans="1:10" ht="42.75" x14ac:dyDescent="0.2">
      <c r="A42">
        <v>42</v>
      </c>
      <c r="B42" t="s">
        <v>317</v>
      </c>
      <c r="C42" s="295" t="str">
        <f>"Case ID: "&amp;'Anti Sweat'!C8&amp;CHAR(10)&amp;"Case Type: "&amp;'Anti Sweat'!G8&amp;CHAR(10)&amp;"Control Type: "&amp;'Anti Sweat'!H8</f>
        <v xml:space="preserve">Case ID: 
Case Type: 
Control Type: </v>
      </c>
      <c r="D42">
        <f>'Anti Sweat'!I8</f>
        <v>0</v>
      </c>
      <c r="E42" t="s">
        <v>366</v>
      </c>
      <c r="F42" t="e">
        <f t="shared" si="5"/>
        <v>#REF!</v>
      </c>
      <c r="G42" s="296" t="e">
        <f>'Anti Sweat'!#REF!</f>
        <v>#REF!</v>
      </c>
      <c r="H42" s="303" t="str">
        <f>'Anti Sweat'!N8</f>
        <v/>
      </c>
      <c r="I42" t="e">
        <f t="shared" si="6"/>
        <v>#REF!</v>
      </c>
      <c r="J42" t="str">
        <f>'Anti Sweat'!U8</f>
        <v/>
      </c>
    </row>
    <row r="43" spans="1:10" ht="42.75" x14ac:dyDescent="0.2">
      <c r="A43">
        <v>43</v>
      </c>
      <c r="B43" t="s">
        <v>317</v>
      </c>
      <c r="C43" s="295" t="str">
        <f>"Case ID: "&amp;'Anti Sweat'!C9&amp;CHAR(10)&amp;"Case Type: "&amp;'Anti Sweat'!G9&amp;CHAR(10)&amp;"Control Type: "&amp;'Anti Sweat'!H9</f>
        <v xml:space="preserve">Case ID: 
Case Type: 
Control Type: </v>
      </c>
      <c r="D43">
        <f>'Anti Sweat'!I9</f>
        <v>0</v>
      </c>
      <c r="E43" t="s">
        <v>366</v>
      </c>
      <c r="F43" t="e">
        <f t="shared" si="5"/>
        <v>#REF!</v>
      </c>
      <c r="G43" s="296" t="e">
        <f>'Anti Sweat'!#REF!</f>
        <v>#REF!</v>
      </c>
      <c r="H43" s="303" t="str">
        <f>'Anti Sweat'!N9</f>
        <v/>
      </c>
      <c r="I43" t="e">
        <f t="shared" si="6"/>
        <v>#REF!</v>
      </c>
      <c r="J43" t="str">
        <f>'Anti Sweat'!U9</f>
        <v/>
      </c>
    </row>
    <row r="44" spans="1:10" ht="42.75" x14ac:dyDescent="0.2">
      <c r="A44">
        <v>44</v>
      </c>
      <c r="B44" t="s">
        <v>317</v>
      </c>
      <c r="C44" s="295" t="str">
        <f>"Case ID: "&amp;'Anti Sweat'!C10&amp;CHAR(10)&amp;"Case Type: "&amp;'Anti Sweat'!G10&amp;CHAR(10)&amp;"Control Type: "&amp;'Anti Sweat'!H10</f>
        <v xml:space="preserve">Case ID: 
Case Type: 
Control Type: </v>
      </c>
      <c r="D44">
        <f>'Anti Sweat'!I10</f>
        <v>0</v>
      </c>
      <c r="E44" t="s">
        <v>366</v>
      </c>
      <c r="F44" t="e">
        <f t="shared" si="5"/>
        <v>#REF!</v>
      </c>
      <c r="G44" s="296" t="e">
        <f>'Anti Sweat'!#REF!</f>
        <v>#REF!</v>
      </c>
      <c r="H44" s="303" t="str">
        <f>'Anti Sweat'!N10</f>
        <v/>
      </c>
      <c r="I44" t="e">
        <f t="shared" si="6"/>
        <v>#REF!</v>
      </c>
      <c r="J44" t="str">
        <f>'Anti Sweat'!U10</f>
        <v/>
      </c>
    </row>
    <row r="45" spans="1:10" ht="42.75" x14ac:dyDescent="0.2">
      <c r="A45">
        <v>45</v>
      </c>
      <c r="B45" t="s">
        <v>317</v>
      </c>
      <c r="C45" s="295" t="str">
        <f>"Case ID: "&amp;'Anti Sweat'!C11&amp;CHAR(10)&amp;"Case Type: "&amp;'Anti Sweat'!G11&amp;CHAR(10)&amp;"Control Type: "&amp;'Anti Sweat'!H11</f>
        <v xml:space="preserve">Case ID: 
Case Type: 
Control Type: </v>
      </c>
      <c r="D45">
        <f>'Anti Sweat'!I11</f>
        <v>0</v>
      </c>
      <c r="E45" t="s">
        <v>366</v>
      </c>
      <c r="F45" t="e">
        <f t="shared" si="5"/>
        <v>#REF!</v>
      </c>
      <c r="G45" s="296" t="e">
        <f>'Anti Sweat'!#REF!</f>
        <v>#REF!</v>
      </c>
      <c r="H45" s="303" t="str">
        <f>'Anti Sweat'!N11</f>
        <v/>
      </c>
      <c r="I45" t="e">
        <f t="shared" si="6"/>
        <v>#REF!</v>
      </c>
      <c r="J45" t="str">
        <f>'Anti Sweat'!U11</f>
        <v/>
      </c>
    </row>
    <row r="46" spans="1:10" ht="42.75" x14ac:dyDescent="0.2">
      <c r="A46">
        <v>46</v>
      </c>
      <c r="B46" t="s">
        <v>317</v>
      </c>
      <c r="C46" s="295" t="str">
        <f>"Case ID: "&amp;'Anti Sweat'!C12&amp;CHAR(10)&amp;"Case Type: "&amp;'Anti Sweat'!G12&amp;CHAR(10)&amp;"Control Type: "&amp;'Anti Sweat'!H12</f>
        <v xml:space="preserve">Case ID: 
Case Type: 
Control Type: </v>
      </c>
      <c r="D46">
        <f>'Anti Sweat'!I12</f>
        <v>0</v>
      </c>
      <c r="E46" t="s">
        <v>366</v>
      </c>
      <c r="F46" t="e">
        <f t="shared" si="5"/>
        <v>#REF!</v>
      </c>
      <c r="G46" s="296" t="e">
        <f>'Anti Sweat'!#REF!</f>
        <v>#REF!</v>
      </c>
      <c r="H46" s="303" t="str">
        <f>'Anti Sweat'!N12</f>
        <v/>
      </c>
      <c r="I46" t="e">
        <f t="shared" si="6"/>
        <v>#REF!</v>
      </c>
      <c r="J46" t="str">
        <f>'Anti Sweat'!U12</f>
        <v/>
      </c>
    </row>
    <row r="47" spans="1:10" ht="42.75" x14ac:dyDescent="0.2">
      <c r="A47">
        <v>47</v>
      </c>
      <c r="B47" t="s">
        <v>317</v>
      </c>
      <c r="C47" s="295" t="str">
        <f>"Case ID: "&amp;'Anti Sweat'!C13&amp;CHAR(10)&amp;"Case Type: "&amp;'Anti Sweat'!G13&amp;CHAR(10)&amp;"Control Type: "&amp;'Anti Sweat'!H13</f>
        <v xml:space="preserve">Case ID: 
Case Type: 
Control Type: </v>
      </c>
      <c r="D47">
        <f>'Anti Sweat'!I13</f>
        <v>0</v>
      </c>
      <c r="E47" t="s">
        <v>366</v>
      </c>
      <c r="F47" t="e">
        <f t="shared" si="5"/>
        <v>#REF!</v>
      </c>
      <c r="G47" s="296" t="e">
        <f>'Anti Sweat'!#REF!</f>
        <v>#REF!</v>
      </c>
      <c r="H47" s="303" t="str">
        <f>'Anti Sweat'!N13</f>
        <v/>
      </c>
      <c r="I47" t="e">
        <f t="shared" si="6"/>
        <v>#REF!</v>
      </c>
      <c r="J47" t="str">
        <f>'Anti Sweat'!U13</f>
        <v/>
      </c>
    </row>
    <row r="48" spans="1:10" ht="42.75" x14ac:dyDescent="0.2">
      <c r="A48">
        <v>48</v>
      </c>
      <c r="B48" t="s">
        <v>317</v>
      </c>
      <c r="C48" s="295" t="str">
        <f>"Case ID: "&amp;'Anti Sweat'!C14&amp;CHAR(10)&amp;"Case Type: "&amp;'Anti Sweat'!G14&amp;CHAR(10)&amp;"Control Type: "&amp;'Anti Sweat'!H14</f>
        <v xml:space="preserve">Case ID: 
Case Type: 
Control Type: </v>
      </c>
      <c r="D48">
        <f>'Anti Sweat'!I14</f>
        <v>0</v>
      </c>
      <c r="E48" t="s">
        <v>366</v>
      </c>
      <c r="F48" t="e">
        <f t="shared" si="5"/>
        <v>#REF!</v>
      </c>
      <c r="G48" s="296" t="e">
        <f>'Anti Sweat'!#REF!</f>
        <v>#REF!</v>
      </c>
      <c r="H48" s="303" t="str">
        <f>'Anti Sweat'!N14</f>
        <v/>
      </c>
      <c r="I48" t="e">
        <f t="shared" si="6"/>
        <v>#REF!</v>
      </c>
      <c r="J48" t="str">
        <f>'Anti Sweat'!U14</f>
        <v/>
      </c>
    </row>
    <row r="49" spans="1:10" ht="42.75" x14ac:dyDescent="0.2">
      <c r="A49">
        <v>49</v>
      </c>
      <c r="B49" t="s">
        <v>317</v>
      </c>
      <c r="C49" s="295" t="str">
        <f>"Case ID: "&amp;'Anti Sweat'!C15&amp;CHAR(10)&amp;"Case Type: "&amp;'Anti Sweat'!G15&amp;CHAR(10)&amp;"Control Type: "&amp;'Anti Sweat'!H15</f>
        <v xml:space="preserve">Case ID: 
Case Type: 
Control Type: </v>
      </c>
      <c r="D49">
        <f>'Anti Sweat'!I15</f>
        <v>0</v>
      </c>
      <c r="E49" t="s">
        <v>366</v>
      </c>
      <c r="F49" t="e">
        <f t="shared" si="5"/>
        <v>#REF!</v>
      </c>
      <c r="G49" s="296" t="e">
        <f>'Anti Sweat'!#REF!</f>
        <v>#REF!</v>
      </c>
      <c r="H49" s="303" t="str">
        <f>'Anti Sweat'!N15</f>
        <v/>
      </c>
      <c r="I49" t="e">
        <f t="shared" si="6"/>
        <v>#REF!</v>
      </c>
      <c r="J49" t="str">
        <f>'Anti Sweat'!U15</f>
        <v/>
      </c>
    </row>
    <row r="50" spans="1:10" ht="42.75" x14ac:dyDescent="0.2">
      <c r="A50">
        <v>50</v>
      </c>
      <c r="B50" t="s">
        <v>317</v>
      </c>
      <c r="C50" s="295" t="str">
        <f>"Case ID: "&amp;'Anti Sweat'!C16&amp;CHAR(10)&amp;"Case Type: "&amp;'Anti Sweat'!G16&amp;CHAR(10)&amp;"Control Type: "&amp;'Anti Sweat'!H16</f>
        <v xml:space="preserve">Case ID: 
Case Type: 
Control Type: </v>
      </c>
      <c r="D50">
        <f>'Anti Sweat'!I16</f>
        <v>0</v>
      </c>
      <c r="E50" t="s">
        <v>366</v>
      </c>
      <c r="F50" t="e">
        <f t="shared" si="5"/>
        <v>#REF!</v>
      </c>
      <c r="G50" s="296" t="e">
        <f>'Anti Sweat'!#REF!</f>
        <v>#REF!</v>
      </c>
      <c r="H50" s="303" t="str">
        <f>'Anti Sweat'!N16</f>
        <v/>
      </c>
      <c r="I50" t="e">
        <f t="shared" si="6"/>
        <v>#REF!</v>
      </c>
      <c r="J50" t="str">
        <f>'Anti Sweat'!U16</f>
        <v/>
      </c>
    </row>
    <row r="51" spans="1:10" ht="42.75" x14ac:dyDescent="0.2">
      <c r="A51">
        <v>51</v>
      </c>
      <c r="B51" t="s">
        <v>317</v>
      </c>
      <c r="C51" s="295" t="str">
        <f>"Case ID: "&amp;'Anti Sweat'!C17&amp;CHAR(10)&amp;"Case Type: "&amp;'Anti Sweat'!G17&amp;CHAR(10)&amp;"Control Type: "&amp;'Anti Sweat'!H17</f>
        <v xml:space="preserve">Case ID: 
Case Type: 
Control Type: </v>
      </c>
      <c r="D51">
        <f>'Anti Sweat'!I17</f>
        <v>0</v>
      </c>
      <c r="E51" t="s">
        <v>366</v>
      </c>
      <c r="F51" t="e">
        <f t="shared" si="5"/>
        <v>#REF!</v>
      </c>
      <c r="G51" s="296" t="e">
        <f>'Anti Sweat'!#REF!</f>
        <v>#REF!</v>
      </c>
      <c r="H51" s="303" t="str">
        <f>'Anti Sweat'!N17</f>
        <v/>
      </c>
      <c r="I51" t="e">
        <f t="shared" si="6"/>
        <v>#REF!</v>
      </c>
      <c r="J51" t="str">
        <f>'Anti Sweat'!U17</f>
        <v/>
      </c>
    </row>
    <row r="52" spans="1:10" ht="28.5" x14ac:dyDescent="0.2">
      <c r="A52">
        <v>52</v>
      </c>
      <c r="B52" t="s">
        <v>33</v>
      </c>
      <c r="C52" s="295" t="str">
        <f>"Case ID: "&amp;'Coil Defrost'!C8&amp;CHAR(10)&amp;"Case Type: "&amp;'Coil Defrost'!G8</f>
        <v xml:space="preserve">Case ID: 
Case Type: </v>
      </c>
      <c r="D52">
        <f>'Coil Defrost'!H8</f>
        <v>0</v>
      </c>
      <c r="E52" t="s">
        <v>367</v>
      </c>
      <c r="F52" t="e">
        <f t="shared" si="5"/>
        <v>#DIV/0!</v>
      </c>
      <c r="G52" s="296" t="str">
        <f>'Coil Defrost'!L8</f>
        <v/>
      </c>
      <c r="H52" s="303" t="str">
        <f>'Coil Defrost'!O8</f>
        <v/>
      </c>
      <c r="I52" t="e">
        <f t="shared" si="6"/>
        <v>#VALUE!</v>
      </c>
      <c r="J52" t="str">
        <f>'Coil Defrost'!Q8</f>
        <v/>
      </c>
    </row>
    <row r="53" spans="1:10" ht="28.5" x14ac:dyDescent="0.2">
      <c r="A53">
        <v>53</v>
      </c>
      <c r="B53" t="s">
        <v>33</v>
      </c>
      <c r="C53" s="295" t="str">
        <f>"Case ID: "&amp;'Coil Defrost'!C9&amp;CHAR(10)&amp;"Case Type: "&amp;'Coil Defrost'!G9</f>
        <v xml:space="preserve">Case ID: 
Case Type: </v>
      </c>
      <c r="D53">
        <f>'Coil Defrost'!H9</f>
        <v>0</v>
      </c>
      <c r="E53" t="s">
        <v>367</v>
      </c>
      <c r="F53" t="e">
        <f t="shared" si="5"/>
        <v>#DIV/0!</v>
      </c>
      <c r="G53" s="296" t="str">
        <f>'Coil Defrost'!L9</f>
        <v/>
      </c>
      <c r="H53" s="303" t="str">
        <f>'Coil Defrost'!O9</f>
        <v/>
      </c>
      <c r="I53" t="e">
        <f t="shared" si="6"/>
        <v>#VALUE!</v>
      </c>
      <c r="J53" t="str">
        <f>'Coil Defrost'!Q9</f>
        <v/>
      </c>
    </row>
    <row r="54" spans="1:10" ht="28.5" x14ac:dyDescent="0.2">
      <c r="A54">
        <v>54</v>
      </c>
      <c r="B54" t="s">
        <v>33</v>
      </c>
      <c r="C54" s="295" t="str">
        <f>"Case ID: "&amp;'Coil Defrost'!C10&amp;CHAR(10)&amp;"Case Type: "&amp;'Coil Defrost'!G10</f>
        <v xml:space="preserve">Case ID: 
Case Type: </v>
      </c>
      <c r="D54">
        <f>'Coil Defrost'!H10</f>
        <v>0</v>
      </c>
      <c r="E54" t="s">
        <v>367</v>
      </c>
      <c r="F54" t="e">
        <f t="shared" si="5"/>
        <v>#DIV/0!</v>
      </c>
      <c r="G54" s="296" t="str">
        <f>'Coil Defrost'!L10</f>
        <v/>
      </c>
      <c r="H54" s="303" t="str">
        <f>'Coil Defrost'!O10</f>
        <v/>
      </c>
      <c r="I54" t="e">
        <f t="shared" si="6"/>
        <v>#VALUE!</v>
      </c>
      <c r="J54" t="str">
        <f>'Coil Defrost'!Q10</f>
        <v/>
      </c>
    </row>
    <row r="55" spans="1:10" ht="28.5" x14ac:dyDescent="0.2">
      <c r="A55">
        <v>55</v>
      </c>
      <c r="B55" t="s">
        <v>33</v>
      </c>
      <c r="C55" s="295" t="str">
        <f>"Case ID: "&amp;'Coil Defrost'!C11&amp;CHAR(10)&amp;"Case Type: "&amp;'Coil Defrost'!G11</f>
        <v xml:space="preserve">Case ID: 
Case Type: </v>
      </c>
      <c r="D55">
        <f>'Coil Defrost'!H11</f>
        <v>0</v>
      </c>
      <c r="E55" t="s">
        <v>367</v>
      </c>
      <c r="F55" t="e">
        <f t="shared" si="5"/>
        <v>#DIV/0!</v>
      </c>
      <c r="G55" s="296" t="str">
        <f>'Coil Defrost'!L11</f>
        <v/>
      </c>
      <c r="H55" s="303" t="str">
        <f>'Coil Defrost'!O11</f>
        <v/>
      </c>
      <c r="I55" t="e">
        <f t="shared" si="6"/>
        <v>#VALUE!</v>
      </c>
      <c r="J55" t="str">
        <f>'Coil Defrost'!Q11</f>
        <v/>
      </c>
    </row>
    <row r="56" spans="1:10" ht="28.5" x14ac:dyDescent="0.2">
      <c r="A56">
        <v>56</v>
      </c>
      <c r="B56" t="s">
        <v>33</v>
      </c>
      <c r="C56" s="295" t="str">
        <f>"Case ID: "&amp;'Coil Defrost'!C12&amp;CHAR(10)&amp;"Case Type: "&amp;'Coil Defrost'!G12</f>
        <v xml:space="preserve">Case ID: 
Case Type: </v>
      </c>
      <c r="D56">
        <f>'Coil Defrost'!H12</f>
        <v>0</v>
      </c>
      <c r="E56" t="s">
        <v>367</v>
      </c>
      <c r="F56" t="e">
        <f t="shared" si="5"/>
        <v>#DIV/0!</v>
      </c>
      <c r="G56" s="296" t="str">
        <f>'Coil Defrost'!L12</f>
        <v/>
      </c>
      <c r="H56" s="303" t="str">
        <f>'Coil Defrost'!O12</f>
        <v/>
      </c>
      <c r="I56" t="e">
        <f t="shared" si="6"/>
        <v>#VALUE!</v>
      </c>
      <c r="J56" t="str">
        <f>'Coil Defrost'!Q12</f>
        <v/>
      </c>
    </row>
    <row r="57" spans="1:10" ht="28.5" x14ac:dyDescent="0.2">
      <c r="A57">
        <v>57</v>
      </c>
      <c r="B57" t="s">
        <v>33</v>
      </c>
      <c r="C57" s="295" t="str">
        <f>"Case ID: "&amp;'Coil Defrost'!C13&amp;CHAR(10)&amp;"Case Type: "&amp;'Coil Defrost'!G13</f>
        <v xml:space="preserve">Case ID: 
Case Type: </v>
      </c>
      <c r="D57">
        <f>'Coil Defrost'!H13</f>
        <v>0</v>
      </c>
      <c r="E57" t="s">
        <v>367</v>
      </c>
      <c r="F57" t="e">
        <f t="shared" si="5"/>
        <v>#DIV/0!</v>
      </c>
      <c r="G57" s="296" t="str">
        <f>'Coil Defrost'!L13</f>
        <v/>
      </c>
      <c r="H57" s="303" t="str">
        <f>'Coil Defrost'!O13</f>
        <v/>
      </c>
      <c r="I57" t="e">
        <f t="shared" si="6"/>
        <v>#VALUE!</v>
      </c>
      <c r="J57" t="str">
        <f>'Coil Defrost'!Q13</f>
        <v/>
      </c>
    </row>
    <row r="58" spans="1:10" ht="28.5" x14ac:dyDescent="0.2">
      <c r="A58">
        <v>58</v>
      </c>
      <c r="B58" t="s">
        <v>33</v>
      </c>
      <c r="C58" s="295" t="str">
        <f>"Case ID: "&amp;'Coil Defrost'!C14&amp;CHAR(10)&amp;"Case Type: "&amp;'Coil Defrost'!G14</f>
        <v xml:space="preserve">Case ID: 
Case Type: </v>
      </c>
      <c r="D58">
        <f>'Coil Defrost'!H14</f>
        <v>0</v>
      </c>
      <c r="E58" t="s">
        <v>367</v>
      </c>
      <c r="F58" t="e">
        <f t="shared" si="5"/>
        <v>#DIV/0!</v>
      </c>
      <c r="G58" s="296" t="str">
        <f>'Coil Defrost'!L14</f>
        <v/>
      </c>
      <c r="H58" s="303" t="str">
        <f>'Coil Defrost'!O14</f>
        <v/>
      </c>
      <c r="I58" t="e">
        <f t="shared" si="6"/>
        <v>#VALUE!</v>
      </c>
      <c r="J58" t="str">
        <f>'Coil Defrost'!Q14</f>
        <v/>
      </c>
    </row>
    <row r="59" spans="1:10" ht="28.5" x14ac:dyDescent="0.2">
      <c r="A59">
        <v>59</v>
      </c>
      <c r="B59" t="s">
        <v>33</v>
      </c>
      <c r="C59" s="295" t="str">
        <f>"Case ID: "&amp;'Coil Defrost'!C15&amp;CHAR(10)&amp;"Case Type: "&amp;'Coil Defrost'!G15</f>
        <v xml:space="preserve">Case ID: 
Case Type: </v>
      </c>
      <c r="D59">
        <f>'Coil Defrost'!H15</f>
        <v>0</v>
      </c>
      <c r="E59" t="s">
        <v>367</v>
      </c>
      <c r="F59" t="e">
        <f t="shared" si="5"/>
        <v>#DIV/0!</v>
      </c>
      <c r="G59" s="296" t="str">
        <f>'Coil Defrost'!L15</f>
        <v/>
      </c>
      <c r="H59" s="303" t="str">
        <f>'Coil Defrost'!O15</f>
        <v/>
      </c>
      <c r="I59" t="e">
        <f t="shared" si="6"/>
        <v>#VALUE!</v>
      </c>
      <c r="J59" t="str">
        <f>'Coil Defrost'!Q15</f>
        <v/>
      </c>
    </row>
    <row r="60" spans="1:10" ht="28.5" x14ac:dyDescent="0.2">
      <c r="A60">
        <v>60</v>
      </c>
      <c r="B60" t="s">
        <v>33</v>
      </c>
      <c r="C60" s="295" t="str">
        <f>"Case ID: "&amp;'Coil Defrost'!C16&amp;CHAR(10)&amp;"Case Type: "&amp;'Coil Defrost'!G16</f>
        <v xml:space="preserve">Case ID: 
Case Type: </v>
      </c>
      <c r="D60">
        <f>'Coil Defrost'!H16</f>
        <v>0</v>
      </c>
      <c r="E60" t="s">
        <v>367</v>
      </c>
      <c r="F60" t="e">
        <f t="shared" si="5"/>
        <v>#DIV/0!</v>
      </c>
      <c r="G60" s="296" t="str">
        <f>'Coil Defrost'!L16</f>
        <v/>
      </c>
      <c r="H60" s="303" t="str">
        <f>'Coil Defrost'!O16</f>
        <v/>
      </c>
      <c r="I60" t="e">
        <f t="shared" si="6"/>
        <v>#VALUE!</v>
      </c>
      <c r="J60" t="str">
        <f>'Coil Defrost'!Q16</f>
        <v/>
      </c>
    </row>
    <row r="61" spans="1:10" ht="28.5" x14ac:dyDescent="0.2">
      <c r="A61">
        <v>61</v>
      </c>
      <c r="B61" t="s">
        <v>33</v>
      </c>
      <c r="C61" s="295" t="str">
        <f>"Case ID: "&amp;'Coil Defrost'!C17&amp;CHAR(10)&amp;"Case Type: "&amp;'Coil Defrost'!G17</f>
        <v xml:space="preserve">Case ID: 
Case Type: </v>
      </c>
      <c r="D61">
        <f>'Coil Defrost'!H17</f>
        <v>0</v>
      </c>
      <c r="E61" t="s">
        <v>367</v>
      </c>
      <c r="F61" t="e">
        <f t="shared" si="5"/>
        <v>#DIV/0!</v>
      </c>
      <c r="G61" s="296" t="str">
        <f>'Coil Defrost'!L17</f>
        <v/>
      </c>
      <c r="H61" s="303" t="str">
        <f>'Coil Defrost'!O17</f>
        <v/>
      </c>
      <c r="I61" t="e">
        <f t="shared" si="6"/>
        <v>#VALUE!</v>
      </c>
      <c r="J61" t="str">
        <f>'Coil Defrost'!Q17</f>
        <v/>
      </c>
    </row>
    <row r="62" spans="1:10" ht="28.5" x14ac:dyDescent="0.2">
      <c r="A62">
        <v>62</v>
      </c>
      <c r="B62" t="s">
        <v>34</v>
      </c>
      <c r="C62" s="295" t="str">
        <f>"Compressor ID: "&amp;'VS Ref Comp'!C8&amp;CHAR(10)&amp;"Compressor Size: "&amp;'VS Ref Comp'!H8&amp;" ton(s)"</f>
        <v>Compressor ID: 
Compressor Size:  ton(s)</v>
      </c>
      <c r="D62">
        <f>'VS Ref Comp'!I8</f>
        <v>0</v>
      </c>
      <c r="E62" t="s">
        <v>368</v>
      </c>
      <c r="F62" t="e">
        <f t="shared" si="5"/>
        <v>#DIV/0!</v>
      </c>
      <c r="G62" s="296" t="str">
        <f>'VS Ref Comp'!O8</f>
        <v/>
      </c>
      <c r="H62" s="303" t="str">
        <f>'VS Ref Comp'!R8</f>
        <v/>
      </c>
      <c r="I62" t="e">
        <f t="shared" si="6"/>
        <v>#VALUE!</v>
      </c>
      <c r="J62" t="str">
        <f>'VS Ref Comp'!T8</f>
        <v/>
      </c>
    </row>
    <row r="63" spans="1:10" ht="28.5" x14ac:dyDescent="0.2">
      <c r="A63">
        <v>63</v>
      </c>
      <c r="B63" t="s">
        <v>34</v>
      </c>
      <c r="C63" s="295" t="str">
        <f>"Compressor ID: "&amp;'VS Ref Comp'!C9&amp;CHAR(10)&amp;"Compressor Size: "&amp;'VS Ref Comp'!H9&amp;" ton(s)"</f>
        <v>Compressor ID: 
Compressor Size:  ton(s)</v>
      </c>
      <c r="D63">
        <f>'VS Ref Comp'!I9</f>
        <v>0</v>
      </c>
      <c r="E63" t="s">
        <v>368</v>
      </c>
      <c r="F63" t="e">
        <f t="shared" si="5"/>
        <v>#DIV/0!</v>
      </c>
      <c r="G63" s="296" t="str">
        <f>'VS Ref Comp'!O9</f>
        <v/>
      </c>
      <c r="H63" s="303" t="str">
        <f>'VS Ref Comp'!R9</f>
        <v/>
      </c>
      <c r="I63" t="e">
        <f t="shared" si="6"/>
        <v>#VALUE!</v>
      </c>
      <c r="J63" t="str">
        <f>'VS Ref Comp'!T9</f>
        <v/>
      </c>
    </row>
    <row r="64" spans="1:10" ht="28.5" x14ac:dyDescent="0.2">
      <c r="A64">
        <v>64</v>
      </c>
      <c r="B64" t="s">
        <v>34</v>
      </c>
      <c r="C64" s="295" t="str">
        <f>"Compressor ID: "&amp;'VS Ref Comp'!C10&amp;CHAR(10)&amp;"Compressor Size: "&amp;'VS Ref Comp'!H10&amp;" ton(s)"</f>
        <v>Compressor ID: 
Compressor Size:  ton(s)</v>
      </c>
      <c r="D64">
        <f>'VS Ref Comp'!I10</f>
        <v>0</v>
      </c>
      <c r="E64" t="s">
        <v>368</v>
      </c>
      <c r="F64" t="e">
        <f t="shared" si="5"/>
        <v>#DIV/0!</v>
      </c>
      <c r="G64" s="296" t="str">
        <f>'VS Ref Comp'!O10</f>
        <v/>
      </c>
      <c r="H64" s="303" t="str">
        <f>'VS Ref Comp'!R10</f>
        <v/>
      </c>
      <c r="I64" t="e">
        <f t="shared" si="6"/>
        <v>#VALUE!</v>
      </c>
      <c r="J64" t="str">
        <f>'VS Ref Comp'!T10</f>
        <v/>
      </c>
    </row>
    <row r="65" spans="1:10" ht="28.5" x14ac:dyDescent="0.2">
      <c r="A65">
        <v>65</v>
      </c>
      <c r="B65" t="s">
        <v>34</v>
      </c>
      <c r="C65" s="295" t="str">
        <f>"Compressor ID: "&amp;'VS Ref Comp'!C11&amp;CHAR(10)&amp;"Compressor Size: "&amp;'VS Ref Comp'!H11&amp;" ton(s)"</f>
        <v>Compressor ID: 
Compressor Size:  ton(s)</v>
      </c>
      <c r="D65">
        <f>'VS Ref Comp'!I11</f>
        <v>0</v>
      </c>
      <c r="E65" t="s">
        <v>368</v>
      </c>
      <c r="F65" t="e">
        <f t="shared" si="5"/>
        <v>#DIV/0!</v>
      </c>
      <c r="G65" s="296" t="str">
        <f>'VS Ref Comp'!O11</f>
        <v/>
      </c>
      <c r="H65" s="303" t="str">
        <f>'VS Ref Comp'!R11</f>
        <v/>
      </c>
      <c r="I65" t="e">
        <f t="shared" si="6"/>
        <v>#VALUE!</v>
      </c>
      <c r="J65" t="str">
        <f>'VS Ref Comp'!T11</f>
        <v/>
      </c>
    </row>
    <row r="66" spans="1:10" ht="28.5" x14ac:dyDescent="0.2">
      <c r="A66">
        <v>66</v>
      </c>
      <c r="B66" t="s">
        <v>34</v>
      </c>
      <c r="C66" s="295" t="str">
        <f>"Compressor ID: "&amp;'VS Ref Comp'!C12&amp;CHAR(10)&amp;"Compressor Size: "&amp;'VS Ref Comp'!H12&amp;" ton(s)"</f>
        <v>Compressor ID: 
Compressor Size:  ton(s)</v>
      </c>
      <c r="D66">
        <f>'VS Ref Comp'!I12</f>
        <v>0</v>
      </c>
      <c r="E66" t="s">
        <v>368</v>
      </c>
      <c r="F66" t="e">
        <f t="shared" ref="F66:F97" si="7">IF(G66&gt;0,ProjectCost/COUNTIF(G$2:G$171,"&gt;0"),0)</f>
        <v>#DIV/0!</v>
      </c>
      <c r="G66" s="296" t="str">
        <f>'VS Ref Comp'!O12</f>
        <v/>
      </c>
      <c r="H66" s="303" t="str">
        <f>'VS Ref Comp'!R12</f>
        <v/>
      </c>
      <c r="I66" t="e">
        <f t="shared" ref="I66:I97" si="8">G66*kWh_Rate+H66*kW_Rate</f>
        <v>#VALUE!</v>
      </c>
      <c r="J66" t="str">
        <f>'VS Ref Comp'!T12</f>
        <v/>
      </c>
    </row>
    <row r="67" spans="1:10" ht="28.5" x14ac:dyDescent="0.2">
      <c r="A67">
        <v>67</v>
      </c>
      <c r="B67" t="s">
        <v>34</v>
      </c>
      <c r="C67" s="295" t="str">
        <f>"Compressor ID: "&amp;'VS Ref Comp'!C13&amp;CHAR(10)&amp;"Compressor Size: "&amp;'VS Ref Comp'!H13&amp;" ton(s)"</f>
        <v>Compressor ID: 
Compressor Size:  ton(s)</v>
      </c>
      <c r="D67">
        <f>'VS Ref Comp'!I13</f>
        <v>0</v>
      </c>
      <c r="E67" t="s">
        <v>368</v>
      </c>
      <c r="F67" t="e">
        <f t="shared" si="7"/>
        <v>#DIV/0!</v>
      </c>
      <c r="G67" s="296" t="str">
        <f>'VS Ref Comp'!O13</f>
        <v/>
      </c>
      <c r="H67" s="303" t="str">
        <f>'VS Ref Comp'!R13</f>
        <v/>
      </c>
      <c r="I67" t="e">
        <f t="shared" si="8"/>
        <v>#VALUE!</v>
      </c>
      <c r="J67" t="str">
        <f>'VS Ref Comp'!T13</f>
        <v/>
      </c>
    </row>
    <row r="68" spans="1:10" ht="28.5" x14ac:dyDescent="0.2">
      <c r="A68">
        <v>68</v>
      </c>
      <c r="B68" t="s">
        <v>34</v>
      </c>
      <c r="C68" s="295" t="str">
        <f>"Compressor ID: "&amp;'VS Ref Comp'!C14&amp;CHAR(10)&amp;"Compressor Size: "&amp;'VS Ref Comp'!H14&amp;" ton(s)"</f>
        <v>Compressor ID: 
Compressor Size:  ton(s)</v>
      </c>
      <c r="D68">
        <f>'VS Ref Comp'!I14</f>
        <v>0</v>
      </c>
      <c r="E68" t="s">
        <v>368</v>
      </c>
      <c r="F68" t="e">
        <f t="shared" si="7"/>
        <v>#DIV/0!</v>
      </c>
      <c r="G68" s="296" t="str">
        <f>'VS Ref Comp'!O14</f>
        <v/>
      </c>
      <c r="H68" s="303" t="str">
        <f>'VS Ref Comp'!R14</f>
        <v/>
      </c>
      <c r="I68" t="e">
        <f t="shared" si="8"/>
        <v>#VALUE!</v>
      </c>
      <c r="J68" t="str">
        <f>'VS Ref Comp'!T14</f>
        <v/>
      </c>
    </row>
    <row r="69" spans="1:10" ht="28.5" x14ac:dyDescent="0.2">
      <c r="A69">
        <v>69</v>
      </c>
      <c r="B69" t="s">
        <v>34</v>
      </c>
      <c r="C69" s="295" t="str">
        <f>"Compressor ID: "&amp;'VS Ref Comp'!C15&amp;CHAR(10)&amp;"Compressor Size: "&amp;'VS Ref Comp'!H15&amp;" ton(s)"</f>
        <v>Compressor ID: 
Compressor Size:  ton(s)</v>
      </c>
      <c r="D69">
        <f>'VS Ref Comp'!I15</f>
        <v>0</v>
      </c>
      <c r="E69" t="s">
        <v>368</v>
      </c>
      <c r="F69" t="e">
        <f t="shared" si="7"/>
        <v>#DIV/0!</v>
      </c>
      <c r="G69" s="296" t="str">
        <f>'VS Ref Comp'!O15</f>
        <v/>
      </c>
      <c r="H69" s="303" t="str">
        <f>'VS Ref Comp'!R15</f>
        <v/>
      </c>
      <c r="I69" t="e">
        <f t="shared" si="8"/>
        <v>#VALUE!</v>
      </c>
      <c r="J69" t="str">
        <f>'VS Ref Comp'!T15</f>
        <v/>
      </c>
    </row>
    <row r="70" spans="1:10" ht="28.5" x14ac:dyDescent="0.2">
      <c r="A70">
        <v>70</v>
      </c>
      <c r="B70" t="s">
        <v>34</v>
      </c>
      <c r="C70" s="295" t="str">
        <f>"Compressor ID: "&amp;'VS Ref Comp'!C16&amp;CHAR(10)&amp;"Compressor Size: "&amp;'VS Ref Comp'!H16&amp;" ton(s)"</f>
        <v>Compressor ID: 
Compressor Size:  ton(s)</v>
      </c>
      <c r="D70">
        <f>'VS Ref Comp'!I16</f>
        <v>0</v>
      </c>
      <c r="E70" t="s">
        <v>368</v>
      </c>
      <c r="F70" t="e">
        <f t="shared" si="7"/>
        <v>#DIV/0!</v>
      </c>
      <c r="G70" s="296" t="str">
        <f>'VS Ref Comp'!O16</f>
        <v/>
      </c>
      <c r="H70" s="303" t="str">
        <f>'VS Ref Comp'!R16</f>
        <v/>
      </c>
      <c r="I70" t="e">
        <f t="shared" si="8"/>
        <v>#VALUE!</v>
      </c>
      <c r="J70" t="str">
        <f>'VS Ref Comp'!T16</f>
        <v/>
      </c>
    </row>
    <row r="71" spans="1:10" ht="28.5" x14ac:dyDescent="0.2">
      <c r="A71">
        <v>71</v>
      </c>
      <c r="B71" t="s">
        <v>34</v>
      </c>
      <c r="C71" s="295" t="str">
        <f>"Compressor ID: "&amp;'VS Ref Comp'!C17&amp;CHAR(10)&amp;"Compressor Size: "&amp;'VS Ref Comp'!H17&amp;" ton(s)"</f>
        <v>Compressor ID: 
Compressor Size:  ton(s)</v>
      </c>
      <c r="D71">
        <f>'VS Ref Comp'!I17</f>
        <v>0</v>
      </c>
      <c r="E71" t="s">
        <v>368</v>
      </c>
      <c r="F71" t="e">
        <f t="shared" si="7"/>
        <v>#DIV/0!</v>
      </c>
      <c r="G71" s="296" t="str">
        <f>'VS Ref Comp'!O17</f>
        <v/>
      </c>
      <c r="H71" s="303" t="str">
        <f>'VS Ref Comp'!R17</f>
        <v/>
      </c>
      <c r="I71" t="e">
        <f t="shared" si="8"/>
        <v>#VALUE!</v>
      </c>
      <c r="J71" t="str">
        <f>'VS Ref Comp'!T17</f>
        <v/>
      </c>
    </row>
    <row r="72" spans="1:10" ht="28.5" x14ac:dyDescent="0.2">
      <c r="A72">
        <v>72</v>
      </c>
      <c r="B72" t="s">
        <v>223</v>
      </c>
      <c r="C72" s="295" t="str">
        <f>"Case ID: "&amp;'Strip Curtains'!C8&amp;CHAR(10)&amp;"Case Description: "&amp;'Strip Curtains'!G8</f>
        <v xml:space="preserve">Case ID: 
Case Description: </v>
      </c>
      <c r="D72">
        <f>'Strip Curtains'!H8</f>
        <v>0</v>
      </c>
      <c r="E72" t="s">
        <v>367</v>
      </c>
      <c r="F72" t="e">
        <f t="shared" si="7"/>
        <v>#DIV/0!</v>
      </c>
      <c r="G72" s="296" t="str">
        <f>'Strip Curtains'!J8</f>
        <v/>
      </c>
      <c r="H72" s="303" t="str">
        <f>'Strip Curtains'!M8</f>
        <v/>
      </c>
      <c r="I72" t="e">
        <f t="shared" si="8"/>
        <v>#VALUE!</v>
      </c>
      <c r="J72" t="str">
        <f>'Strip Curtains'!P8</f>
        <v/>
      </c>
    </row>
    <row r="73" spans="1:10" ht="28.5" x14ac:dyDescent="0.2">
      <c r="A73">
        <v>73</v>
      </c>
      <c r="B73" t="s">
        <v>223</v>
      </c>
      <c r="C73" s="295" t="str">
        <f>"Case ID: "&amp;'Strip Curtains'!C9&amp;CHAR(10)&amp;"Case Description: "&amp;'Strip Curtains'!G9</f>
        <v xml:space="preserve">Case ID: 
Case Description: </v>
      </c>
      <c r="D73">
        <f>'Strip Curtains'!H9</f>
        <v>0</v>
      </c>
      <c r="E73" t="s">
        <v>367</v>
      </c>
      <c r="F73" t="e">
        <f t="shared" si="7"/>
        <v>#DIV/0!</v>
      </c>
      <c r="G73" s="296" t="str">
        <f>'Strip Curtains'!J9</f>
        <v/>
      </c>
      <c r="H73" s="303" t="str">
        <f>'Strip Curtains'!M9</f>
        <v/>
      </c>
      <c r="I73" t="e">
        <f t="shared" si="8"/>
        <v>#VALUE!</v>
      </c>
      <c r="J73" t="str">
        <f>'Strip Curtains'!P9</f>
        <v/>
      </c>
    </row>
    <row r="74" spans="1:10" ht="28.5" x14ac:dyDescent="0.2">
      <c r="A74">
        <v>74</v>
      </c>
      <c r="B74" t="s">
        <v>223</v>
      </c>
      <c r="C74" s="295" t="str">
        <f>"Case ID: "&amp;'Strip Curtains'!C10&amp;CHAR(10)&amp;"Case Description: "&amp;'Strip Curtains'!G10</f>
        <v xml:space="preserve">Case ID: 
Case Description: </v>
      </c>
      <c r="D74">
        <f>'Strip Curtains'!H10</f>
        <v>0</v>
      </c>
      <c r="E74" t="s">
        <v>367</v>
      </c>
      <c r="F74" t="e">
        <f t="shared" si="7"/>
        <v>#DIV/0!</v>
      </c>
      <c r="G74" s="296" t="str">
        <f>'Strip Curtains'!J10</f>
        <v/>
      </c>
      <c r="H74" s="303" t="str">
        <f>'Strip Curtains'!M10</f>
        <v/>
      </c>
      <c r="I74" t="e">
        <f t="shared" si="8"/>
        <v>#VALUE!</v>
      </c>
      <c r="J74" t="str">
        <f>'Strip Curtains'!P10</f>
        <v/>
      </c>
    </row>
    <row r="75" spans="1:10" ht="28.5" x14ac:dyDescent="0.2">
      <c r="A75">
        <v>75</v>
      </c>
      <c r="B75" t="s">
        <v>223</v>
      </c>
      <c r="C75" s="295" t="str">
        <f>"Case ID: "&amp;'Strip Curtains'!C11&amp;CHAR(10)&amp;"Case Description: "&amp;'Strip Curtains'!G11</f>
        <v xml:space="preserve">Case ID: 
Case Description: </v>
      </c>
      <c r="D75">
        <f>'Strip Curtains'!H11</f>
        <v>0</v>
      </c>
      <c r="E75" t="s">
        <v>367</v>
      </c>
      <c r="F75" t="e">
        <f t="shared" si="7"/>
        <v>#DIV/0!</v>
      </c>
      <c r="G75" s="296" t="str">
        <f>'Strip Curtains'!J11</f>
        <v/>
      </c>
      <c r="H75" s="303" t="str">
        <f>'Strip Curtains'!M11</f>
        <v/>
      </c>
      <c r="I75" t="e">
        <f t="shared" si="8"/>
        <v>#VALUE!</v>
      </c>
      <c r="J75" t="str">
        <f>'Strip Curtains'!P11</f>
        <v/>
      </c>
    </row>
    <row r="76" spans="1:10" ht="28.5" x14ac:dyDescent="0.2">
      <c r="A76">
        <v>76</v>
      </c>
      <c r="B76" t="s">
        <v>223</v>
      </c>
      <c r="C76" s="295" t="str">
        <f>"Case ID: "&amp;'Strip Curtains'!C12&amp;CHAR(10)&amp;"Case Description: "&amp;'Strip Curtains'!G12</f>
        <v xml:space="preserve">Case ID: 
Case Description: </v>
      </c>
      <c r="D76">
        <f>'Strip Curtains'!H12</f>
        <v>0</v>
      </c>
      <c r="E76" t="s">
        <v>367</v>
      </c>
      <c r="F76" t="e">
        <f t="shared" si="7"/>
        <v>#DIV/0!</v>
      </c>
      <c r="G76" s="296" t="str">
        <f>'Strip Curtains'!J12</f>
        <v/>
      </c>
      <c r="H76" s="303" t="str">
        <f>'Strip Curtains'!M12</f>
        <v/>
      </c>
      <c r="I76" t="e">
        <f t="shared" si="8"/>
        <v>#VALUE!</v>
      </c>
      <c r="J76" t="str">
        <f>'Strip Curtains'!P12</f>
        <v/>
      </c>
    </row>
    <row r="77" spans="1:10" ht="28.5" x14ac:dyDescent="0.2">
      <c r="A77">
        <v>77</v>
      </c>
      <c r="B77" t="s">
        <v>223</v>
      </c>
      <c r="C77" s="295" t="str">
        <f>"Case ID: "&amp;'Strip Curtains'!C13&amp;CHAR(10)&amp;"Case Description: "&amp;'Strip Curtains'!G13</f>
        <v xml:space="preserve">Case ID: 
Case Description: </v>
      </c>
      <c r="D77">
        <f>'Strip Curtains'!H13</f>
        <v>0</v>
      </c>
      <c r="E77" t="s">
        <v>367</v>
      </c>
      <c r="F77" t="e">
        <f t="shared" si="7"/>
        <v>#DIV/0!</v>
      </c>
      <c r="G77" s="296" t="str">
        <f>'Strip Curtains'!J13</f>
        <v/>
      </c>
      <c r="H77" s="303" t="str">
        <f>'Strip Curtains'!M13</f>
        <v/>
      </c>
      <c r="I77" t="e">
        <f t="shared" si="8"/>
        <v>#VALUE!</v>
      </c>
      <c r="J77" t="str">
        <f>'Strip Curtains'!P13</f>
        <v/>
      </c>
    </row>
    <row r="78" spans="1:10" ht="28.5" x14ac:dyDescent="0.2">
      <c r="A78">
        <v>78</v>
      </c>
      <c r="B78" t="s">
        <v>223</v>
      </c>
      <c r="C78" s="295" t="str">
        <f>"Case ID: "&amp;'Strip Curtains'!C14&amp;CHAR(10)&amp;"Case Description: "&amp;'Strip Curtains'!G14</f>
        <v xml:space="preserve">Case ID: 
Case Description: </v>
      </c>
      <c r="D78">
        <f>'Strip Curtains'!H14</f>
        <v>0</v>
      </c>
      <c r="E78" t="s">
        <v>367</v>
      </c>
      <c r="F78" t="e">
        <f t="shared" si="7"/>
        <v>#DIV/0!</v>
      </c>
      <c r="G78" s="296" t="str">
        <f>'Strip Curtains'!J14</f>
        <v/>
      </c>
      <c r="H78" s="303" t="str">
        <f>'Strip Curtains'!M14</f>
        <v/>
      </c>
      <c r="I78" t="e">
        <f t="shared" si="8"/>
        <v>#VALUE!</v>
      </c>
      <c r="J78" t="str">
        <f>'Strip Curtains'!P14</f>
        <v/>
      </c>
    </row>
    <row r="79" spans="1:10" ht="28.5" x14ac:dyDescent="0.2">
      <c r="A79">
        <v>79</v>
      </c>
      <c r="B79" t="s">
        <v>223</v>
      </c>
      <c r="C79" s="295" t="str">
        <f>"Case ID: "&amp;'Strip Curtains'!C15&amp;CHAR(10)&amp;"Case Description: "&amp;'Strip Curtains'!G15</f>
        <v xml:space="preserve">Case ID: 
Case Description: </v>
      </c>
      <c r="D79">
        <f>'Strip Curtains'!H15</f>
        <v>0</v>
      </c>
      <c r="E79" t="s">
        <v>367</v>
      </c>
      <c r="F79" t="e">
        <f t="shared" si="7"/>
        <v>#DIV/0!</v>
      </c>
      <c r="G79" s="296" t="str">
        <f>'Strip Curtains'!J15</f>
        <v/>
      </c>
      <c r="H79" s="303" t="str">
        <f>'Strip Curtains'!M15</f>
        <v/>
      </c>
      <c r="I79" t="e">
        <f t="shared" si="8"/>
        <v>#VALUE!</v>
      </c>
      <c r="J79" t="str">
        <f>'Strip Curtains'!P15</f>
        <v/>
      </c>
    </row>
    <row r="80" spans="1:10" ht="28.5" x14ac:dyDescent="0.2">
      <c r="A80">
        <v>80</v>
      </c>
      <c r="B80" t="s">
        <v>223</v>
      </c>
      <c r="C80" s="295" t="str">
        <f>"Case ID: "&amp;'Strip Curtains'!C16&amp;CHAR(10)&amp;"Case Description: "&amp;'Strip Curtains'!G16</f>
        <v xml:space="preserve">Case ID: 
Case Description: </v>
      </c>
      <c r="D80">
        <f>'Strip Curtains'!H16</f>
        <v>0</v>
      </c>
      <c r="E80" t="s">
        <v>367</v>
      </c>
      <c r="F80" t="e">
        <f t="shared" si="7"/>
        <v>#DIV/0!</v>
      </c>
      <c r="G80" s="296" t="str">
        <f>'Strip Curtains'!J16</f>
        <v/>
      </c>
      <c r="H80" s="303" t="str">
        <f>'Strip Curtains'!M16</f>
        <v/>
      </c>
      <c r="I80" t="e">
        <f t="shared" si="8"/>
        <v>#VALUE!</v>
      </c>
      <c r="J80" t="str">
        <f>'Strip Curtains'!P16</f>
        <v/>
      </c>
    </row>
    <row r="81" spans="1:10" ht="28.5" x14ac:dyDescent="0.2">
      <c r="A81">
        <v>81</v>
      </c>
      <c r="B81" t="s">
        <v>223</v>
      </c>
      <c r="C81" s="295" t="str">
        <f>"Case ID: "&amp;'Strip Curtains'!C17&amp;CHAR(10)&amp;"Case Description: "&amp;'Strip Curtains'!G17</f>
        <v xml:space="preserve">Case ID: 
Case Description: </v>
      </c>
      <c r="D81">
        <f>'Strip Curtains'!H17</f>
        <v>0</v>
      </c>
      <c r="E81" t="s">
        <v>367</v>
      </c>
      <c r="F81" t="e">
        <f t="shared" si="7"/>
        <v>#DIV/0!</v>
      </c>
      <c r="G81" s="296" t="str">
        <f>'Strip Curtains'!J17</f>
        <v/>
      </c>
      <c r="H81" s="303" t="str">
        <f>'Strip Curtains'!M17</f>
        <v/>
      </c>
      <c r="I81" t="e">
        <f t="shared" si="8"/>
        <v>#VALUE!</v>
      </c>
      <c r="J81" t="str">
        <f>'Strip Curtains'!P17</f>
        <v/>
      </c>
    </row>
    <row r="82" spans="1:10" ht="28.5" customHeight="1" x14ac:dyDescent="0.2">
      <c r="A82">
        <v>82</v>
      </c>
      <c r="B82" t="s">
        <v>224</v>
      </c>
      <c r="C82" s="295" t="str">
        <f>"Case ID: "&amp;'Night Covers'!C8&amp;CHAR(10)&amp;"Case Description: "&amp;'Night Covers'!J8</f>
        <v xml:space="preserve">Case ID: 
Case Description: </v>
      </c>
      <c r="D82">
        <f>'Night Covers'!L8</f>
        <v>0</v>
      </c>
      <c r="E82" t="s">
        <v>367</v>
      </c>
      <c r="F82" t="e">
        <f t="shared" si="7"/>
        <v>#DIV/0!</v>
      </c>
      <c r="G82" s="296" t="str">
        <f>'Night Covers'!R8</f>
        <v/>
      </c>
      <c r="H82" s="303" t="str">
        <f>'Night Covers'!U8</f>
        <v/>
      </c>
      <c r="I82" t="e">
        <f t="shared" si="8"/>
        <v>#VALUE!</v>
      </c>
      <c r="J82" t="str">
        <f>'Night Covers'!W8</f>
        <v/>
      </c>
    </row>
    <row r="83" spans="1:10" ht="28.5" customHeight="1" x14ac:dyDescent="0.2">
      <c r="A83">
        <v>83</v>
      </c>
      <c r="B83" t="s">
        <v>224</v>
      </c>
      <c r="C83" s="295" t="str">
        <f>"Case ID: "&amp;'Night Covers'!C9&amp;CHAR(10)&amp;"Case Description: "&amp;'Night Covers'!J9</f>
        <v xml:space="preserve">Case ID: 
Case Description: </v>
      </c>
      <c r="D83">
        <f>'Night Covers'!L9</f>
        <v>0</v>
      </c>
      <c r="E83" t="s">
        <v>367</v>
      </c>
      <c r="F83" t="e">
        <f t="shared" si="7"/>
        <v>#DIV/0!</v>
      </c>
      <c r="G83" s="296" t="str">
        <f>'Night Covers'!R9</f>
        <v/>
      </c>
      <c r="H83" s="303" t="str">
        <f>'Night Covers'!U9</f>
        <v/>
      </c>
      <c r="I83" t="e">
        <f t="shared" si="8"/>
        <v>#VALUE!</v>
      </c>
      <c r="J83" t="str">
        <f>'Night Covers'!W9</f>
        <v/>
      </c>
    </row>
    <row r="84" spans="1:10" ht="28.5" customHeight="1" x14ac:dyDescent="0.2">
      <c r="A84">
        <v>84</v>
      </c>
      <c r="B84" t="s">
        <v>224</v>
      </c>
      <c r="C84" s="295" t="str">
        <f>"Case ID: "&amp;'Night Covers'!C10&amp;CHAR(10)&amp;"Case Description: "&amp;'Night Covers'!J10</f>
        <v xml:space="preserve">Case ID: 
Case Description: </v>
      </c>
      <c r="D84">
        <f>'Night Covers'!L10</f>
        <v>0</v>
      </c>
      <c r="E84" t="s">
        <v>367</v>
      </c>
      <c r="F84" t="e">
        <f t="shared" si="7"/>
        <v>#DIV/0!</v>
      </c>
      <c r="G84" s="296" t="str">
        <f>'Night Covers'!R10</f>
        <v/>
      </c>
      <c r="H84" s="303" t="str">
        <f>'Night Covers'!U10</f>
        <v/>
      </c>
      <c r="I84" t="e">
        <f t="shared" si="8"/>
        <v>#VALUE!</v>
      </c>
      <c r="J84" t="str">
        <f>'Night Covers'!W10</f>
        <v/>
      </c>
    </row>
    <row r="85" spans="1:10" ht="28.5" customHeight="1" x14ac:dyDescent="0.2">
      <c r="A85">
        <v>85</v>
      </c>
      <c r="B85" t="s">
        <v>224</v>
      </c>
      <c r="C85" s="295" t="str">
        <f>"Case ID: "&amp;'Night Covers'!C11&amp;CHAR(10)&amp;"Case Description: "&amp;'Night Covers'!J11</f>
        <v xml:space="preserve">Case ID: 
Case Description: </v>
      </c>
      <c r="D85">
        <f>'Night Covers'!L11</f>
        <v>0</v>
      </c>
      <c r="E85" t="s">
        <v>367</v>
      </c>
      <c r="F85" t="e">
        <f t="shared" si="7"/>
        <v>#DIV/0!</v>
      </c>
      <c r="G85" s="296" t="str">
        <f>'Night Covers'!R11</f>
        <v/>
      </c>
      <c r="H85" s="303" t="str">
        <f>'Night Covers'!U11</f>
        <v/>
      </c>
      <c r="I85" t="e">
        <f t="shared" si="8"/>
        <v>#VALUE!</v>
      </c>
      <c r="J85" t="str">
        <f>'Night Covers'!W11</f>
        <v/>
      </c>
    </row>
    <row r="86" spans="1:10" ht="28.5" customHeight="1" x14ac:dyDescent="0.2">
      <c r="A86">
        <v>86</v>
      </c>
      <c r="B86" t="s">
        <v>224</v>
      </c>
      <c r="C86" s="295" t="str">
        <f>"Case ID: "&amp;'Night Covers'!C12&amp;CHAR(10)&amp;"Case Description: "&amp;'Night Covers'!J12</f>
        <v xml:space="preserve">Case ID: 
Case Description: </v>
      </c>
      <c r="D86">
        <f>'Night Covers'!L12</f>
        <v>0</v>
      </c>
      <c r="E86" t="s">
        <v>367</v>
      </c>
      <c r="F86" t="e">
        <f t="shared" si="7"/>
        <v>#DIV/0!</v>
      </c>
      <c r="G86" s="296" t="str">
        <f>'Night Covers'!R12</f>
        <v/>
      </c>
      <c r="H86" s="303" t="str">
        <f>'Night Covers'!U12</f>
        <v/>
      </c>
      <c r="I86" t="e">
        <f t="shared" si="8"/>
        <v>#VALUE!</v>
      </c>
      <c r="J86" t="str">
        <f>'Night Covers'!W12</f>
        <v/>
      </c>
    </row>
    <row r="87" spans="1:10" ht="28.5" customHeight="1" x14ac:dyDescent="0.2">
      <c r="A87">
        <v>87</v>
      </c>
      <c r="B87" t="s">
        <v>224</v>
      </c>
      <c r="C87" s="295" t="str">
        <f>"Case ID: "&amp;'Night Covers'!C13&amp;CHAR(10)&amp;"Case Description: "&amp;'Night Covers'!J13</f>
        <v xml:space="preserve">Case ID: 
Case Description: </v>
      </c>
      <c r="D87">
        <f>'Night Covers'!L13</f>
        <v>0</v>
      </c>
      <c r="E87" t="s">
        <v>367</v>
      </c>
      <c r="F87" t="e">
        <f t="shared" si="7"/>
        <v>#DIV/0!</v>
      </c>
      <c r="G87" s="296" t="str">
        <f>'Night Covers'!R13</f>
        <v/>
      </c>
      <c r="H87" s="303" t="str">
        <f>'Night Covers'!U13</f>
        <v/>
      </c>
      <c r="I87" t="e">
        <f t="shared" si="8"/>
        <v>#VALUE!</v>
      </c>
      <c r="J87" t="str">
        <f>'Night Covers'!W13</f>
        <v/>
      </c>
    </row>
    <row r="88" spans="1:10" ht="28.5" customHeight="1" x14ac:dyDescent="0.2">
      <c r="A88">
        <v>88</v>
      </c>
      <c r="B88" t="s">
        <v>224</v>
      </c>
      <c r="C88" s="295" t="str">
        <f>"Case ID: "&amp;'Night Covers'!C14&amp;CHAR(10)&amp;"Case Description: "&amp;'Night Covers'!J14</f>
        <v xml:space="preserve">Case ID: 
Case Description: </v>
      </c>
      <c r="D88">
        <f>'Night Covers'!L14</f>
        <v>0</v>
      </c>
      <c r="E88" t="s">
        <v>367</v>
      </c>
      <c r="F88" t="e">
        <f t="shared" si="7"/>
        <v>#DIV/0!</v>
      </c>
      <c r="G88" s="296" t="str">
        <f>'Night Covers'!R14</f>
        <v/>
      </c>
      <c r="H88" s="303" t="str">
        <f>'Night Covers'!U14</f>
        <v/>
      </c>
      <c r="I88" t="e">
        <f t="shared" si="8"/>
        <v>#VALUE!</v>
      </c>
      <c r="J88" t="str">
        <f>'Night Covers'!W14</f>
        <v/>
      </c>
    </row>
    <row r="89" spans="1:10" ht="28.5" customHeight="1" x14ac:dyDescent="0.2">
      <c r="A89">
        <v>89</v>
      </c>
      <c r="B89" t="s">
        <v>224</v>
      </c>
      <c r="C89" s="295" t="str">
        <f>"Case ID: "&amp;'Night Covers'!C15&amp;CHAR(10)&amp;"Case Description: "&amp;'Night Covers'!J15</f>
        <v xml:space="preserve">Case ID: 
Case Description: </v>
      </c>
      <c r="D89">
        <f>'Night Covers'!L15</f>
        <v>0</v>
      </c>
      <c r="E89" t="s">
        <v>367</v>
      </c>
      <c r="F89" t="e">
        <f t="shared" si="7"/>
        <v>#DIV/0!</v>
      </c>
      <c r="G89" s="296" t="str">
        <f>'Night Covers'!R15</f>
        <v/>
      </c>
      <c r="H89" s="303" t="str">
        <f>'Night Covers'!U15</f>
        <v/>
      </c>
      <c r="I89" t="e">
        <f t="shared" si="8"/>
        <v>#VALUE!</v>
      </c>
      <c r="J89" t="str">
        <f>'Night Covers'!W15</f>
        <v/>
      </c>
    </row>
    <row r="90" spans="1:10" ht="28.5" customHeight="1" x14ac:dyDescent="0.2">
      <c r="A90">
        <v>90</v>
      </c>
      <c r="B90" t="s">
        <v>224</v>
      </c>
      <c r="C90" s="295" t="str">
        <f>"Case ID: "&amp;'Night Covers'!C16&amp;CHAR(10)&amp;"Case Description: "&amp;'Night Covers'!J16</f>
        <v xml:space="preserve">Case ID: 
Case Description: </v>
      </c>
      <c r="D90">
        <f>'Night Covers'!L16</f>
        <v>0</v>
      </c>
      <c r="E90" t="s">
        <v>367</v>
      </c>
      <c r="F90" t="e">
        <f t="shared" si="7"/>
        <v>#DIV/0!</v>
      </c>
      <c r="G90" s="296" t="str">
        <f>'Night Covers'!R16</f>
        <v/>
      </c>
      <c r="H90" s="303" t="str">
        <f>'Night Covers'!U16</f>
        <v/>
      </c>
      <c r="I90" t="e">
        <f t="shared" si="8"/>
        <v>#VALUE!</v>
      </c>
      <c r="J90" t="str">
        <f>'Night Covers'!W16</f>
        <v/>
      </c>
    </row>
    <row r="91" spans="1:10" ht="28.5" customHeight="1" x14ac:dyDescent="0.2">
      <c r="A91">
        <v>91</v>
      </c>
      <c r="B91" t="s">
        <v>224</v>
      </c>
      <c r="C91" s="295" t="str">
        <f>"Case ID: "&amp;'Night Covers'!C17&amp;CHAR(10)&amp;"Case Description: "&amp;'Night Covers'!J17</f>
        <v xml:space="preserve">Case ID: 
Case Description: </v>
      </c>
      <c r="D91">
        <f>'Night Covers'!L17</f>
        <v>0</v>
      </c>
      <c r="E91" t="s">
        <v>367</v>
      </c>
      <c r="F91" t="e">
        <f t="shared" si="7"/>
        <v>#DIV/0!</v>
      </c>
      <c r="G91" s="296" t="str">
        <f>'Night Covers'!R17</f>
        <v/>
      </c>
      <c r="H91" s="303" t="str">
        <f>'Night Covers'!U17</f>
        <v/>
      </c>
      <c r="I91" t="e">
        <f t="shared" si="8"/>
        <v>#VALUE!</v>
      </c>
      <c r="J91" t="str">
        <f>'Night Covers'!W17</f>
        <v/>
      </c>
    </row>
    <row r="92" spans="1:10" ht="28.5" x14ac:dyDescent="0.2">
      <c r="A92">
        <v>92</v>
      </c>
      <c r="B92" t="s">
        <v>369</v>
      </c>
      <c r="C92" s="295" t="str">
        <f>"Case ID: "&amp;'Auto Closer'!C8&amp;CHAR(10)&amp;"Case Description: "&amp;'Auto Closer'!G8</f>
        <v xml:space="preserve">Case ID: 
Case Description: </v>
      </c>
      <c r="D92">
        <f>'Auto Closer'!H8</f>
        <v>0</v>
      </c>
      <c r="E92" t="s">
        <v>367</v>
      </c>
      <c r="F92" t="e">
        <f t="shared" si="7"/>
        <v>#DIV/0!</v>
      </c>
      <c r="G92" s="296" t="str">
        <f>'Auto Closer'!L8</f>
        <v/>
      </c>
      <c r="H92" s="303" t="str">
        <f>'Auto Closer'!O8</f>
        <v/>
      </c>
      <c r="I92" t="e">
        <f t="shared" si="8"/>
        <v>#VALUE!</v>
      </c>
      <c r="J92" t="str">
        <f>'Auto Closer'!Q8</f>
        <v/>
      </c>
    </row>
    <row r="93" spans="1:10" ht="28.5" x14ac:dyDescent="0.2">
      <c r="A93">
        <v>93</v>
      </c>
      <c r="B93" t="s">
        <v>369</v>
      </c>
      <c r="C93" s="295" t="str">
        <f>"Case ID: "&amp;'Auto Closer'!C9&amp;CHAR(10)&amp;"Case Description: "&amp;'Auto Closer'!G9</f>
        <v xml:space="preserve">Case ID: 
Case Description: </v>
      </c>
      <c r="D93">
        <f>'Auto Closer'!H9</f>
        <v>0</v>
      </c>
      <c r="E93" t="s">
        <v>367</v>
      </c>
      <c r="F93" t="e">
        <f t="shared" si="7"/>
        <v>#DIV/0!</v>
      </c>
      <c r="G93" s="296" t="str">
        <f>'Auto Closer'!L9</f>
        <v/>
      </c>
      <c r="H93" s="303" t="str">
        <f>'Auto Closer'!O9</f>
        <v/>
      </c>
      <c r="I93" t="e">
        <f t="shared" si="8"/>
        <v>#VALUE!</v>
      </c>
      <c r="J93" t="str">
        <f>'Auto Closer'!Q9</f>
        <v/>
      </c>
    </row>
    <row r="94" spans="1:10" ht="28.5" x14ac:dyDescent="0.2">
      <c r="A94">
        <v>94</v>
      </c>
      <c r="B94" t="s">
        <v>369</v>
      </c>
      <c r="C94" s="295" t="str">
        <f>"Case ID: "&amp;'Auto Closer'!C10&amp;CHAR(10)&amp;"Case Description: "&amp;'Auto Closer'!G10</f>
        <v xml:space="preserve">Case ID: 
Case Description: </v>
      </c>
      <c r="D94">
        <f>'Auto Closer'!H10</f>
        <v>0</v>
      </c>
      <c r="E94" t="s">
        <v>367</v>
      </c>
      <c r="F94" t="e">
        <f t="shared" si="7"/>
        <v>#DIV/0!</v>
      </c>
      <c r="G94" s="296" t="str">
        <f>'Auto Closer'!L10</f>
        <v/>
      </c>
      <c r="H94" s="303" t="str">
        <f>'Auto Closer'!O10</f>
        <v/>
      </c>
      <c r="I94" t="e">
        <f t="shared" si="8"/>
        <v>#VALUE!</v>
      </c>
      <c r="J94" t="str">
        <f>'Auto Closer'!Q10</f>
        <v/>
      </c>
    </row>
    <row r="95" spans="1:10" ht="28.5" x14ac:dyDescent="0.2">
      <c r="A95">
        <v>95</v>
      </c>
      <c r="B95" t="s">
        <v>369</v>
      </c>
      <c r="C95" s="295" t="str">
        <f>"Case ID: "&amp;'Auto Closer'!C11&amp;CHAR(10)&amp;"Case Description: "&amp;'Auto Closer'!G11</f>
        <v xml:space="preserve">Case ID: 
Case Description: </v>
      </c>
      <c r="D95">
        <f>'Auto Closer'!H11</f>
        <v>0</v>
      </c>
      <c r="E95" t="s">
        <v>367</v>
      </c>
      <c r="F95" t="e">
        <f t="shared" si="7"/>
        <v>#DIV/0!</v>
      </c>
      <c r="G95" s="296" t="str">
        <f>'Auto Closer'!L11</f>
        <v/>
      </c>
      <c r="H95" s="303" t="str">
        <f>'Auto Closer'!O11</f>
        <v/>
      </c>
      <c r="I95" t="e">
        <f t="shared" si="8"/>
        <v>#VALUE!</v>
      </c>
      <c r="J95" t="str">
        <f>'Auto Closer'!Q11</f>
        <v/>
      </c>
    </row>
    <row r="96" spans="1:10" ht="28.5" x14ac:dyDescent="0.2">
      <c r="A96">
        <v>96</v>
      </c>
      <c r="B96" t="s">
        <v>369</v>
      </c>
      <c r="C96" s="295" t="str">
        <f>"Case ID: "&amp;'Auto Closer'!C12&amp;CHAR(10)&amp;"Case Description: "&amp;'Auto Closer'!G12</f>
        <v xml:space="preserve">Case ID: 
Case Description: </v>
      </c>
      <c r="D96">
        <f>'Auto Closer'!H12</f>
        <v>0</v>
      </c>
      <c r="E96" t="s">
        <v>367</v>
      </c>
      <c r="F96" t="e">
        <f t="shared" si="7"/>
        <v>#DIV/0!</v>
      </c>
      <c r="G96" s="296" t="str">
        <f>'Auto Closer'!L12</f>
        <v/>
      </c>
      <c r="H96" s="303" t="str">
        <f>'Auto Closer'!O12</f>
        <v/>
      </c>
      <c r="I96" t="e">
        <f t="shared" si="8"/>
        <v>#VALUE!</v>
      </c>
      <c r="J96" t="str">
        <f>'Auto Closer'!Q12</f>
        <v/>
      </c>
    </row>
    <row r="97" spans="1:10" ht="28.5" x14ac:dyDescent="0.2">
      <c r="A97">
        <v>97</v>
      </c>
      <c r="B97" t="s">
        <v>369</v>
      </c>
      <c r="C97" s="295" t="str">
        <f>"Case ID: "&amp;'Auto Closer'!C13&amp;CHAR(10)&amp;"Case Description: "&amp;'Auto Closer'!G13</f>
        <v xml:space="preserve">Case ID: 
Case Description: </v>
      </c>
      <c r="D97">
        <f>'Auto Closer'!H13</f>
        <v>0</v>
      </c>
      <c r="E97" t="s">
        <v>367</v>
      </c>
      <c r="F97" t="e">
        <f t="shared" si="7"/>
        <v>#DIV/0!</v>
      </c>
      <c r="G97" s="296" t="str">
        <f>'Auto Closer'!L13</f>
        <v/>
      </c>
      <c r="H97" s="303" t="str">
        <f>'Auto Closer'!O13</f>
        <v/>
      </c>
      <c r="I97" t="e">
        <f t="shared" si="8"/>
        <v>#VALUE!</v>
      </c>
      <c r="J97" t="str">
        <f>'Auto Closer'!Q13</f>
        <v/>
      </c>
    </row>
    <row r="98" spans="1:10" ht="28.5" x14ac:dyDescent="0.2">
      <c r="A98">
        <v>98</v>
      </c>
      <c r="B98" t="s">
        <v>369</v>
      </c>
      <c r="C98" s="295" t="str">
        <f>"Case ID: "&amp;'Auto Closer'!C14&amp;CHAR(10)&amp;"Case Description: "&amp;'Auto Closer'!G14</f>
        <v xml:space="preserve">Case ID: 
Case Description: </v>
      </c>
      <c r="D98">
        <f>'Auto Closer'!H14</f>
        <v>0</v>
      </c>
      <c r="E98" t="s">
        <v>367</v>
      </c>
      <c r="F98" t="e">
        <f t="shared" ref="F98:F129" si="9">IF(G98&gt;0,ProjectCost/COUNTIF(G$2:G$171,"&gt;0"),0)</f>
        <v>#DIV/0!</v>
      </c>
      <c r="G98" s="296" t="str">
        <f>'Auto Closer'!L14</f>
        <v/>
      </c>
      <c r="H98" s="303" t="str">
        <f>'Auto Closer'!O14</f>
        <v/>
      </c>
      <c r="I98" t="e">
        <f t="shared" ref="I98:I129" si="10">G98*kWh_Rate+H98*kW_Rate</f>
        <v>#VALUE!</v>
      </c>
      <c r="J98" t="str">
        <f>'Auto Closer'!Q14</f>
        <v/>
      </c>
    </row>
    <row r="99" spans="1:10" ht="28.5" x14ac:dyDescent="0.2">
      <c r="A99">
        <v>99</v>
      </c>
      <c r="B99" t="s">
        <v>369</v>
      </c>
      <c r="C99" s="295" t="str">
        <f>"Case ID: "&amp;'Auto Closer'!C15&amp;CHAR(10)&amp;"Case Description: "&amp;'Auto Closer'!G15</f>
        <v xml:space="preserve">Case ID: 
Case Description: </v>
      </c>
      <c r="D99">
        <f>'Auto Closer'!H15</f>
        <v>0</v>
      </c>
      <c r="E99" t="s">
        <v>367</v>
      </c>
      <c r="F99" t="e">
        <f t="shared" si="9"/>
        <v>#DIV/0!</v>
      </c>
      <c r="G99" s="296" t="str">
        <f>'Auto Closer'!L15</f>
        <v/>
      </c>
      <c r="H99" s="303" t="str">
        <f>'Auto Closer'!O15</f>
        <v/>
      </c>
      <c r="I99" t="e">
        <f t="shared" si="10"/>
        <v>#VALUE!</v>
      </c>
      <c r="J99" t="str">
        <f>'Auto Closer'!Q15</f>
        <v/>
      </c>
    </row>
    <row r="100" spans="1:10" ht="28.5" x14ac:dyDescent="0.2">
      <c r="A100">
        <v>100</v>
      </c>
      <c r="B100" t="s">
        <v>369</v>
      </c>
      <c r="C100" s="295" t="str">
        <f>"Case ID: "&amp;'Auto Closer'!C16&amp;CHAR(10)&amp;"Case Description: "&amp;'Auto Closer'!G16</f>
        <v xml:space="preserve">Case ID: 
Case Description: </v>
      </c>
      <c r="D100">
        <f>'Auto Closer'!H16</f>
        <v>0</v>
      </c>
      <c r="E100" t="s">
        <v>367</v>
      </c>
      <c r="F100" t="e">
        <f t="shared" si="9"/>
        <v>#DIV/0!</v>
      </c>
      <c r="G100" s="296" t="str">
        <f>'Auto Closer'!L16</f>
        <v/>
      </c>
      <c r="H100" s="303" t="str">
        <f>'Auto Closer'!O16</f>
        <v/>
      </c>
      <c r="I100" t="e">
        <f t="shared" si="10"/>
        <v>#VALUE!</v>
      </c>
      <c r="J100" t="str">
        <f>'Auto Closer'!Q16</f>
        <v/>
      </c>
    </row>
    <row r="101" spans="1:10" ht="28.5" x14ac:dyDescent="0.2">
      <c r="A101">
        <v>101</v>
      </c>
      <c r="B101" t="s">
        <v>369</v>
      </c>
      <c r="C101" s="295" t="str">
        <f>"Case ID: "&amp;'Auto Closer'!C17&amp;CHAR(10)&amp;"Case Description: "&amp;'Auto Closer'!G17</f>
        <v xml:space="preserve">Case ID: 
Case Description: </v>
      </c>
      <c r="D101">
        <f>'Auto Closer'!H17</f>
        <v>0</v>
      </c>
      <c r="E101" t="s">
        <v>367</v>
      </c>
      <c r="F101" t="e">
        <f t="shared" si="9"/>
        <v>#DIV/0!</v>
      </c>
      <c r="G101" s="296" t="str">
        <f>'Auto Closer'!L17</f>
        <v/>
      </c>
      <c r="H101" s="303" t="str">
        <f>'Auto Closer'!O17</f>
        <v/>
      </c>
      <c r="I101" t="e">
        <f t="shared" si="10"/>
        <v>#VALUE!</v>
      </c>
      <c r="J101" t="str">
        <f>'Auto Closer'!Q17</f>
        <v/>
      </c>
    </row>
    <row r="102" spans="1:10" ht="42.75" x14ac:dyDescent="0.2">
      <c r="A102">
        <v>102</v>
      </c>
      <c r="B102" t="s">
        <v>226</v>
      </c>
      <c r="C102" s="295" t="str">
        <f>"Case ID: "&amp;'Door Gaskets'!C8&amp;CHAR(10)&amp;"Case Type: "&amp;'Door Gaskets'!G8&amp;CHAR(10)&amp;"Door Type: "&amp;'Door Gaskets'!H8</f>
        <v xml:space="preserve">Case ID: 
Case Type: 
Door Type: </v>
      </c>
      <c r="D102">
        <f>'Door Gaskets'!I8</f>
        <v>0</v>
      </c>
      <c r="E102" t="s">
        <v>367</v>
      </c>
      <c r="F102">
        <f t="shared" si="9"/>
        <v>0</v>
      </c>
      <c r="G102" s="296">
        <f>'Door Gaskets'!J8</f>
        <v>0</v>
      </c>
      <c r="H102" s="303">
        <f>'Door Gaskets'!K8</f>
        <v>0</v>
      </c>
      <c r="I102">
        <f t="shared" si="10"/>
        <v>0</v>
      </c>
      <c r="J102" t="str">
        <f>'Door Gaskets'!M8</f>
        <v/>
      </c>
    </row>
    <row r="103" spans="1:10" ht="42.75" x14ac:dyDescent="0.2">
      <c r="A103">
        <v>103</v>
      </c>
      <c r="B103" t="s">
        <v>226</v>
      </c>
      <c r="C103" s="295" t="str">
        <f>"Case ID: "&amp;'Door Gaskets'!C9&amp;CHAR(10)&amp;"Case Type: "&amp;'Door Gaskets'!G9&amp;CHAR(10)&amp;"Door Type: "&amp;'Door Gaskets'!H9</f>
        <v xml:space="preserve">Case ID: 
Case Type: 
Door Type: </v>
      </c>
      <c r="D103">
        <f>'Door Gaskets'!I9</f>
        <v>0</v>
      </c>
      <c r="E103" t="s">
        <v>367</v>
      </c>
      <c r="F103">
        <f t="shared" si="9"/>
        <v>0</v>
      </c>
      <c r="G103" s="296">
        <f>'Door Gaskets'!J9</f>
        <v>0</v>
      </c>
      <c r="H103" s="303">
        <f>'Door Gaskets'!K9</f>
        <v>0</v>
      </c>
      <c r="I103">
        <f t="shared" si="10"/>
        <v>0</v>
      </c>
      <c r="J103" t="str">
        <f>'Door Gaskets'!M9</f>
        <v/>
      </c>
    </row>
    <row r="104" spans="1:10" ht="42.75" x14ac:dyDescent="0.2">
      <c r="A104">
        <v>104</v>
      </c>
      <c r="B104" t="s">
        <v>226</v>
      </c>
      <c r="C104" s="295" t="str">
        <f>"Case ID: "&amp;'Door Gaskets'!C10&amp;CHAR(10)&amp;"Case Type: "&amp;'Door Gaskets'!G10&amp;CHAR(10)&amp;"Door Type: "&amp;'Door Gaskets'!H10</f>
        <v xml:space="preserve">Case ID: 
Case Type: 
Door Type: </v>
      </c>
      <c r="D104">
        <f>'Door Gaskets'!I10</f>
        <v>0</v>
      </c>
      <c r="E104" t="s">
        <v>367</v>
      </c>
      <c r="F104">
        <f t="shared" si="9"/>
        <v>0</v>
      </c>
      <c r="G104" s="296">
        <f>'Door Gaskets'!J10</f>
        <v>0</v>
      </c>
      <c r="H104" s="303">
        <f>'Door Gaskets'!K10</f>
        <v>0</v>
      </c>
      <c r="I104">
        <f t="shared" si="10"/>
        <v>0</v>
      </c>
      <c r="J104" t="str">
        <f>'Door Gaskets'!M10</f>
        <v/>
      </c>
    </row>
    <row r="105" spans="1:10" ht="42.75" x14ac:dyDescent="0.2">
      <c r="A105">
        <v>105</v>
      </c>
      <c r="B105" t="s">
        <v>226</v>
      </c>
      <c r="C105" s="295" t="str">
        <f>"Case ID: "&amp;'Door Gaskets'!C11&amp;CHAR(10)&amp;"Case Type: "&amp;'Door Gaskets'!G11&amp;CHAR(10)&amp;"Door Type: "&amp;'Door Gaskets'!H11</f>
        <v xml:space="preserve">Case ID: 
Case Type: 
Door Type: </v>
      </c>
      <c r="D105">
        <f>'Door Gaskets'!I11</f>
        <v>0</v>
      </c>
      <c r="E105" t="s">
        <v>367</v>
      </c>
      <c r="F105">
        <f t="shared" si="9"/>
        <v>0</v>
      </c>
      <c r="G105" s="296">
        <f>'Door Gaskets'!J11</f>
        <v>0</v>
      </c>
      <c r="H105" s="303">
        <f>'Door Gaskets'!K11</f>
        <v>0</v>
      </c>
      <c r="I105">
        <f t="shared" si="10"/>
        <v>0</v>
      </c>
      <c r="J105" t="str">
        <f>'Door Gaskets'!M11</f>
        <v/>
      </c>
    </row>
    <row r="106" spans="1:10" ht="42.75" x14ac:dyDescent="0.2">
      <c r="A106">
        <v>106</v>
      </c>
      <c r="B106" t="s">
        <v>226</v>
      </c>
      <c r="C106" s="295" t="str">
        <f>"Case ID: "&amp;'Door Gaskets'!C12&amp;CHAR(10)&amp;"Case Type: "&amp;'Door Gaskets'!G12&amp;CHAR(10)&amp;"Door Type: "&amp;'Door Gaskets'!H12</f>
        <v xml:space="preserve">Case ID: 
Case Type: 
Door Type: </v>
      </c>
      <c r="D106">
        <f>'Door Gaskets'!I12</f>
        <v>0</v>
      </c>
      <c r="E106" t="s">
        <v>367</v>
      </c>
      <c r="F106">
        <f t="shared" si="9"/>
        <v>0</v>
      </c>
      <c r="G106" s="296">
        <f>'Door Gaskets'!J12</f>
        <v>0</v>
      </c>
      <c r="H106" s="303">
        <f>'Door Gaskets'!K12</f>
        <v>0</v>
      </c>
      <c r="I106">
        <f t="shared" si="10"/>
        <v>0</v>
      </c>
      <c r="J106" t="str">
        <f>'Door Gaskets'!M12</f>
        <v/>
      </c>
    </row>
    <row r="107" spans="1:10" ht="42.75" x14ac:dyDescent="0.2">
      <c r="A107">
        <v>107</v>
      </c>
      <c r="B107" t="s">
        <v>226</v>
      </c>
      <c r="C107" s="295" t="str">
        <f>"Case ID: "&amp;'Door Gaskets'!C13&amp;CHAR(10)&amp;"Case Type: "&amp;'Door Gaskets'!G13&amp;CHAR(10)&amp;"Door Type: "&amp;'Door Gaskets'!H13</f>
        <v xml:space="preserve">Case ID: 
Case Type: 
Door Type: </v>
      </c>
      <c r="D107">
        <f>'Door Gaskets'!I13</f>
        <v>0</v>
      </c>
      <c r="E107" t="s">
        <v>367</v>
      </c>
      <c r="F107">
        <f t="shared" si="9"/>
        <v>0</v>
      </c>
      <c r="G107" s="296">
        <f>'Door Gaskets'!J13</f>
        <v>0</v>
      </c>
      <c r="H107" s="303">
        <f>'Door Gaskets'!K13</f>
        <v>0</v>
      </c>
      <c r="I107">
        <f t="shared" si="10"/>
        <v>0</v>
      </c>
      <c r="J107" t="str">
        <f>'Door Gaskets'!M13</f>
        <v/>
      </c>
    </row>
    <row r="108" spans="1:10" ht="42.75" x14ac:dyDescent="0.2">
      <c r="A108">
        <v>108</v>
      </c>
      <c r="B108" t="s">
        <v>226</v>
      </c>
      <c r="C108" s="295" t="str">
        <f>"Case ID: "&amp;'Door Gaskets'!C14&amp;CHAR(10)&amp;"Case Type: "&amp;'Door Gaskets'!G14&amp;CHAR(10)&amp;"Door Type: "&amp;'Door Gaskets'!H14</f>
        <v xml:space="preserve">Case ID: 
Case Type: 
Door Type: </v>
      </c>
      <c r="D108">
        <f>'Door Gaskets'!I14</f>
        <v>0</v>
      </c>
      <c r="E108" t="s">
        <v>367</v>
      </c>
      <c r="F108">
        <f t="shared" si="9"/>
        <v>0</v>
      </c>
      <c r="G108" s="296">
        <f>'Door Gaskets'!J14</f>
        <v>0</v>
      </c>
      <c r="H108" s="303">
        <f>'Door Gaskets'!K14</f>
        <v>0</v>
      </c>
      <c r="I108">
        <f t="shared" si="10"/>
        <v>0</v>
      </c>
      <c r="J108" t="str">
        <f>'Door Gaskets'!M14</f>
        <v/>
      </c>
    </row>
    <row r="109" spans="1:10" ht="42.75" x14ac:dyDescent="0.2">
      <c r="A109">
        <v>109</v>
      </c>
      <c r="B109" t="s">
        <v>226</v>
      </c>
      <c r="C109" s="295" t="str">
        <f>"Case ID: "&amp;'Door Gaskets'!C15&amp;CHAR(10)&amp;"Case Type: "&amp;'Door Gaskets'!G15&amp;CHAR(10)&amp;"Door Type: "&amp;'Door Gaskets'!H15</f>
        <v xml:space="preserve">Case ID: 
Case Type: 
Door Type: </v>
      </c>
      <c r="D109">
        <f>'Door Gaskets'!I15</f>
        <v>0</v>
      </c>
      <c r="E109" t="s">
        <v>367</v>
      </c>
      <c r="F109">
        <f t="shared" si="9"/>
        <v>0</v>
      </c>
      <c r="G109" s="296">
        <f>'Door Gaskets'!J15</f>
        <v>0</v>
      </c>
      <c r="H109" s="303">
        <f>'Door Gaskets'!K15</f>
        <v>0</v>
      </c>
      <c r="I109">
        <f t="shared" si="10"/>
        <v>0</v>
      </c>
      <c r="J109" t="str">
        <f>'Door Gaskets'!M15</f>
        <v/>
      </c>
    </row>
    <row r="110" spans="1:10" ht="42.75" x14ac:dyDescent="0.2">
      <c r="A110">
        <v>110</v>
      </c>
      <c r="B110" t="s">
        <v>226</v>
      </c>
      <c r="C110" s="295" t="str">
        <f>"Case ID: "&amp;'Door Gaskets'!C16&amp;CHAR(10)&amp;"Case Type: "&amp;'Door Gaskets'!G16&amp;CHAR(10)&amp;"Door Type: "&amp;'Door Gaskets'!H16</f>
        <v xml:space="preserve">Case ID: 
Case Type: 
Door Type: </v>
      </c>
      <c r="D110">
        <f>'Door Gaskets'!I16</f>
        <v>0</v>
      </c>
      <c r="E110" t="s">
        <v>367</v>
      </c>
      <c r="F110">
        <f t="shared" si="9"/>
        <v>0</v>
      </c>
      <c r="G110" s="296">
        <f>'Door Gaskets'!J16</f>
        <v>0</v>
      </c>
      <c r="H110" s="303">
        <f>'Door Gaskets'!K16</f>
        <v>0</v>
      </c>
      <c r="I110">
        <f t="shared" si="10"/>
        <v>0</v>
      </c>
      <c r="J110" t="str">
        <f>'Door Gaskets'!M16</f>
        <v/>
      </c>
    </row>
    <row r="111" spans="1:10" ht="42.75" x14ac:dyDescent="0.2">
      <c r="A111">
        <v>111</v>
      </c>
      <c r="B111" t="s">
        <v>226</v>
      </c>
      <c r="C111" s="295" t="str">
        <f>"Case ID: "&amp;'Door Gaskets'!C17&amp;CHAR(10)&amp;"Case Type: "&amp;'Door Gaskets'!G17&amp;CHAR(10)&amp;"Door Type: "&amp;'Door Gaskets'!H17</f>
        <v xml:space="preserve">Case ID: 
Case Type: 
Door Type: </v>
      </c>
      <c r="D111">
        <f>'Door Gaskets'!I17</f>
        <v>0</v>
      </c>
      <c r="E111" t="s">
        <v>367</v>
      </c>
      <c r="F111">
        <f t="shared" si="9"/>
        <v>0</v>
      </c>
      <c r="G111" s="296">
        <f>'Door Gaskets'!J17</f>
        <v>0</v>
      </c>
      <c r="H111" s="303">
        <f>'Door Gaskets'!K17</f>
        <v>0</v>
      </c>
      <c r="I111">
        <f t="shared" si="10"/>
        <v>0</v>
      </c>
      <c r="J111" t="str">
        <f>'Door Gaskets'!M17</f>
        <v/>
      </c>
    </row>
    <row r="112" spans="1:10" x14ac:dyDescent="0.2">
      <c r="A112">
        <v>112</v>
      </c>
      <c r="B112" t="s">
        <v>227</v>
      </c>
      <c r="C112" s="295" t="e">
        <f>"Case ID: "&amp;'Special Doors'!C8&amp;CHAR(10)&amp;"Case Type: "&amp;'Special Doors'!G8&amp;CHAR(10)&amp;"Door Heater Watts: "&amp;'Special Doors'!#REF! &amp;" W"</f>
        <v>#REF!</v>
      </c>
      <c r="D112">
        <f>'Special Doors'!H8</f>
        <v>0</v>
      </c>
      <c r="E112" t="s">
        <v>366</v>
      </c>
      <c r="F112" t="e">
        <f t="shared" si="9"/>
        <v>#DIV/0!</v>
      </c>
      <c r="G112" s="296" t="str">
        <f>'Special Doors'!M8</f>
        <v/>
      </c>
      <c r="H112" s="303" t="str">
        <f>'Special Doors'!P8</f>
        <v/>
      </c>
      <c r="I112" t="e">
        <f t="shared" si="10"/>
        <v>#VALUE!</v>
      </c>
      <c r="J112" t="str">
        <f>'Special Doors'!R8</f>
        <v/>
      </c>
    </row>
    <row r="113" spans="1:10" x14ac:dyDescent="0.2">
      <c r="A113">
        <v>113</v>
      </c>
      <c r="B113" t="s">
        <v>227</v>
      </c>
      <c r="C113" s="295" t="e">
        <f>"Case ID: "&amp;'Special Doors'!C9&amp;CHAR(10)&amp;"Case Type: "&amp;'Special Doors'!G9&amp;CHAR(10)&amp;"Door Heater Watts: "&amp;'Special Doors'!#REF! &amp;" W"</f>
        <v>#REF!</v>
      </c>
      <c r="D113">
        <f>'Special Doors'!H9</f>
        <v>0</v>
      </c>
      <c r="E113" t="s">
        <v>366</v>
      </c>
      <c r="F113" t="e">
        <f t="shared" si="9"/>
        <v>#DIV/0!</v>
      </c>
      <c r="G113" s="296" t="str">
        <f>'Special Doors'!M9</f>
        <v/>
      </c>
      <c r="H113" s="303" t="str">
        <f>'Special Doors'!P9</f>
        <v/>
      </c>
      <c r="I113" t="e">
        <f t="shared" si="10"/>
        <v>#VALUE!</v>
      </c>
      <c r="J113" t="str">
        <f>'Special Doors'!R9</f>
        <v/>
      </c>
    </row>
    <row r="114" spans="1:10" x14ac:dyDescent="0.2">
      <c r="A114">
        <v>114</v>
      </c>
      <c r="B114" t="s">
        <v>227</v>
      </c>
      <c r="C114" s="295" t="e">
        <f>"Case ID: "&amp;'Special Doors'!C10&amp;CHAR(10)&amp;"Case Type: "&amp;'Special Doors'!G10&amp;CHAR(10)&amp;"Door Heater Watts: "&amp;'Special Doors'!#REF! &amp;" W"</f>
        <v>#REF!</v>
      </c>
      <c r="D114">
        <f>'Special Doors'!H10</f>
        <v>0</v>
      </c>
      <c r="E114" t="s">
        <v>366</v>
      </c>
      <c r="F114" t="e">
        <f t="shared" si="9"/>
        <v>#DIV/0!</v>
      </c>
      <c r="G114" s="296" t="str">
        <f>'Special Doors'!M10</f>
        <v/>
      </c>
      <c r="H114" s="303" t="str">
        <f>'Special Doors'!P10</f>
        <v/>
      </c>
      <c r="I114" t="e">
        <f t="shared" si="10"/>
        <v>#VALUE!</v>
      </c>
      <c r="J114" t="str">
        <f>'Special Doors'!R10</f>
        <v/>
      </c>
    </row>
    <row r="115" spans="1:10" x14ac:dyDescent="0.2">
      <c r="A115">
        <v>115</v>
      </c>
      <c r="B115" t="s">
        <v>227</v>
      </c>
      <c r="C115" s="295" t="e">
        <f>"Case ID: "&amp;'Special Doors'!C11&amp;CHAR(10)&amp;"Case Type: "&amp;'Special Doors'!G11&amp;CHAR(10)&amp;"Door Heater Watts: "&amp;'Special Doors'!#REF! &amp;" W"</f>
        <v>#REF!</v>
      </c>
      <c r="D115">
        <f>'Special Doors'!H11</f>
        <v>0</v>
      </c>
      <c r="E115" t="s">
        <v>366</v>
      </c>
      <c r="F115" t="e">
        <f t="shared" si="9"/>
        <v>#DIV/0!</v>
      </c>
      <c r="G115" s="296" t="str">
        <f>'Special Doors'!M11</f>
        <v/>
      </c>
      <c r="H115" s="303" t="str">
        <f>'Special Doors'!P11</f>
        <v/>
      </c>
      <c r="I115" t="e">
        <f t="shared" si="10"/>
        <v>#VALUE!</v>
      </c>
      <c r="J115" t="str">
        <f>'Special Doors'!R11</f>
        <v/>
      </c>
    </row>
    <row r="116" spans="1:10" x14ac:dyDescent="0.2">
      <c r="A116">
        <v>116</v>
      </c>
      <c r="B116" t="s">
        <v>227</v>
      </c>
      <c r="C116" s="295" t="e">
        <f>"Case ID: "&amp;'Special Doors'!C12&amp;CHAR(10)&amp;"Case Type: "&amp;'Special Doors'!G12&amp;CHAR(10)&amp;"Door Heater Watts: "&amp;'Special Doors'!#REF! &amp;" W"</f>
        <v>#REF!</v>
      </c>
      <c r="D116">
        <f>'Special Doors'!H12</f>
        <v>0</v>
      </c>
      <c r="E116" t="s">
        <v>366</v>
      </c>
      <c r="F116" t="e">
        <f t="shared" si="9"/>
        <v>#DIV/0!</v>
      </c>
      <c r="G116" s="296" t="str">
        <f>'Special Doors'!M12</f>
        <v/>
      </c>
      <c r="H116" s="303" t="str">
        <f>'Special Doors'!P12</f>
        <v/>
      </c>
      <c r="I116" t="e">
        <f t="shared" si="10"/>
        <v>#VALUE!</v>
      </c>
      <c r="J116" t="str">
        <f>'Special Doors'!R12</f>
        <v/>
      </c>
    </row>
    <row r="117" spans="1:10" x14ac:dyDescent="0.2">
      <c r="A117">
        <v>117</v>
      </c>
      <c r="B117" t="s">
        <v>227</v>
      </c>
      <c r="C117" s="295" t="e">
        <f>"Case ID: "&amp;'Special Doors'!C13&amp;CHAR(10)&amp;"Case Type: "&amp;'Special Doors'!G13&amp;CHAR(10)&amp;"Door Heater Watts: "&amp;'Special Doors'!#REF! &amp;" W"</f>
        <v>#REF!</v>
      </c>
      <c r="D117">
        <f>'Special Doors'!H13</f>
        <v>0</v>
      </c>
      <c r="E117" t="s">
        <v>366</v>
      </c>
      <c r="F117" t="e">
        <f t="shared" si="9"/>
        <v>#DIV/0!</v>
      </c>
      <c r="G117" s="296" t="str">
        <f>'Special Doors'!M13</f>
        <v/>
      </c>
      <c r="H117" s="303" t="str">
        <f>'Special Doors'!P13</f>
        <v/>
      </c>
      <c r="I117" t="e">
        <f t="shared" si="10"/>
        <v>#VALUE!</v>
      </c>
      <c r="J117" t="str">
        <f>'Special Doors'!R13</f>
        <v/>
      </c>
    </row>
    <row r="118" spans="1:10" x14ac:dyDescent="0.2">
      <c r="A118">
        <v>118</v>
      </c>
      <c r="B118" t="s">
        <v>227</v>
      </c>
      <c r="C118" s="295" t="e">
        <f>"Case ID: "&amp;'Special Doors'!C14&amp;CHAR(10)&amp;"Case Type: "&amp;'Special Doors'!G14&amp;CHAR(10)&amp;"Door Heater Watts: "&amp;'Special Doors'!#REF! &amp;" W"</f>
        <v>#REF!</v>
      </c>
      <c r="D118">
        <f>'Special Doors'!H14</f>
        <v>0</v>
      </c>
      <c r="E118" t="s">
        <v>366</v>
      </c>
      <c r="F118" t="e">
        <f t="shared" si="9"/>
        <v>#DIV/0!</v>
      </c>
      <c r="G118" s="296" t="str">
        <f>'Special Doors'!M14</f>
        <v/>
      </c>
      <c r="H118" s="303" t="str">
        <f>'Special Doors'!P14</f>
        <v/>
      </c>
      <c r="I118" t="e">
        <f t="shared" si="10"/>
        <v>#VALUE!</v>
      </c>
      <c r="J118" t="str">
        <f>'Special Doors'!R14</f>
        <v/>
      </c>
    </row>
    <row r="119" spans="1:10" x14ac:dyDescent="0.2">
      <c r="A119">
        <v>119</v>
      </c>
      <c r="B119" t="s">
        <v>227</v>
      </c>
      <c r="C119" s="295" t="e">
        <f>"Case ID: "&amp;'Special Doors'!C15&amp;CHAR(10)&amp;"Case Type: "&amp;'Special Doors'!G15&amp;CHAR(10)&amp;"Door Heater Watts: "&amp;'Special Doors'!#REF! &amp;" W"</f>
        <v>#REF!</v>
      </c>
      <c r="D119">
        <f>'Special Doors'!H15</f>
        <v>0</v>
      </c>
      <c r="E119" t="s">
        <v>366</v>
      </c>
      <c r="F119" t="e">
        <f t="shared" si="9"/>
        <v>#DIV/0!</v>
      </c>
      <c r="G119" s="296" t="str">
        <f>'Special Doors'!M15</f>
        <v/>
      </c>
      <c r="H119" s="303" t="str">
        <f>'Special Doors'!P15</f>
        <v/>
      </c>
      <c r="I119" t="e">
        <f t="shared" si="10"/>
        <v>#VALUE!</v>
      </c>
      <c r="J119" t="str">
        <f>'Special Doors'!R15</f>
        <v/>
      </c>
    </row>
    <row r="120" spans="1:10" x14ac:dyDescent="0.2">
      <c r="A120">
        <v>120</v>
      </c>
      <c r="B120" t="s">
        <v>227</v>
      </c>
      <c r="C120" s="295" t="e">
        <f>"Case ID: "&amp;'Special Doors'!C16&amp;CHAR(10)&amp;"Case Type: "&amp;'Special Doors'!G16&amp;CHAR(10)&amp;"Door Heater Watts: "&amp;'Special Doors'!#REF! &amp;" W"</f>
        <v>#REF!</v>
      </c>
      <c r="D120">
        <f>'Special Doors'!H16</f>
        <v>0</v>
      </c>
      <c r="E120" t="s">
        <v>366</v>
      </c>
      <c r="F120" t="e">
        <f t="shared" si="9"/>
        <v>#DIV/0!</v>
      </c>
      <c r="G120" s="296" t="str">
        <f>'Special Doors'!M16</f>
        <v/>
      </c>
      <c r="H120" s="303" t="str">
        <f>'Special Doors'!P16</f>
        <v/>
      </c>
      <c r="I120" t="e">
        <f t="shared" si="10"/>
        <v>#VALUE!</v>
      </c>
      <c r="J120" t="str">
        <f>'Special Doors'!R16</f>
        <v/>
      </c>
    </row>
    <row r="121" spans="1:10" x14ac:dyDescent="0.2">
      <c r="A121">
        <v>121</v>
      </c>
      <c r="B121" t="s">
        <v>227</v>
      </c>
      <c r="C121" s="295" t="e">
        <f>"Case ID: "&amp;'Special Doors'!C17&amp;CHAR(10)&amp;"Case Type: "&amp;'Special Doors'!G17&amp;CHAR(10)&amp;"Door Heater Watts: "&amp;'Special Doors'!#REF! &amp;" W"</f>
        <v>#REF!</v>
      </c>
      <c r="D121">
        <f>'Special Doors'!H17</f>
        <v>0</v>
      </c>
      <c r="E121" t="s">
        <v>366</v>
      </c>
      <c r="F121" t="e">
        <f t="shared" si="9"/>
        <v>#DIV/0!</v>
      </c>
      <c r="G121" s="296" t="str">
        <f>'Special Doors'!M17</f>
        <v/>
      </c>
      <c r="H121" s="303" t="str">
        <f>'Special Doors'!P17</f>
        <v/>
      </c>
      <c r="I121" t="e">
        <f t="shared" si="10"/>
        <v>#VALUE!</v>
      </c>
      <c r="J121" t="str">
        <f>'Special Doors'!R17</f>
        <v/>
      </c>
    </row>
    <row r="122" spans="1:10" ht="28.5" x14ac:dyDescent="0.2">
      <c r="A122">
        <v>122</v>
      </c>
      <c r="B122" t="s">
        <v>228</v>
      </c>
      <c r="C122" s="295" t="str">
        <f>"Case ID: "&amp;'Pipe Insulation'!C8&amp;CHAR(10)&amp;"Cooler Type: "&amp;'Pipe Insulation'!G8</f>
        <v xml:space="preserve">Case ID: 
Cooler Type: </v>
      </c>
      <c r="D122">
        <f>'Pipe Insulation'!H8*'Pipe Insulation'!I8</f>
        <v>0</v>
      </c>
      <c r="E122" t="s">
        <v>370</v>
      </c>
      <c r="F122" t="e">
        <f t="shared" si="9"/>
        <v>#DIV/0!</v>
      </c>
      <c r="G122" s="296" t="str">
        <f>'Pipe Insulation'!L8</f>
        <v/>
      </c>
      <c r="H122" s="303" t="str">
        <f>'Pipe Insulation'!O8</f>
        <v/>
      </c>
      <c r="I122" t="e">
        <f t="shared" si="10"/>
        <v>#VALUE!</v>
      </c>
      <c r="J122" t="str">
        <f>'Pipe Insulation'!Q8</f>
        <v/>
      </c>
    </row>
    <row r="123" spans="1:10" ht="28.5" x14ac:dyDescent="0.2">
      <c r="A123">
        <v>123</v>
      </c>
      <c r="B123" t="s">
        <v>228</v>
      </c>
      <c r="C123" s="295" t="str">
        <f>"Case ID: "&amp;'Pipe Insulation'!C9&amp;CHAR(10)&amp;"Cooler Type: "&amp;'Pipe Insulation'!G9</f>
        <v xml:space="preserve">Case ID: 
Cooler Type: </v>
      </c>
      <c r="D123">
        <f>'Pipe Insulation'!H9*'Pipe Insulation'!I9</f>
        <v>0</v>
      </c>
      <c r="E123" t="s">
        <v>370</v>
      </c>
      <c r="F123" t="e">
        <f t="shared" si="9"/>
        <v>#DIV/0!</v>
      </c>
      <c r="G123" s="296" t="str">
        <f>'Pipe Insulation'!L9</f>
        <v/>
      </c>
      <c r="H123" s="303" t="str">
        <f>'Pipe Insulation'!O9</f>
        <v/>
      </c>
      <c r="I123" t="e">
        <f t="shared" si="10"/>
        <v>#VALUE!</v>
      </c>
      <c r="J123" t="str">
        <f>'Pipe Insulation'!Q9</f>
        <v/>
      </c>
    </row>
    <row r="124" spans="1:10" ht="28.5" x14ac:dyDescent="0.2">
      <c r="A124">
        <v>124</v>
      </c>
      <c r="B124" t="s">
        <v>228</v>
      </c>
      <c r="C124" s="295" t="str">
        <f>"Case ID: "&amp;'Pipe Insulation'!C10&amp;CHAR(10)&amp;"Cooler Type: "&amp;'Pipe Insulation'!G10</f>
        <v xml:space="preserve">Case ID: 
Cooler Type: </v>
      </c>
      <c r="D124">
        <f>'Pipe Insulation'!H10*'Pipe Insulation'!I10</f>
        <v>0</v>
      </c>
      <c r="E124" t="s">
        <v>370</v>
      </c>
      <c r="F124" t="e">
        <f t="shared" si="9"/>
        <v>#DIV/0!</v>
      </c>
      <c r="G124" s="296" t="str">
        <f>'Pipe Insulation'!L10</f>
        <v/>
      </c>
      <c r="H124" s="303" t="str">
        <f>'Pipe Insulation'!O10</f>
        <v/>
      </c>
      <c r="I124" t="e">
        <f t="shared" si="10"/>
        <v>#VALUE!</v>
      </c>
      <c r="J124" t="str">
        <f>'Pipe Insulation'!Q10</f>
        <v/>
      </c>
    </row>
    <row r="125" spans="1:10" ht="28.5" x14ac:dyDescent="0.2">
      <c r="A125">
        <v>125</v>
      </c>
      <c r="B125" t="s">
        <v>228</v>
      </c>
      <c r="C125" s="295" t="str">
        <f>"Case ID: "&amp;'Pipe Insulation'!C11&amp;CHAR(10)&amp;"Cooler Type: "&amp;'Pipe Insulation'!G11</f>
        <v xml:space="preserve">Case ID: 
Cooler Type: </v>
      </c>
      <c r="D125">
        <f>'Pipe Insulation'!H11*'Pipe Insulation'!I11</f>
        <v>0</v>
      </c>
      <c r="E125" t="s">
        <v>370</v>
      </c>
      <c r="F125" t="e">
        <f t="shared" si="9"/>
        <v>#DIV/0!</v>
      </c>
      <c r="G125" s="296" t="str">
        <f>'Pipe Insulation'!L11</f>
        <v/>
      </c>
      <c r="H125" s="303" t="str">
        <f>'Pipe Insulation'!O11</f>
        <v/>
      </c>
      <c r="I125" t="e">
        <f t="shared" si="10"/>
        <v>#VALUE!</v>
      </c>
      <c r="J125" t="str">
        <f>'Pipe Insulation'!Q11</f>
        <v/>
      </c>
    </row>
    <row r="126" spans="1:10" ht="28.5" x14ac:dyDescent="0.2">
      <c r="A126">
        <v>126</v>
      </c>
      <c r="B126" t="s">
        <v>228</v>
      </c>
      <c r="C126" s="295" t="str">
        <f>"Case ID: "&amp;'Pipe Insulation'!C12&amp;CHAR(10)&amp;"Cooler Type: "&amp;'Pipe Insulation'!G12</f>
        <v xml:space="preserve">Case ID: 
Cooler Type: </v>
      </c>
      <c r="D126">
        <f>'Pipe Insulation'!H12*'Pipe Insulation'!I12</f>
        <v>0</v>
      </c>
      <c r="E126" t="s">
        <v>370</v>
      </c>
      <c r="F126" t="e">
        <f t="shared" si="9"/>
        <v>#DIV/0!</v>
      </c>
      <c r="G126" s="296" t="str">
        <f>'Pipe Insulation'!L12</f>
        <v/>
      </c>
      <c r="H126" s="303" t="str">
        <f>'Pipe Insulation'!O12</f>
        <v/>
      </c>
      <c r="I126" t="e">
        <f t="shared" si="10"/>
        <v>#VALUE!</v>
      </c>
      <c r="J126" t="str">
        <f>'Pipe Insulation'!Q12</f>
        <v/>
      </c>
    </row>
    <row r="127" spans="1:10" ht="28.5" x14ac:dyDescent="0.2">
      <c r="A127">
        <v>127</v>
      </c>
      <c r="B127" t="s">
        <v>228</v>
      </c>
      <c r="C127" s="295" t="str">
        <f>"Case ID: "&amp;'Pipe Insulation'!C13&amp;CHAR(10)&amp;"Cooler Type: "&amp;'Pipe Insulation'!G13</f>
        <v xml:space="preserve">Case ID: 
Cooler Type: </v>
      </c>
      <c r="D127">
        <f>'Pipe Insulation'!H13*'Pipe Insulation'!I13</f>
        <v>0</v>
      </c>
      <c r="E127" t="s">
        <v>370</v>
      </c>
      <c r="F127" t="e">
        <f t="shared" si="9"/>
        <v>#DIV/0!</v>
      </c>
      <c r="G127" s="296" t="str">
        <f>'Pipe Insulation'!L13</f>
        <v/>
      </c>
      <c r="H127" s="303" t="str">
        <f>'Pipe Insulation'!O13</f>
        <v/>
      </c>
      <c r="I127" t="e">
        <f t="shared" si="10"/>
        <v>#VALUE!</v>
      </c>
      <c r="J127" t="str">
        <f>'Pipe Insulation'!Q13</f>
        <v/>
      </c>
    </row>
    <row r="128" spans="1:10" ht="28.5" x14ac:dyDescent="0.2">
      <c r="A128">
        <v>128</v>
      </c>
      <c r="B128" t="s">
        <v>228</v>
      </c>
      <c r="C128" s="295" t="str">
        <f>"Case ID: "&amp;'Pipe Insulation'!C14&amp;CHAR(10)&amp;"Cooler Type: "&amp;'Pipe Insulation'!G14</f>
        <v xml:space="preserve">Case ID: 
Cooler Type: </v>
      </c>
      <c r="D128">
        <f>'Pipe Insulation'!H14*'Pipe Insulation'!I14</f>
        <v>0</v>
      </c>
      <c r="E128" t="s">
        <v>370</v>
      </c>
      <c r="F128" t="e">
        <f t="shared" si="9"/>
        <v>#DIV/0!</v>
      </c>
      <c r="G128" s="296" t="str">
        <f>'Pipe Insulation'!L14</f>
        <v/>
      </c>
      <c r="H128" s="303" t="str">
        <f>'Pipe Insulation'!O14</f>
        <v/>
      </c>
      <c r="I128" t="e">
        <f t="shared" si="10"/>
        <v>#VALUE!</v>
      </c>
      <c r="J128" t="str">
        <f>'Pipe Insulation'!Q14</f>
        <v/>
      </c>
    </row>
    <row r="129" spans="1:10" ht="28.5" x14ac:dyDescent="0.2">
      <c r="A129">
        <v>129</v>
      </c>
      <c r="B129" t="s">
        <v>228</v>
      </c>
      <c r="C129" s="295" t="str">
        <f>"Case ID: "&amp;'Pipe Insulation'!C15&amp;CHAR(10)&amp;"Cooler Type: "&amp;'Pipe Insulation'!G15</f>
        <v xml:space="preserve">Case ID: 
Cooler Type: </v>
      </c>
      <c r="D129">
        <f>'Pipe Insulation'!H15*'Pipe Insulation'!I15</f>
        <v>0</v>
      </c>
      <c r="E129" t="s">
        <v>370</v>
      </c>
      <c r="F129" t="e">
        <f t="shared" si="9"/>
        <v>#DIV/0!</v>
      </c>
      <c r="G129" s="296" t="str">
        <f>'Pipe Insulation'!L15</f>
        <v/>
      </c>
      <c r="H129" s="303" t="str">
        <f>'Pipe Insulation'!O15</f>
        <v/>
      </c>
      <c r="I129" t="e">
        <f t="shared" si="10"/>
        <v>#VALUE!</v>
      </c>
      <c r="J129" t="str">
        <f>'Pipe Insulation'!Q15</f>
        <v/>
      </c>
    </row>
    <row r="130" spans="1:10" ht="28.5" x14ac:dyDescent="0.2">
      <c r="A130">
        <v>130</v>
      </c>
      <c r="B130" t="s">
        <v>228</v>
      </c>
      <c r="C130" s="295" t="str">
        <f>"Case ID: "&amp;'Pipe Insulation'!C16&amp;CHAR(10)&amp;"Cooler Type: "&amp;'Pipe Insulation'!G16</f>
        <v xml:space="preserve">Case ID: 
Cooler Type: </v>
      </c>
      <c r="D130">
        <f>'Pipe Insulation'!H16*'Pipe Insulation'!I16</f>
        <v>0</v>
      </c>
      <c r="E130" t="s">
        <v>370</v>
      </c>
      <c r="F130" t="e">
        <f t="shared" ref="F130:F161" si="11">IF(G130&gt;0,ProjectCost/COUNTIF(G$2:G$171,"&gt;0"),0)</f>
        <v>#DIV/0!</v>
      </c>
      <c r="G130" s="296" t="str">
        <f>'Pipe Insulation'!L16</f>
        <v/>
      </c>
      <c r="H130" s="303" t="str">
        <f>'Pipe Insulation'!O16</f>
        <v/>
      </c>
      <c r="I130" t="e">
        <f t="shared" ref="I130:I161" si="12">G130*kWh_Rate+H130*kW_Rate</f>
        <v>#VALUE!</v>
      </c>
      <c r="J130" t="str">
        <f>'Pipe Insulation'!Q16</f>
        <v/>
      </c>
    </row>
    <row r="131" spans="1:10" ht="28.5" x14ac:dyDescent="0.2">
      <c r="A131">
        <v>131</v>
      </c>
      <c r="B131" t="s">
        <v>228</v>
      </c>
      <c r="C131" s="295" t="str">
        <f>"Case ID: "&amp;'Pipe Insulation'!C17&amp;CHAR(10)&amp;"Cooler Type: "&amp;'Pipe Insulation'!G17</f>
        <v xml:space="preserve">Case ID: 
Cooler Type: </v>
      </c>
      <c r="D131">
        <f>'Pipe Insulation'!H17*'Pipe Insulation'!I17</f>
        <v>0</v>
      </c>
      <c r="E131" t="s">
        <v>370</v>
      </c>
      <c r="F131" t="e">
        <f t="shared" si="11"/>
        <v>#DIV/0!</v>
      </c>
      <c r="G131" s="296" t="str">
        <f>'Pipe Insulation'!L17</f>
        <v/>
      </c>
      <c r="H131" s="303" t="str">
        <f>'Pipe Insulation'!O17</f>
        <v/>
      </c>
      <c r="I131" t="e">
        <f t="shared" si="12"/>
        <v>#VALUE!</v>
      </c>
      <c r="J131" t="str">
        <f>'Pipe Insulation'!Q17</f>
        <v/>
      </c>
    </row>
    <row r="132" spans="1:10" ht="28.5" x14ac:dyDescent="0.2">
      <c r="A132">
        <v>132</v>
      </c>
      <c r="B132" t="s">
        <v>229</v>
      </c>
      <c r="C132" s="295" t="str">
        <f>"Case ID: "&amp;'Door Replace Open2021'!C8&amp;CHAR(10)&amp;"Width of each case: "&amp;'Door Replace Open2021'!G8&amp;" ft"</f>
        <v>Case ID: 
Width of each case:  ft</v>
      </c>
      <c r="D132">
        <f>'Door Replace Open2021'!H8</f>
        <v>0</v>
      </c>
      <c r="E132" t="s">
        <v>367</v>
      </c>
      <c r="F132">
        <f t="shared" si="11"/>
        <v>0</v>
      </c>
      <c r="G132" s="296">
        <f>'Door Replace Open2021'!K8</f>
        <v>0</v>
      </c>
      <c r="H132" s="303">
        <f>'Door Replace Open2021'!L8</f>
        <v>0</v>
      </c>
      <c r="I132">
        <f t="shared" si="12"/>
        <v>0</v>
      </c>
      <c r="J132" t="str">
        <f>'Door Replace Open2021'!N8</f>
        <v/>
      </c>
    </row>
    <row r="133" spans="1:10" ht="28.5" x14ac:dyDescent="0.2">
      <c r="A133">
        <v>133</v>
      </c>
      <c r="B133" t="s">
        <v>229</v>
      </c>
      <c r="C133" s="295" t="str">
        <f>"Case ID: "&amp;'Door Replace Open2021'!C9&amp;CHAR(10)&amp;"Width of each case: "&amp;'Door Replace Open2021'!G9&amp;" ft"</f>
        <v>Case ID: 
Width of each case:  ft</v>
      </c>
      <c r="D133">
        <f>'Door Replace Open2021'!H9</f>
        <v>0</v>
      </c>
      <c r="E133" t="s">
        <v>367</v>
      </c>
      <c r="F133">
        <f t="shared" si="11"/>
        <v>0</v>
      </c>
      <c r="G133" s="296">
        <f>'Door Replace Open2021'!K9</f>
        <v>0</v>
      </c>
      <c r="H133" s="303">
        <f>'Door Replace Open2021'!L9</f>
        <v>0</v>
      </c>
      <c r="I133">
        <f t="shared" si="12"/>
        <v>0</v>
      </c>
      <c r="J133" t="str">
        <f>'Door Replace Open2021'!N9</f>
        <v/>
      </c>
    </row>
    <row r="134" spans="1:10" ht="28.5" x14ac:dyDescent="0.2">
      <c r="A134">
        <v>134</v>
      </c>
      <c r="B134" t="s">
        <v>229</v>
      </c>
      <c r="C134" s="295" t="str">
        <f>"Case ID: "&amp;'Door Replace Open2021'!C10&amp;CHAR(10)&amp;"Width of each case: "&amp;'Door Replace Open2021'!G10&amp;" ft"</f>
        <v>Case ID: 
Width of each case:  ft</v>
      </c>
      <c r="D134">
        <f>'Door Replace Open2021'!H10</f>
        <v>0</v>
      </c>
      <c r="E134" t="s">
        <v>367</v>
      </c>
      <c r="F134">
        <f t="shared" si="11"/>
        <v>0</v>
      </c>
      <c r="G134" s="296">
        <f>'Door Replace Open2021'!K10</f>
        <v>0</v>
      </c>
      <c r="H134" s="303">
        <f>'Door Replace Open2021'!L10</f>
        <v>0</v>
      </c>
      <c r="I134">
        <f t="shared" si="12"/>
        <v>0</v>
      </c>
      <c r="J134" t="str">
        <f>'Door Replace Open2021'!N10</f>
        <v/>
      </c>
    </row>
    <row r="135" spans="1:10" ht="28.5" x14ac:dyDescent="0.2">
      <c r="A135">
        <v>135</v>
      </c>
      <c r="B135" t="s">
        <v>229</v>
      </c>
      <c r="C135" s="295" t="str">
        <f>"Case ID: "&amp;'Door Replace Open2021'!C11&amp;CHAR(10)&amp;"Width of each case: "&amp;'Door Replace Open2021'!G11&amp;" ft"</f>
        <v>Case ID: 
Width of each case:  ft</v>
      </c>
      <c r="D135">
        <f>'Door Replace Open2021'!H11</f>
        <v>0</v>
      </c>
      <c r="E135" t="s">
        <v>367</v>
      </c>
      <c r="F135">
        <f t="shared" si="11"/>
        <v>0</v>
      </c>
      <c r="G135" s="296">
        <f>'Door Replace Open2021'!K11</f>
        <v>0</v>
      </c>
      <c r="H135" s="303">
        <f>'Door Replace Open2021'!L11</f>
        <v>0</v>
      </c>
      <c r="I135">
        <f t="shared" si="12"/>
        <v>0</v>
      </c>
      <c r="J135" t="str">
        <f>'Door Replace Open2021'!N11</f>
        <v/>
      </c>
    </row>
    <row r="136" spans="1:10" ht="28.5" x14ac:dyDescent="0.2">
      <c r="A136">
        <v>136</v>
      </c>
      <c r="B136" t="s">
        <v>229</v>
      </c>
      <c r="C136" s="295" t="str">
        <f>"Case ID: "&amp;'Door Replace Open2021'!C12&amp;CHAR(10)&amp;"Width of each case: "&amp;'Door Replace Open2021'!G12&amp;" ft"</f>
        <v>Case ID: 
Width of each case:  ft</v>
      </c>
      <c r="D136">
        <f>'Door Replace Open2021'!H12</f>
        <v>0</v>
      </c>
      <c r="E136" t="s">
        <v>367</v>
      </c>
      <c r="F136">
        <f t="shared" si="11"/>
        <v>0</v>
      </c>
      <c r="G136" s="296">
        <f>'Door Replace Open2021'!K12</f>
        <v>0</v>
      </c>
      <c r="H136" s="303">
        <f>'Door Replace Open2021'!L12</f>
        <v>0</v>
      </c>
      <c r="I136">
        <f t="shared" si="12"/>
        <v>0</v>
      </c>
      <c r="J136" t="str">
        <f>'Door Replace Open2021'!N12</f>
        <v/>
      </c>
    </row>
    <row r="137" spans="1:10" ht="28.5" x14ac:dyDescent="0.2">
      <c r="A137">
        <v>137</v>
      </c>
      <c r="B137" t="s">
        <v>229</v>
      </c>
      <c r="C137" s="295" t="str">
        <f>"Case ID: "&amp;'Door Replace Open2021'!C13&amp;CHAR(10)&amp;"Width of each case: "&amp;'Door Replace Open2021'!G13&amp;" ft"</f>
        <v>Case ID: 
Width of each case:  ft</v>
      </c>
      <c r="D137">
        <f>'Door Replace Open2021'!H13</f>
        <v>0</v>
      </c>
      <c r="E137" t="s">
        <v>367</v>
      </c>
      <c r="F137">
        <f t="shared" si="11"/>
        <v>0</v>
      </c>
      <c r="G137" s="296">
        <f>'Door Replace Open2021'!K13</f>
        <v>0</v>
      </c>
      <c r="H137" s="303">
        <f>'Door Replace Open2021'!L13</f>
        <v>0</v>
      </c>
      <c r="I137">
        <f t="shared" si="12"/>
        <v>0</v>
      </c>
      <c r="J137" t="str">
        <f>'Door Replace Open2021'!N13</f>
        <v/>
      </c>
    </row>
    <row r="138" spans="1:10" ht="28.5" x14ac:dyDescent="0.2">
      <c r="A138">
        <v>138</v>
      </c>
      <c r="B138" t="s">
        <v>229</v>
      </c>
      <c r="C138" s="295" t="str">
        <f>"Case ID: "&amp;'Door Replace Open2021'!C14&amp;CHAR(10)&amp;"Width of each case: "&amp;'Door Replace Open2021'!G14&amp;" ft"</f>
        <v>Case ID: 
Width of each case:  ft</v>
      </c>
      <c r="D138">
        <f>'Door Replace Open2021'!H14</f>
        <v>0</v>
      </c>
      <c r="E138" t="s">
        <v>367</v>
      </c>
      <c r="F138">
        <f t="shared" si="11"/>
        <v>0</v>
      </c>
      <c r="G138" s="296">
        <f>'Door Replace Open2021'!K14</f>
        <v>0</v>
      </c>
      <c r="H138" s="303">
        <f>'Door Replace Open2021'!L14</f>
        <v>0</v>
      </c>
      <c r="I138">
        <f t="shared" si="12"/>
        <v>0</v>
      </c>
      <c r="J138" t="str">
        <f>'Door Replace Open2021'!N14</f>
        <v/>
      </c>
    </row>
    <row r="139" spans="1:10" ht="28.5" x14ac:dyDescent="0.2">
      <c r="A139">
        <v>139</v>
      </c>
      <c r="B139" t="s">
        <v>229</v>
      </c>
      <c r="C139" s="295" t="str">
        <f>"Case ID: "&amp;'Door Replace Open2021'!C15&amp;CHAR(10)&amp;"Width of each case: "&amp;'Door Replace Open2021'!G15&amp;" ft"</f>
        <v>Case ID: 
Width of each case:  ft</v>
      </c>
      <c r="D139">
        <f>'Door Replace Open2021'!H15</f>
        <v>0</v>
      </c>
      <c r="E139" t="s">
        <v>367</v>
      </c>
      <c r="F139">
        <f t="shared" si="11"/>
        <v>0</v>
      </c>
      <c r="G139" s="296">
        <f>'Door Replace Open2021'!K15</f>
        <v>0</v>
      </c>
      <c r="H139" s="303">
        <f>'Door Replace Open2021'!L15</f>
        <v>0</v>
      </c>
      <c r="I139">
        <f t="shared" si="12"/>
        <v>0</v>
      </c>
      <c r="J139" t="str">
        <f>'Door Replace Open2021'!N15</f>
        <v/>
      </c>
    </row>
    <row r="140" spans="1:10" ht="28.5" x14ac:dyDescent="0.2">
      <c r="A140">
        <v>140</v>
      </c>
      <c r="B140" t="s">
        <v>229</v>
      </c>
      <c r="C140" s="295" t="str">
        <f>"Case ID: "&amp;'Door Replace Open2021'!C16&amp;CHAR(10)&amp;"Width of each case: "&amp;'Door Replace Open2021'!G16&amp;" ft"</f>
        <v>Case ID: 
Width of each case:  ft</v>
      </c>
      <c r="D140">
        <f>'Door Replace Open2021'!H16</f>
        <v>0</v>
      </c>
      <c r="E140" t="s">
        <v>367</v>
      </c>
      <c r="F140">
        <f t="shared" si="11"/>
        <v>0</v>
      </c>
      <c r="G140" s="296">
        <f>'Door Replace Open2021'!K16</f>
        <v>0</v>
      </c>
      <c r="H140" s="303">
        <f>'Door Replace Open2021'!L16</f>
        <v>0</v>
      </c>
      <c r="I140">
        <f t="shared" si="12"/>
        <v>0</v>
      </c>
      <c r="J140" t="str">
        <f>'Door Replace Open2021'!N16</f>
        <v/>
      </c>
    </row>
    <row r="141" spans="1:10" ht="28.5" x14ac:dyDescent="0.2">
      <c r="A141">
        <v>141</v>
      </c>
      <c r="B141" t="s">
        <v>229</v>
      </c>
      <c r="C141" s="295" t="str">
        <f>"Case ID: "&amp;'Door Replace Open2021'!C17&amp;CHAR(10)&amp;"Width of each case: "&amp;'Door Replace Open2021'!G17&amp;" ft"</f>
        <v>Case ID: 
Width of each case:  ft</v>
      </c>
      <c r="D141">
        <f>'Door Replace Open2021'!H17</f>
        <v>0</v>
      </c>
      <c r="E141" t="s">
        <v>367</v>
      </c>
      <c r="F141">
        <f t="shared" si="11"/>
        <v>0</v>
      </c>
      <c r="G141" s="296">
        <f>'Door Replace Open2021'!K17</f>
        <v>0</v>
      </c>
      <c r="H141" s="303">
        <f>'Door Replace Open2021'!L17</f>
        <v>0</v>
      </c>
      <c r="I141">
        <f t="shared" si="12"/>
        <v>0</v>
      </c>
      <c r="J141" t="str">
        <f>'Door Replace Open2021'!N17</f>
        <v/>
      </c>
    </row>
    <row r="142" spans="1:10" ht="42.75" x14ac:dyDescent="0.2">
      <c r="A142">
        <v>142</v>
      </c>
      <c r="B142" t="s">
        <v>48</v>
      </c>
      <c r="C142" s="295" t="str">
        <f>"Case ID: "&amp;'Adding Doors'!C8&amp;CHAR(10)&amp;"Door Type: "&amp;'Adding Doors'!G8&amp;CHAR(10)&amp;"Width of each case: "&amp;'Adding Doors'!H8&amp;" ft"</f>
        <v>Case ID: 
Door Type: 
Width of each case:  ft</v>
      </c>
      <c r="D142" s="295">
        <f>'Adding Doors'!I8</f>
        <v>0</v>
      </c>
      <c r="E142" t="s">
        <v>367</v>
      </c>
      <c r="F142" t="e">
        <f t="shared" si="11"/>
        <v>#DIV/0!</v>
      </c>
      <c r="G142" s="296" t="str">
        <f>'Adding Doors'!X8</f>
        <v/>
      </c>
      <c r="H142" s="303" t="str">
        <f>'Adding Doors'!AA8</f>
        <v/>
      </c>
      <c r="I142" t="e">
        <f t="shared" si="12"/>
        <v>#VALUE!</v>
      </c>
      <c r="J142" t="str">
        <f>'Adding Doors'!AC8</f>
        <v/>
      </c>
    </row>
    <row r="143" spans="1:10" ht="42.75" x14ac:dyDescent="0.2">
      <c r="A143">
        <v>143</v>
      </c>
      <c r="B143" t="s">
        <v>48</v>
      </c>
      <c r="C143" s="295" t="str">
        <f>"Case ID: "&amp;'Adding Doors'!C9&amp;CHAR(10)&amp;"Door Type: "&amp;'Adding Doors'!G9&amp;CHAR(10)&amp;"Width of each case: "&amp;'Adding Doors'!H9&amp;" ft"</f>
        <v>Case ID: 
Door Type: 
Width of each case:  ft</v>
      </c>
      <c r="D143" s="295">
        <f>'Adding Doors'!I9</f>
        <v>0</v>
      </c>
      <c r="E143" t="s">
        <v>367</v>
      </c>
      <c r="F143" t="e">
        <f t="shared" si="11"/>
        <v>#DIV/0!</v>
      </c>
      <c r="G143" s="296" t="str">
        <f>'Adding Doors'!X9</f>
        <v/>
      </c>
      <c r="H143" s="303" t="str">
        <f>'Adding Doors'!AA9</f>
        <v/>
      </c>
      <c r="I143" t="e">
        <f t="shared" si="12"/>
        <v>#VALUE!</v>
      </c>
      <c r="J143" t="str">
        <f>'Adding Doors'!AC9</f>
        <v/>
      </c>
    </row>
    <row r="144" spans="1:10" ht="42.75" x14ac:dyDescent="0.2">
      <c r="A144">
        <v>144</v>
      </c>
      <c r="B144" t="s">
        <v>48</v>
      </c>
      <c r="C144" s="295" t="str">
        <f>"Case ID: "&amp;'Adding Doors'!C10&amp;CHAR(10)&amp;"Door Type: "&amp;'Adding Doors'!G10&amp;CHAR(10)&amp;"Width of each case: "&amp;'Adding Doors'!H10&amp;" ft"</f>
        <v>Case ID: 
Door Type: 
Width of each case:  ft</v>
      </c>
      <c r="D144" s="295">
        <f>'Adding Doors'!I10</f>
        <v>0</v>
      </c>
      <c r="E144" t="s">
        <v>367</v>
      </c>
      <c r="F144" t="e">
        <f t="shared" si="11"/>
        <v>#DIV/0!</v>
      </c>
      <c r="G144" s="296" t="str">
        <f>'Adding Doors'!X10</f>
        <v/>
      </c>
      <c r="H144" s="303" t="str">
        <f>'Adding Doors'!AA10</f>
        <v/>
      </c>
      <c r="I144" t="e">
        <f t="shared" si="12"/>
        <v>#VALUE!</v>
      </c>
      <c r="J144" t="str">
        <f>'Adding Doors'!AC10</f>
        <v/>
      </c>
    </row>
    <row r="145" spans="1:10" ht="42.75" x14ac:dyDescent="0.2">
      <c r="A145">
        <v>145</v>
      </c>
      <c r="B145" t="s">
        <v>48</v>
      </c>
      <c r="C145" s="295" t="str">
        <f>"Case ID: "&amp;'Adding Doors'!C11&amp;CHAR(10)&amp;"Door Type: "&amp;'Adding Doors'!G11&amp;CHAR(10)&amp;"Width of each case: "&amp;'Adding Doors'!H11&amp;" ft"</f>
        <v>Case ID: 
Door Type: 
Width of each case:  ft</v>
      </c>
      <c r="D145" s="295">
        <f>'Adding Doors'!I11</f>
        <v>0</v>
      </c>
      <c r="E145" t="s">
        <v>367</v>
      </c>
      <c r="F145" t="e">
        <f t="shared" si="11"/>
        <v>#DIV/0!</v>
      </c>
      <c r="G145" s="296" t="str">
        <f>'Adding Doors'!X11</f>
        <v/>
      </c>
      <c r="H145" s="303" t="str">
        <f>'Adding Doors'!AA11</f>
        <v/>
      </c>
      <c r="I145" t="e">
        <f t="shared" si="12"/>
        <v>#VALUE!</v>
      </c>
      <c r="J145" t="str">
        <f>'Adding Doors'!AC11</f>
        <v/>
      </c>
    </row>
    <row r="146" spans="1:10" ht="42.75" x14ac:dyDescent="0.2">
      <c r="A146">
        <v>146</v>
      </c>
      <c r="B146" t="s">
        <v>48</v>
      </c>
      <c r="C146" s="295" t="str">
        <f>"Case ID: "&amp;'Adding Doors'!C12&amp;CHAR(10)&amp;"Door Type: "&amp;'Adding Doors'!G12&amp;CHAR(10)&amp;"Width of each case: "&amp;'Adding Doors'!H12&amp;" ft"</f>
        <v>Case ID: 
Door Type: 
Width of each case:  ft</v>
      </c>
      <c r="D146" s="295">
        <f>'Adding Doors'!I12</f>
        <v>0</v>
      </c>
      <c r="E146" t="s">
        <v>367</v>
      </c>
      <c r="F146" t="e">
        <f t="shared" si="11"/>
        <v>#DIV/0!</v>
      </c>
      <c r="G146" s="296" t="str">
        <f>'Adding Doors'!X12</f>
        <v/>
      </c>
      <c r="H146" s="303" t="str">
        <f>'Adding Doors'!AA12</f>
        <v/>
      </c>
      <c r="I146" t="e">
        <f t="shared" si="12"/>
        <v>#VALUE!</v>
      </c>
      <c r="J146" t="str">
        <f>'Adding Doors'!AC12</f>
        <v/>
      </c>
    </row>
    <row r="147" spans="1:10" ht="42.75" x14ac:dyDescent="0.2">
      <c r="A147">
        <v>147</v>
      </c>
      <c r="B147" t="s">
        <v>48</v>
      </c>
      <c r="C147" s="295" t="str">
        <f>"Case ID: "&amp;'Adding Doors'!C13&amp;CHAR(10)&amp;"Door Type: "&amp;'Adding Doors'!G13&amp;CHAR(10)&amp;"Width of each case: "&amp;'Adding Doors'!H13&amp;" ft"</f>
        <v>Case ID: 
Door Type: 
Width of each case:  ft</v>
      </c>
      <c r="D147" s="295">
        <f>'Adding Doors'!I13</f>
        <v>0</v>
      </c>
      <c r="E147" t="s">
        <v>367</v>
      </c>
      <c r="F147" t="e">
        <f t="shared" si="11"/>
        <v>#DIV/0!</v>
      </c>
      <c r="G147" s="296" t="str">
        <f>'Adding Doors'!X13</f>
        <v/>
      </c>
      <c r="H147" s="303" t="str">
        <f>'Adding Doors'!AA13</f>
        <v/>
      </c>
      <c r="I147" t="e">
        <f t="shared" si="12"/>
        <v>#VALUE!</v>
      </c>
      <c r="J147" t="str">
        <f>'Adding Doors'!AC13</f>
        <v/>
      </c>
    </row>
    <row r="148" spans="1:10" ht="42.75" x14ac:dyDescent="0.2">
      <c r="A148">
        <v>148</v>
      </c>
      <c r="B148" t="s">
        <v>48</v>
      </c>
      <c r="C148" s="295" t="str">
        <f>"Case ID: "&amp;'Adding Doors'!C14&amp;CHAR(10)&amp;"Door Type: "&amp;'Adding Doors'!G14&amp;CHAR(10)&amp;"Width of each case: "&amp;'Adding Doors'!H14&amp;" ft"</f>
        <v>Case ID: 
Door Type: 
Width of each case:  ft</v>
      </c>
      <c r="D148" s="295">
        <f>'Adding Doors'!I14</f>
        <v>0</v>
      </c>
      <c r="E148" t="s">
        <v>367</v>
      </c>
      <c r="F148" t="e">
        <f t="shared" si="11"/>
        <v>#DIV/0!</v>
      </c>
      <c r="G148" s="296" t="str">
        <f>'Adding Doors'!X14</f>
        <v/>
      </c>
      <c r="H148" s="303" t="str">
        <f>'Adding Doors'!AA14</f>
        <v/>
      </c>
      <c r="I148" t="e">
        <f t="shared" si="12"/>
        <v>#VALUE!</v>
      </c>
      <c r="J148" t="str">
        <f>'Adding Doors'!AC14</f>
        <v/>
      </c>
    </row>
    <row r="149" spans="1:10" ht="42.75" x14ac:dyDescent="0.2">
      <c r="A149">
        <v>149</v>
      </c>
      <c r="B149" t="s">
        <v>48</v>
      </c>
      <c r="C149" s="295" t="str">
        <f>"Case ID: "&amp;'Adding Doors'!C15&amp;CHAR(10)&amp;"Door Type: "&amp;'Adding Doors'!G15&amp;CHAR(10)&amp;"Width of each case: "&amp;'Adding Doors'!H15&amp;" ft"</f>
        <v>Case ID: 
Door Type: 
Width of each case:  ft</v>
      </c>
      <c r="D149" s="295">
        <f>'Adding Doors'!I15</f>
        <v>0</v>
      </c>
      <c r="E149" t="s">
        <v>367</v>
      </c>
      <c r="F149" t="e">
        <f t="shared" si="11"/>
        <v>#DIV/0!</v>
      </c>
      <c r="G149" s="296" t="str">
        <f>'Adding Doors'!X15</f>
        <v/>
      </c>
      <c r="H149" s="303" t="str">
        <f>'Adding Doors'!AA15</f>
        <v/>
      </c>
      <c r="I149" t="e">
        <f t="shared" si="12"/>
        <v>#VALUE!</v>
      </c>
      <c r="J149" t="str">
        <f>'Adding Doors'!AC15</f>
        <v/>
      </c>
    </row>
    <row r="150" spans="1:10" ht="42.75" x14ac:dyDescent="0.2">
      <c r="A150">
        <v>150</v>
      </c>
      <c r="B150" t="s">
        <v>48</v>
      </c>
      <c r="C150" s="295" t="str">
        <f>"Case ID: "&amp;'Adding Doors'!C16&amp;CHAR(10)&amp;"Door Type: "&amp;'Adding Doors'!G16&amp;CHAR(10)&amp;"Width of each case: "&amp;'Adding Doors'!H16&amp;" ft"</f>
        <v>Case ID: 
Door Type: 
Width of each case:  ft</v>
      </c>
      <c r="D150" s="295">
        <f>'Adding Doors'!I16</f>
        <v>0</v>
      </c>
      <c r="E150" t="s">
        <v>367</v>
      </c>
      <c r="F150" t="e">
        <f t="shared" si="11"/>
        <v>#DIV/0!</v>
      </c>
      <c r="G150" s="296" t="str">
        <f>'Adding Doors'!X16</f>
        <v/>
      </c>
      <c r="H150" s="303" t="str">
        <f>'Adding Doors'!AA16</f>
        <v/>
      </c>
      <c r="I150" t="e">
        <f t="shared" si="12"/>
        <v>#VALUE!</v>
      </c>
      <c r="J150" t="str">
        <f>'Adding Doors'!AC16</f>
        <v/>
      </c>
    </row>
    <row r="151" spans="1:10" ht="42.75" x14ac:dyDescent="0.2">
      <c r="A151">
        <v>151</v>
      </c>
      <c r="B151" t="s">
        <v>48</v>
      </c>
      <c r="C151" s="295" t="str">
        <f>"Case ID: "&amp;'Adding Doors'!C17&amp;CHAR(10)&amp;"Door Type: "&amp;'Adding Doors'!G17&amp;CHAR(10)&amp;"Width of each case: "&amp;'Adding Doors'!H17&amp;" ft"</f>
        <v>Case ID: 
Door Type: 
Width of each case:  ft</v>
      </c>
      <c r="D151" s="295">
        <f>'Adding Doors'!I17</f>
        <v>0</v>
      </c>
      <c r="E151" t="s">
        <v>367</v>
      </c>
      <c r="F151" t="e">
        <f t="shared" si="11"/>
        <v>#DIV/0!</v>
      </c>
      <c r="G151" s="296" t="str">
        <f>'Adding Doors'!X17</f>
        <v/>
      </c>
      <c r="H151" s="303" t="str">
        <f>'Adding Doors'!AA17</f>
        <v/>
      </c>
      <c r="I151" t="e">
        <f t="shared" si="12"/>
        <v>#VALUE!</v>
      </c>
      <c r="J151" t="str">
        <f>'Adding Doors'!AC17</f>
        <v/>
      </c>
    </row>
    <row r="152" spans="1:10" ht="28.5" x14ac:dyDescent="0.2">
      <c r="A152">
        <v>152</v>
      </c>
      <c r="B152" t="s">
        <v>371</v>
      </c>
      <c r="C152" s="295" t="str">
        <f>"Condenser ID: "&amp;'Air Cooled Ref Condenser'!C8&amp;CHAR(10)&amp;"Condenser size: "&amp;'Air Cooled Ref Condenser'!G8&amp;" ton(s)"</f>
        <v>Condenser ID: 
Condenser size:  ton(s)</v>
      </c>
      <c r="D152">
        <f>'Air Cooled Ref Condenser'!H8</f>
        <v>0</v>
      </c>
      <c r="E152" t="s">
        <v>365</v>
      </c>
      <c r="F152">
        <f t="shared" si="11"/>
        <v>0</v>
      </c>
      <c r="G152" s="296">
        <f>'Air Cooled Ref Condenser'!J8</f>
        <v>0</v>
      </c>
      <c r="H152" s="303">
        <f>'Air Cooled Ref Condenser'!K8</f>
        <v>0</v>
      </c>
      <c r="I152">
        <f t="shared" si="12"/>
        <v>0</v>
      </c>
      <c r="J152" t="str">
        <f>'Air Cooled Ref Condenser'!M8</f>
        <v/>
      </c>
    </row>
    <row r="153" spans="1:10" ht="28.5" x14ac:dyDescent="0.2">
      <c r="A153">
        <v>153</v>
      </c>
      <c r="B153" t="s">
        <v>371</v>
      </c>
      <c r="C153" s="295" t="str">
        <f>"Condenser ID: "&amp;'Air Cooled Ref Condenser'!C9&amp;CHAR(10)&amp;"Condenser size: "&amp;'Air Cooled Ref Condenser'!G9&amp;" ton(s)"</f>
        <v>Condenser ID: 
Condenser size:  ton(s)</v>
      </c>
      <c r="D153">
        <f>'Air Cooled Ref Condenser'!H9</f>
        <v>0</v>
      </c>
      <c r="E153" t="s">
        <v>365</v>
      </c>
      <c r="F153">
        <f t="shared" si="11"/>
        <v>0</v>
      </c>
      <c r="G153" s="296">
        <f>'Air Cooled Ref Condenser'!J9</f>
        <v>0</v>
      </c>
      <c r="H153" s="303">
        <f>'Air Cooled Ref Condenser'!K9</f>
        <v>0</v>
      </c>
      <c r="I153">
        <f t="shared" si="12"/>
        <v>0</v>
      </c>
      <c r="J153" t="str">
        <f>'Air Cooled Ref Condenser'!M9</f>
        <v/>
      </c>
    </row>
    <row r="154" spans="1:10" ht="28.5" x14ac:dyDescent="0.2">
      <c r="A154">
        <v>154</v>
      </c>
      <c r="B154" t="s">
        <v>371</v>
      </c>
      <c r="C154" s="295" t="str">
        <f>"Condenser ID: "&amp;'Air Cooled Ref Condenser'!C10&amp;CHAR(10)&amp;"Condenser size: "&amp;'Air Cooled Ref Condenser'!G10&amp;" ton(s)"</f>
        <v>Condenser ID: 
Condenser size:  ton(s)</v>
      </c>
      <c r="D154">
        <f>'Air Cooled Ref Condenser'!H10</f>
        <v>0</v>
      </c>
      <c r="E154" t="s">
        <v>365</v>
      </c>
      <c r="F154">
        <f t="shared" si="11"/>
        <v>0</v>
      </c>
      <c r="G154" s="296">
        <f>'Air Cooled Ref Condenser'!J10</f>
        <v>0</v>
      </c>
      <c r="H154" s="303">
        <f>'Air Cooled Ref Condenser'!K10</f>
        <v>0</v>
      </c>
      <c r="I154">
        <f t="shared" si="12"/>
        <v>0</v>
      </c>
      <c r="J154" t="str">
        <f>'Air Cooled Ref Condenser'!M10</f>
        <v/>
      </c>
    </row>
    <row r="155" spans="1:10" ht="28.5" x14ac:dyDescent="0.2">
      <c r="A155">
        <v>155</v>
      </c>
      <c r="B155" t="s">
        <v>371</v>
      </c>
      <c r="C155" s="295" t="str">
        <f>"Condenser ID: "&amp;'Air Cooled Ref Condenser'!C11&amp;CHAR(10)&amp;"Condenser size: "&amp;'Air Cooled Ref Condenser'!G11&amp;" ton(s)"</f>
        <v>Condenser ID: 
Condenser size:  ton(s)</v>
      </c>
      <c r="D155">
        <f>'Air Cooled Ref Condenser'!H11</f>
        <v>0</v>
      </c>
      <c r="E155" t="s">
        <v>365</v>
      </c>
      <c r="F155">
        <f t="shared" si="11"/>
        <v>0</v>
      </c>
      <c r="G155" s="296">
        <f>'Air Cooled Ref Condenser'!J11</f>
        <v>0</v>
      </c>
      <c r="H155" s="303">
        <f>'Air Cooled Ref Condenser'!K11</f>
        <v>0</v>
      </c>
      <c r="I155">
        <f t="shared" si="12"/>
        <v>0</v>
      </c>
      <c r="J155" t="str">
        <f>'Air Cooled Ref Condenser'!M11</f>
        <v/>
      </c>
    </row>
    <row r="156" spans="1:10" ht="28.5" x14ac:dyDescent="0.2">
      <c r="A156">
        <v>156</v>
      </c>
      <c r="B156" t="s">
        <v>371</v>
      </c>
      <c r="C156" s="295" t="str">
        <f>"Condenser ID: "&amp;'Air Cooled Ref Condenser'!C12&amp;CHAR(10)&amp;"Condenser size: "&amp;'Air Cooled Ref Condenser'!G12&amp;" ton(s)"</f>
        <v>Condenser ID: 
Condenser size:  ton(s)</v>
      </c>
      <c r="D156">
        <f>'Air Cooled Ref Condenser'!H12</f>
        <v>0</v>
      </c>
      <c r="E156" t="s">
        <v>365</v>
      </c>
      <c r="F156">
        <f t="shared" si="11"/>
        <v>0</v>
      </c>
      <c r="G156" s="296">
        <f>'Air Cooled Ref Condenser'!J12</f>
        <v>0</v>
      </c>
      <c r="H156" s="303">
        <f>'Air Cooled Ref Condenser'!K12</f>
        <v>0</v>
      </c>
      <c r="I156">
        <f t="shared" si="12"/>
        <v>0</v>
      </c>
      <c r="J156" t="str">
        <f>'Air Cooled Ref Condenser'!M12</f>
        <v/>
      </c>
    </row>
    <row r="157" spans="1:10" ht="28.5" x14ac:dyDescent="0.2">
      <c r="A157">
        <v>157</v>
      </c>
      <c r="B157" t="s">
        <v>371</v>
      </c>
      <c r="C157" s="295" t="str">
        <f>"Condenser ID: "&amp;'Air Cooled Ref Condenser'!C13&amp;CHAR(10)&amp;"Condenser size: "&amp;'Air Cooled Ref Condenser'!G13&amp;" ton(s)"</f>
        <v>Condenser ID: 
Condenser size:  ton(s)</v>
      </c>
      <c r="D157">
        <f>'Air Cooled Ref Condenser'!H13</f>
        <v>0</v>
      </c>
      <c r="E157" t="s">
        <v>365</v>
      </c>
      <c r="F157">
        <f t="shared" si="11"/>
        <v>0</v>
      </c>
      <c r="G157" s="296">
        <f>'Air Cooled Ref Condenser'!J13</f>
        <v>0</v>
      </c>
      <c r="H157" s="303">
        <f>'Air Cooled Ref Condenser'!K13</f>
        <v>0</v>
      </c>
      <c r="I157">
        <f t="shared" si="12"/>
        <v>0</v>
      </c>
      <c r="J157" t="str">
        <f>'Air Cooled Ref Condenser'!M13</f>
        <v/>
      </c>
    </row>
    <row r="158" spans="1:10" ht="28.5" x14ac:dyDescent="0.2">
      <c r="A158">
        <v>158</v>
      </c>
      <c r="B158" t="s">
        <v>371</v>
      </c>
      <c r="C158" s="295" t="str">
        <f>"Condenser ID: "&amp;'Air Cooled Ref Condenser'!C14&amp;CHAR(10)&amp;"Condenser size: "&amp;'Air Cooled Ref Condenser'!G14&amp;" ton(s)"</f>
        <v>Condenser ID: 
Condenser size:  ton(s)</v>
      </c>
      <c r="D158">
        <f>'Air Cooled Ref Condenser'!H14</f>
        <v>0</v>
      </c>
      <c r="E158" t="s">
        <v>365</v>
      </c>
      <c r="F158">
        <f t="shared" si="11"/>
        <v>0</v>
      </c>
      <c r="G158" s="296">
        <f>'Air Cooled Ref Condenser'!J14</f>
        <v>0</v>
      </c>
      <c r="H158" s="303">
        <f>'Air Cooled Ref Condenser'!K14</f>
        <v>0</v>
      </c>
      <c r="I158">
        <f t="shared" si="12"/>
        <v>0</v>
      </c>
      <c r="J158" t="str">
        <f>'Air Cooled Ref Condenser'!M14</f>
        <v/>
      </c>
    </row>
    <row r="159" spans="1:10" ht="28.5" x14ac:dyDescent="0.2">
      <c r="A159">
        <v>159</v>
      </c>
      <c r="B159" t="s">
        <v>371</v>
      </c>
      <c r="C159" s="295" t="str">
        <f>"Condenser ID: "&amp;'Air Cooled Ref Condenser'!C15&amp;CHAR(10)&amp;"Condenser size: "&amp;'Air Cooled Ref Condenser'!G15&amp;" ton(s)"</f>
        <v>Condenser ID: 
Condenser size:  ton(s)</v>
      </c>
      <c r="D159">
        <f>'Air Cooled Ref Condenser'!H15</f>
        <v>0</v>
      </c>
      <c r="E159" t="s">
        <v>365</v>
      </c>
      <c r="F159">
        <f t="shared" si="11"/>
        <v>0</v>
      </c>
      <c r="G159" s="296">
        <f>'Air Cooled Ref Condenser'!J15</f>
        <v>0</v>
      </c>
      <c r="H159" s="303">
        <f>'Air Cooled Ref Condenser'!K15</f>
        <v>0</v>
      </c>
      <c r="I159">
        <f t="shared" si="12"/>
        <v>0</v>
      </c>
      <c r="J159" t="str">
        <f>'Air Cooled Ref Condenser'!M15</f>
        <v/>
      </c>
    </row>
    <row r="160" spans="1:10" ht="28.5" x14ac:dyDescent="0.2">
      <c r="A160">
        <v>160</v>
      </c>
      <c r="B160" t="s">
        <v>371</v>
      </c>
      <c r="C160" s="295" t="str">
        <f>"Condenser ID: "&amp;'Air Cooled Ref Condenser'!C16&amp;CHAR(10)&amp;"Condenser size: "&amp;'Air Cooled Ref Condenser'!G16&amp;" ton(s)"</f>
        <v>Condenser ID: 
Condenser size:  ton(s)</v>
      </c>
      <c r="D160">
        <f>'Air Cooled Ref Condenser'!H16</f>
        <v>0</v>
      </c>
      <c r="E160" t="s">
        <v>365</v>
      </c>
      <c r="F160">
        <f t="shared" si="11"/>
        <v>0</v>
      </c>
      <c r="G160" s="296">
        <f>'Air Cooled Ref Condenser'!J16</f>
        <v>0</v>
      </c>
      <c r="H160" s="303">
        <f>'Air Cooled Ref Condenser'!K16</f>
        <v>0</v>
      </c>
      <c r="I160">
        <f t="shared" si="12"/>
        <v>0</v>
      </c>
      <c r="J160" t="str">
        <f>'Air Cooled Ref Condenser'!M16</f>
        <v/>
      </c>
    </row>
    <row r="161" spans="1:10" ht="28.5" x14ac:dyDescent="0.2">
      <c r="A161">
        <v>161</v>
      </c>
      <c r="B161" t="s">
        <v>371</v>
      </c>
      <c r="C161" s="295" t="str">
        <f>"Condenser ID: "&amp;'Air Cooled Ref Condenser'!C17&amp;CHAR(10)&amp;"Condenser size: "&amp;'Air Cooled Ref Condenser'!G17&amp;" ton(s)"</f>
        <v>Condenser ID: 
Condenser size:  ton(s)</v>
      </c>
      <c r="D161">
        <f>'Air Cooled Ref Condenser'!H17</f>
        <v>0</v>
      </c>
      <c r="E161" t="s">
        <v>365</v>
      </c>
      <c r="F161">
        <f t="shared" si="11"/>
        <v>0</v>
      </c>
      <c r="G161" s="296">
        <f>'Air Cooled Ref Condenser'!J17</f>
        <v>0</v>
      </c>
      <c r="H161" s="303">
        <f>'Air Cooled Ref Condenser'!K17</f>
        <v>0</v>
      </c>
      <c r="I161">
        <f t="shared" si="12"/>
        <v>0</v>
      </c>
      <c r="J161" t="str">
        <f>'Air Cooled Ref Condenser'!M17</f>
        <v/>
      </c>
    </row>
    <row r="162" spans="1:10" ht="42.75" x14ac:dyDescent="0.2">
      <c r="A162">
        <v>162</v>
      </c>
      <c r="B162" t="s">
        <v>231</v>
      </c>
      <c r="C162" s="295" t="str">
        <f>"Condenser ID: "&amp;'Refrigeration Economizer'!C8&amp;CHAR(10)&amp;"Condenser type: "&amp;'Refrigeration Economizer'!H8&amp;CHAR(10)&amp;"Condenser size: "&amp;'Refrigeration Economizer'!G8&amp;" HP"</f>
        <v>Condenser ID: 
Condenser type: 
Condenser size:  HP</v>
      </c>
      <c r="D162">
        <f>'Refrigeration Economizer'!K8</f>
        <v>0</v>
      </c>
      <c r="E162" t="s">
        <v>372</v>
      </c>
      <c r="F162">
        <f t="shared" ref="F162:F171" si="13">IF(G162&gt;0,ProjectCost/COUNTIF(G$2:G$171,"&gt;0"),0)</f>
        <v>0</v>
      </c>
      <c r="G162" s="296">
        <f>'Refrigeration Economizer'!W8</f>
        <v>0</v>
      </c>
      <c r="H162" s="303">
        <f>'Refrigeration Economizer'!X8</f>
        <v>0</v>
      </c>
      <c r="I162">
        <f t="shared" ref="I162:I171" si="14">G162*kWh_Rate+H162*kW_Rate</f>
        <v>0</v>
      </c>
      <c r="J162" t="str">
        <f>'Refrigeration Economizer'!Z8</f>
        <v/>
      </c>
    </row>
    <row r="163" spans="1:10" ht="42.75" x14ac:dyDescent="0.2">
      <c r="A163">
        <v>163</v>
      </c>
      <c r="B163" t="s">
        <v>231</v>
      </c>
      <c r="C163" s="295" t="str">
        <f>"Condenser ID: "&amp;'Refrigeration Economizer'!C9&amp;CHAR(10)&amp;"Condenser type: "&amp;'Refrigeration Economizer'!H9&amp;CHAR(10)&amp;"Condenser size: "&amp;'Refrigeration Economizer'!G9&amp;" HP"</f>
        <v>Condenser ID: 
Condenser type: 
Condenser size:  HP</v>
      </c>
      <c r="D163">
        <f>'Refrigeration Economizer'!K9</f>
        <v>0</v>
      </c>
      <c r="E163" t="s">
        <v>372</v>
      </c>
      <c r="F163">
        <f t="shared" si="13"/>
        <v>0</v>
      </c>
      <c r="G163" s="296">
        <f>'Refrigeration Economizer'!W9</f>
        <v>0</v>
      </c>
      <c r="H163" s="303">
        <f>'Refrigeration Economizer'!X9</f>
        <v>0</v>
      </c>
      <c r="I163">
        <f t="shared" si="14"/>
        <v>0</v>
      </c>
      <c r="J163" t="str">
        <f>'Refrigeration Economizer'!Z9</f>
        <v/>
      </c>
    </row>
    <row r="164" spans="1:10" ht="42.75" x14ac:dyDescent="0.2">
      <c r="A164">
        <v>164</v>
      </c>
      <c r="B164" t="s">
        <v>231</v>
      </c>
      <c r="C164" s="295" t="str">
        <f>"Condenser ID: "&amp;'Refrigeration Economizer'!C10&amp;CHAR(10)&amp;"Condenser type: "&amp;'Refrigeration Economizer'!H10&amp;CHAR(10)&amp;"Condenser size: "&amp;'Refrigeration Economizer'!G10&amp;" HP"</f>
        <v>Condenser ID: 
Condenser type: 
Condenser size:  HP</v>
      </c>
      <c r="D164">
        <f>'Refrigeration Economizer'!K10</f>
        <v>0</v>
      </c>
      <c r="E164" t="s">
        <v>372</v>
      </c>
      <c r="F164">
        <f t="shared" si="13"/>
        <v>0</v>
      </c>
      <c r="G164" s="296">
        <f>'Refrigeration Economizer'!W10</f>
        <v>0</v>
      </c>
      <c r="H164" s="303">
        <f>'Refrigeration Economizer'!X10</f>
        <v>0</v>
      </c>
      <c r="I164">
        <f t="shared" si="14"/>
        <v>0</v>
      </c>
      <c r="J164" t="str">
        <f>'Refrigeration Economizer'!Z10</f>
        <v/>
      </c>
    </row>
    <row r="165" spans="1:10" ht="42.75" x14ac:dyDescent="0.2">
      <c r="A165">
        <v>165</v>
      </c>
      <c r="B165" t="s">
        <v>231</v>
      </c>
      <c r="C165" s="295" t="str">
        <f>"Condenser ID: "&amp;'Refrigeration Economizer'!C11&amp;CHAR(10)&amp;"Condenser type: "&amp;'Refrigeration Economizer'!H11&amp;CHAR(10)&amp;"Condenser size: "&amp;'Refrigeration Economizer'!G11&amp;" HP"</f>
        <v>Condenser ID: 
Condenser type: 
Condenser size:  HP</v>
      </c>
      <c r="D165">
        <f>'Refrigeration Economizer'!K11</f>
        <v>0</v>
      </c>
      <c r="E165" t="s">
        <v>372</v>
      </c>
      <c r="F165">
        <f t="shared" si="13"/>
        <v>0</v>
      </c>
      <c r="G165" s="296">
        <f>'Refrigeration Economizer'!W11</f>
        <v>0</v>
      </c>
      <c r="H165" s="303">
        <f>'Refrigeration Economizer'!X11</f>
        <v>0</v>
      </c>
      <c r="I165">
        <f t="shared" si="14"/>
        <v>0</v>
      </c>
      <c r="J165" t="str">
        <f>'Refrigeration Economizer'!Z11</f>
        <v/>
      </c>
    </row>
    <row r="166" spans="1:10" ht="42.75" x14ac:dyDescent="0.2">
      <c r="A166">
        <v>166</v>
      </c>
      <c r="B166" t="s">
        <v>231</v>
      </c>
      <c r="C166" s="295" t="str">
        <f>"Condenser ID: "&amp;'Refrigeration Economizer'!C12&amp;CHAR(10)&amp;"Condenser type: "&amp;'Refrigeration Economizer'!H12&amp;CHAR(10)&amp;"Condenser size: "&amp;'Refrigeration Economizer'!G12&amp;" HP"</f>
        <v>Condenser ID: 
Condenser type: 
Condenser size:  HP</v>
      </c>
      <c r="D166">
        <f>'Refrigeration Economizer'!K12</f>
        <v>0</v>
      </c>
      <c r="E166" t="s">
        <v>372</v>
      </c>
      <c r="F166">
        <f t="shared" si="13"/>
        <v>0</v>
      </c>
      <c r="G166" s="296">
        <f>'Refrigeration Economizer'!W12</f>
        <v>0</v>
      </c>
      <c r="H166" s="303">
        <f>'Refrigeration Economizer'!X12</f>
        <v>0</v>
      </c>
      <c r="I166">
        <f t="shared" si="14"/>
        <v>0</v>
      </c>
      <c r="J166" t="str">
        <f>'Refrigeration Economizer'!Z12</f>
        <v/>
      </c>
    </row>
    <row r="167" spans="1:10" ht="42.75" x14ac:dyDescent="0.2">
      <c r="A167">
        <v>167</v>
      </c>
      <c r="B167" t="s">
        <v>231</v>
      </c>
      <c r="C167" s="295" t="str">
        <f>"Condenser ID: "&amp;'Refrigeration Economizer'!C13&amp;CHAR(10)&amp;"Condenser type: "&amp;'Refrigeration Economizer'!H13&amp;CHAR(10)&amp;"Condenser size: "&amp;'Refrigeration Economizer'!G13&amp;" HP"</f>
        <v>Condenser ID: 
Condenser type: 
Condenser size:  HP</v>
      </c>
      <c r="D167">
        <f>'Refrigeration Economizer'!K13</f>
        <v>0</v>
      </c>
      <c r="E167" t="s">
        <v>372</v>
      </c>
      <c r="F167">
        <f t="shared" si="13"/>
        <v>0</v>
      </c>
      <c r="G167" s="296">
        <f>'Refrigeration Economizer'!W13</f>
        <v>0</v>
      </c>
      <c r="H167" s="303">
        <f>'Refrigeration Economizer'!X13</f>
        <v>0</v>
      </c>
      <c r="I167">
        <f t="shared" si="14"/>
        <v>0</v>
      </c>
      <c r="J167" t="str">
        <f>'Refrigeration Economizer'!Z13</f>
        <v/>
      </c>
    </row>
    <row r="168" spans="1:10" ht="42.75" x14ac:dyDescent="0.2">
      <c r="A168">
        <v>168</v>
      </c>
      <c r="B168" t="s">
        <v>231</v>
      </c>
      <c r="C168" s="295" t="str">
        <f>"Condenser ID: "&amp;'Refrigeration Economizer'!C14&amp;CHAR(10)&amp;"Condenser type: "&amp;'Refrigeration Economizer'!H14&amp;CHAR(10)&amp;"Condenser size: "&amp;'Refrigeration Economizer'!G14&amp;" HP"</f>
        <v>Condenser ID: 
Condenser type: 
Condenser size:  HP</v>
      </c>
      <c r="D168">
        <f>'Refrigeration Economizer'!K14</f>
        <v>0</v>
      </c>
      <c r="E168" t="s">
        <v>372</v>
      </c>
      <c r="F168">
        <f t="shared" si="13"/>
        <v>0</v>
      </c>
      <c r="G168" s="296">
        <f>'Refrigeration Economizer'!W14</f>
        <v>0</v>
      </c>
      <c r="H168" s="303">
        <f>'Refrigeration Economizer'!X14</f>
        <v>0</v>
      </c>
      <c r="I168">
        <f t="shared" si="14"/>
        <v>0</v>
      </c>
      <c r="J168" t="str">
        <f>'Refrigeration Economizer'!Z14</f>
        <v/>
      </c>
    </row>
    <row r="169" spans="1:10" ht="42.75" x14ac:dyDescent="0.2">
      <c r="A169">
        <v>169</v>
      </c>
      <c r="B169" t="s">
        <v>231</v>
      </c>
      <c r="C169" s="295" t="str">
        <f>"Condenser ID: "&amp;'Refrigeration Economizer'!C15&amp;CHAR(10)&amp;"Condenser type: "&amp;'Refrigeration Economizer'!H15&amp;CHAR(10)&amp;"Condenser size: "&amp;'Refrigeration Economizer'!G15&amp;" HP"</f>
        <v>Condenser ID: 
Condenser type: 
Condenser size:  HP</v>
      </c>
      <c r="D169">
        <f>'Refrigeration Economizer'!K15</f>
        <v>0</v>
      </c>
      <c r="E169" t="s">
        <v>372</v>
      </c>
      <c r="F169">
        <f t="shared" si="13"/>
        <v>0</v>
      </c>
      <c r="G169" s="296">
        <f>'Refrigeration Economizer'!W15</f>
        <v>0</v>
      </c>
      <c r="H169" s="303">
        <f>'Refrigeration Economizer'!X15</f>
        <v>0</v>
      </c>
      <c r="I169">
        <f t="shared" si="14"/>
        <v>0</v>
      </c>
      <c r="J169" t="str">
        <f>'Refrigeration Economizer'!Z15</f>
        <v/>
      </c>
    </row>
    <row r="170" spans="1:10" ht="42.75" x14ac:dyDescent="0.2">
      <c r="A170">
        <v>170</v>
      </c>
      <c r="B170" t="s">
        <v>231</v>
      </c>
      <c r="C170" s="295" t="str">
        <f>"Condenser ID: "&amp;'Refrigeration Economizer'!C16&amp;CHAR(10)&amp;"Condenser type: "&amp;'Refrigeration Economizer'!H16&amp;CHAR(10)&amp;"Condenser size: "&amp;'Refrigeration Economizer'!G16&amp;" HP"</f>
        <v>Condenser ID: 
Condenser type: 
Condenser size:  HP</v>
      </c>
      <c r="D170">
        <f>'Refrigeration Economizer'!K16</f>
        <v>0</v>
      </c>
      <c r="E170" t="s">
        <v>372</v>
      </c>
      <c r="F170">
        <f t="shared" si="13"/>
        <v>0</v>
      </c>
      <c r="G170" s="296">
        <f>'Refrigeration Economizer'!W16</f>
        <v>0</v>
      </c>
      <c r="H170" s="303">
        <f>'Refrigeration Economizer'!X16</f>
        <v>0</v>
      </c>
      <c r="I170">
        <f t="shared" si="14"/>
        <v>0</v>
      </c>
      <c r="J170" t="str">
        <f>'Refrigeration Economizer'!Z16</f>
        <v/>
      </c>
    </row>
    <row r="171" spans="1:10" ht="42.75" x14ac:dyDescent="0.2">
      <c r="A171">
        <v>171</v>
      </c>
      <c r="B171" t="s">
        <v>231</v>
      </c>
      <c r="C171" s="295" t="str">
        <f>"Condenser ID: "&amp;'Refrigeration Economizer'!C17&amp;CHAR(10)&amp;"Condenser type: "&amp;'Refrigeration Economizer'!H17&amp;CHAR(10)&amp;"Condenser size: "&amp;'Refrigeration Economizer'!G17&amp;" HP"</f>
        <v>Condenser ID: 
Condenser type: 
Condenser size:  HP</v>
      </c>
      <c r="D171">
        <f>'Refrigeration Economizer'!K17</f>
        <v>0</v>
      </c>
      <c r="E171" t="s">
        <v>372</v>
      </c>
      <c r="F171">
        <f t="shared" si="13"/>
        <v>0</v>
      </c>
      <c r="G171" s="296">
        <f>'Refrigeration Economizer'!W17</f>
        <v>0</v>
      </c>
      <c r="H171" s="303">
        <f>'Refrigeration Economizer'!X17</f>
        <v>0</v>
      </c>
      <c r="I171">
        <f t="shared" si="14"/>
        <v>0</v>
      </c>
      <c r="J171" t="str">
        <f>'Refrigeration Economizer'!Z17</f>
        <v/>
      </c>
    </row>
  </sheetData>
  <phoneticPr fontId="90"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F96E70731EB54292983A8187A83857" ma:contentTypeVersion="20" ma:contentTypeDescription="Create a new document." ma:contentTypeScope="" ma:versionID="eb833a75e8dc36a4ba8eb984a1a34832">
  <xsd:schema xmlns:xsd="http://www.w3.org/2001/XMLSchema" xmlns:xs="http://www.w3.org/2001/XMLSchema" xmlns:p="http://schemas.microsoft.com/office/2006/metadata/properties" xmlns:ns2="98788742-c24c-455f-83e9-59d89e3de440" xmlns:ns3="52741100-c965-4fd4-8aa7-2d9d842b1c91" targetNamespace="http://schemas.microsoft.com/office/2006/metadata/properties" ma:root="true" ma:fieldsID="2e10f29de20600cc7ba68cb2f4a4e256" ns2:_="" ns3:_="">
    <xsd:import namespace="98788742-c24c-455f-83e9-59d89e3de440"/>
    <xsd:import namespace="52741100-c965-4fd4-8aa7-2d9d842b1c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788742-c24c-455f-83e9-59d89e3de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f6033a7-fbac-4cd0-8a8a-00b65ae7f6db"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741100-c965-4fd4-8aa7-2d9d842b1c9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59b68ff-026d-4505-85f4-9dfcb1bec11e}" ma:internalName="TaxCatchAll" ma:showField="CatchAllData" ma:web="52741100-c965-4fd4-8aa7-2d9d842b1c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8788742-c24c-455f-83e9-59d89e3de440">
      <Terms xmlns="http://schemas.microsoft.com/office/infopath/2007/PartnerControls"/>
    </lcf76f155ced4ddcb4097134ff3c332f>
    <TaxCatchAll xmlns="52741100-c965-4fd4-8aa7-2d9d842b1c91" xsi:nil="true"/>
  </documentManagement>
</p:properties>
</file>

<file path=customXml/itemProps1.xml><?xml version="1.0" encoding="utf-8"?>
<ds:datastoreItem xmlns:ds="http://schemas.openxmlformats.org/officeDocument/2006/customXml" ds:itemID="{FDEBB684-D888-4408-8779-D133CF7FB4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788742-c24c-455f-83e9-59d89e3de440"/>
    <ds:schemaRef ds:uri="52741100-c965-4fd4-8aa7-2d9d842b1c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0B3BCE-C7AB-4CCB-B8FC-4E0C0BDAFD79}">
  <ds:schemaRefs>
    <ds:schemaRef ds:uri="http://schemas.microsoft.com/sharepoint/v3/contenttype/forms"/>
  </ds:schemaRefs>
</ds:datastoreItem>
</file>

<file path=customXml/itemProps3.xml><?xml version="1.0" encoding="utf-8"?>
<ds:datastoreItem xmlns:ds="http://schemas.openxmlformats.org/officeDocument/2006/customXml" ds:itemID="{37399D27-9BFE-4155-AE52-51AF6A72D0EF}">
  <ds:schemaRefs>
    <ds:schemaRef ds:uri="98788742-c24c-455f-83e9-59d89e3de440"/>
    <ds:schemaRef ds:uri="http://purl.org/dc/elements/1.1/"/>
    <ds:schemaRef ds:uri="http://schemas.microsoft.com/office/2006/documentManagement/types"/>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52741100-c965-4fd4-8aa7-2d9d842b1c9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25</vt:i4>
      </vt:variant>
    </vt:vector>
  </HeadingPairs>
  <TitlesOfParts>
    <vt:vector size="57" baseType="lpstr">
      <vt:lpstr>Zip Code Lookup Table</vt:lpstr>
      <vt:lpstr>Methodology Part 1 </vt:lpstr>
      <vt:lpstr>Methodology Part 2</vt:lpstr>
      <vt:lpstr>Printable Report</vt:lpstr>
      <vt:lpstr>Instructions</vt:lpstr>
      <vt:lpstr>Project Summary</vt:lpstr>
      <vt:lpstr>Data Export</vt:lpstr>
      <vt:lpstr>Version Log</vt:lpstr>
      <vt:lpstr>Measure List</vt:lpstr>
      <vt:lpstr>Utility Admin</vt:lpstr>
      <vt:lpstr>Incentives</vt:lpstr>
      <vt:lpstr>Look Up Tables</vt:lpstr>
      <vt:lpstr>Sheet1</vt:lpstr>
      <vt:lpstr>High Eff Ref Freeze</vt:lpstr>
      <vt:lpstr>Evap Fan Motors</vt:lpstr>
      <vt:lpstr>Anti Sweat</vt:lpstr>
      <vt:lpstr>Float Control</vt:lpstr>
      <vt:lpstr>Fan Control</vt:lpstr>
      <vt:lpstr>Strip Curtains</vt:lpstr>
      <vt:lpstr>VS Ref Comp</vt:lpstr>
      <vt:lpstr>Coil Defrost</vt:lpstr>
      <vt:lpstr>Night Covers</vt:lpstr>
      <vt:lpstr>Auto Closer</vt:lpstr>
      <vt:lpstr>Door Replace Open2021</vt:lpstr>
      <vt:lpstr>Door Replace Open</vt:lpstr>
      <vt:lpstr>Adding Doors</vt:lpstr>
      <vt:lpstr>Door Gaskets</vt:lpstr>
      <vt:lpstr>Special Doors</vt:lpstr>
      <vt:lpstr>Pipe Insulation</vt:lpstr>
      <vt:lpstr>Cooler Shutoff</vt:lpstr>
      <vt:lpstr>Air Cooled Ref Condenser</vt:lpstr>
      <vt:lpstr>Refrigeration Economizer</vt:lpstr>
      <vt:lpstr>Incentives!_Ref532989422</vt:lpstr>
      <vt:lpstr>'Look Up Tables'!_Ref532989422</vt:lpstr>
      <vt:lpstr>CR_Utility</vt:lpstr>
      <vt:lpstr>CR_Utility_Alt</vt:lpstr>
      <vt:lpstr>kW_Rate</vt:lpstr>
      <vt:lpstr>kWh_Rate</vt:lpstr>
      <vt:lpstr>'Adding Doors'!Print_Area</vt:lpstr>
      <vt:lpstr>'Anti Sweat'!Print_Area</vt:lpstr>
      <vt:lpstr>'Auto Closer'!Print_Area</vt:lpstr>
      <vt:lpstr>'Coil Defrost'!Print_Area</vt:lpstr>
      <vt:lpstr>'Cooler Shutoff'!Print_Area</vt:lpstr>
      <vt:lpstr>'Door Gaskets'!Print_Area</vt:lpstr>
      <vt:lpstr>'Door Replace Open'!Print_Area</vt:lpstr>
      <vt:lpstr>'Door Replace Open2021'!Print_Area</vt:lpstr>
      <vt:lpstr>'Evap Fan Motors'!Print_Area</vt:lpstr>
      <vt:lpstr>'Fan Control'!Print_Area</vt:lpstr>
      <vt:lpstr>'Float Control'!Print_Area</vt:lpstr>
      <vt:lpstr>'High Eff Ref Freeze'!Print_Area</vt:lpstr>
      <vt:lpstr>'Night Covers'!Print_Area</vt:lpstr>
      <vt:lpstr>'Pipe Insulation'!Print_Area</vt:lpstr>
      <vt:lpstr>'Project Summary'!Print_Area</vt:lpstr>
      <vt:lpstr>'Special Doors'!Print_Area</vt:lpstr>
      <vt:lpstr>'Strip Curtains'!Print_Area</vt:lpstr>
      <vt:lpstr>'VS Ref Comp'!Print_Area</vt:lpstr>
      <vt:lpstr>ProjectCost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Morency</dc:creator>
  <cp:keywords/>
  <dc:description/>
  <cp:lastModifiedBy>Nick Momenee</cp:lastModifiedBy>
  <cp:revision/>
  <dcterms:created xsi:type="dcterms:W3CDTF">2014-05-06T17:45:34Z</dcterms:created>
  <dcterms:modified xsi:type="dcterms:W3CDTF">2026-07-06T12:49:58Z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dlc_DocIdItemGuid">
    <vt:lpwstr>a4cae1f8-bc12-446a-99ab-1e69d7b1254e</vt:lpwstr>
  </property>
  <property fmtid="{D5CDD505-2E9C-101B-9397-08002B2CF9AE}" pid="4" name="ContentTypeId">
    <vt:lpwstr>0x0101001BF96E70731EB54292983A8187A83857</vt:lpwstr>
  </property>
  <property fmtid="{D5CDD505-2E9C-101B-9397-08002B2CF9AE}" pid="5" name="TaxKeyword">
    <vt:lpwstr/>
  </property>
  <property fmtid="{D5CDD505-2E9C-101B-9397-08002B2CF9AE}" pid="6" name="MediaServiceImageTags">
    <vt:lpwstr/>
  </property>
</Properties>
</file>