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01"/>
  <workbookPr/>
  <mc:AlternateContent xmlns:mc="http://schemas.openxmlformats.org/markup-compatibility/2006">
    <mc:Choice Requires="x15">
      <x15ac:absPath xmlns:x15ac="http://schemas.microsoft.com/office/spreadsheetml/2010/11/ac" url="https://clearesult5-my.sharepoint.com/personal/angelique_quinn_clearesult_com/Documents/Desktop/New Calculators/"/>
    </mc:Choice>
  </mc:AlternateContent>
  <xr:revisionPtr revIDLastSave="0" documentId="8_{56AFFF7D-3530-4EBB-8F6C-04682D1129E1}" xr6:coauthVersionLast="47" xr6:coauthVersionMax="47" xr10:uidLastSave="{00000000-0000-0000-0000-000000000000}"/>
  <workbookProtection workbookAlgorithmName="SHA-512" workbookHashValue="e+0I2BlKZIq24tv5qitC8NrhPC97/6CbWkBNR8H6aaRD7JHmVtBV4ii3UeVRZmY3C9jIto/MXstFDDslKC/AIA==" workbookSaltValue="KC8u2XH7N3bi3FvhsFMvaw==" workbookSpinCount="100000" lockStructure="1"/>
  <bookViews>
    <workbookView xWindow="-120" yWindow="-120" windowWidth="20730" windowHeight="11160" tabRatio="665" xr2:uid="{00000000-000D-0000-FFFF-FFFF00000000}"/>
  </bookViews>
  <sheets>
    <sheet name="Instructions" sheetId="16" r:id="rId1"/>
    <sheet name="Methodology" sheetId="21" state="hidden" r:id="rId2"/>
    <sheet name="Project Summary" sheetId="34" r:id="rId3"/>
    <sheet name="Premium Eff Motor" sheetId="32" r:id="rId4"/>
    <sheet name="VFDs" sheetId="33" r:id="rId5"/>
    <sheet name="ECM Fan" sheetId="31" r:id="rId6"/>
    <sheet name="VSD Kitchen Fan" sheetId="30" r:id="rId7"/>
    <sheet name="ECM Circulator Pump" sheetId="35" r:id="rId8"/>
    <sheet name="High Efficiency Pumps" sheetId="36" r:id="rId9"/>
    <sheet name="Lookup Table" sheetId="5" state="hidden" r:id="rId10"/>
    <sheet name="Data Export" sheetId="43" state="hidden" r:id="rId11"/>
    <sheet name="Version Log" sheetId="29" state="hidden" r:id="rId12"/>
    <sheet name="Supply Fans" sheetId="38" state="hidden" r:id="rId13"/>
    <sheet name="Chilled Water Pumps" sheetId="39" state="hidden" r:id="rId14"/>
    <sheet name="Cooling Tower Fan" sheetId="40" state="hidden" r:id="rId15"/>
    <sheet name="Heating Hot Water Pumps" sheetId="41" state="hidden" r:id="rId16"/>
    <sheet name="Condenser Water Pumps" sheetId="42" state="hidden" r:id="rId17"/>
  </sheets>
  <definedNames>
    <definedName name="_xlnm._FilterDatabase" localSheetId="13" hidden="1">'Chilled Water Pumps'!$A$1:$K$17</definedName>
    <definedName name="_xlnm._FilterDatabase" localSheetId="16" hidden="1">'Condenser Water Pumps'!$A$1:$K$17</definedName>
    <definedName name="_xlnm._FilterDatabase" localSheetId="14" hidden="1">'Cooling Tower Fan'!$A$1:$K$17</definedName>
    <definedName name="_xlnm._FilterDatabase" localSheetId="15" hidden="1">'Heating Hot Water Pumps'!$A$1:$K$17</definedName>
    <definedName name="_xlnm._FilterDatabase" localSheetId="9" hidden="1">'Lookup Table'!$B$73:$I$190</definedName>
    <definedName name="_xlnm._FilterDatabase" localSheetId="12" hidden="1">'Supply Fans'!$A$1:$K$27</definedName>
    <definedName name="HVAC_Fan_Control_Type">'Lookup Table'!$K$230:$K$236</definedName>
    <definedName name="HVAC_Fan_Motor_Function">'Lookup Table'!$J$3:$J$4</definedName>
    <definedName name="HVAC_Pump_Control_Type">'Lookup Table'!$K$240:$K$242</definedName>
    <definedName name="HVAC_Pump_Motor_Function">'Lookup Table'!$J$5:$J$7</definedName>
    <definedName name="_xlnm.Print_Area" localSheetId="5">'ECM Fan'!$B$3:$F$22</definedName>
    <definedName name="_xlnm.Print_Area" localSheetId="3">'Premium Eff Motor'!$B$3:$D$22</definedName>
    <definedName name="_xlnm.Print_Area" localSheetId="2">'Project Summary'!$B$3:$D$26</definedName>
    <definedName name="_xlnm.Print_Area" localSheetId="4">VFDs!$B$3:$G$22</definedName>
    <definedName name="_xlnm.Print_Area" localSheetId="6">'VSD Kitchen Fan'!$B$3:$F$22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31" l="1"/>
  <c r="J16" i="31"/>
  <c r="J15" i="31"/>
  <c r="J14" i="31"/>
  <c r="J13" i="31"/>
  <c r="J12" i="31"/>
  <c r="J11" i="31"/>
  <c r="J10" i="31"/>
  <c r="J9" i="31"/>
  <c r="J8" i="31"/>
  <c r="F17" i="32"/>
  <c r="F16" i="32"/>
  <c r="F15" i="32"/>
  <c r="F14" i="32"/>
  <c r="F13" i="32"/>
  <c r="F12" i="32"/>
  <c r="F11" i="32"/>
  <c r="F10" i="32"/>
  <c r="F9" i="32"/>
  <c r="F8" i="32"/>
  <c r="L9" i="30"/>
  <c r="L10" i="30"/>
  <c r="L11" i="30"/>
  <c r="L12" i="30"/>
  <c r="L13" i="30"/>
  <c r="L14" i="30"/>
  <c r="L15" i="30"/>
  <c r="L16" i="30"/>
  <c r="L17" i="30"/>
  <c r="L8" i="30"/>
  <c r="E18" i="34" l="1"/>
  <c r="V17" i="35"/>
  <c r="V16" i="35"/>
  <c r="X16" i="35" s="1"/>
  <c r="V15" i="35"/>
  <c r="V14" i="35"/>
  <c r="V13" i="35"/>
  <c r="V12" i="35"/>
  <c r="V11" i="35"/>
  <c r="V10" i="35"/>
  <c r="K17" i="30"/>
  <c r="K16" i="30"/>
  <c r="K15" i="30"/>
  <c r="K14" i="30"/>
  <c r="K13" i="30"/>
  <c r="K12" i="30"/>
  <c r="K11" i="30"/>
  <c r="K10" i="30"/>
  <c r="K9" i="30"/>
  <c r="K8" i="30"/>
  <c r="J17" i="30"/>
  <c r="J16" i="30"/>
  <c r="J15" i="30"/>
  <c r="J14" i="30"/>
  <c r="J13" i="30"/>
  <c r="J12" i="30"/>
  <c r="J11" i="30"/>
  <c r="J10" i="30"/>
  <c r="J9" i="30"/>
  <c r="J8" i="30"/>
  <c r="AA17" i="31"/>
  <c r="AA16" i="31"/>
  <c r="AA15" i="31"/>
  <c r="AA14" i="31"/>
  <c r="AA13" i="31"/>
  <c r="AA12" i="31"/>
  <c r="AA11" i="31"/>
  <c r="AA10" i="31"/>
  <c r="AA9" i="31"/>
  <c r="W17" i="35"/>
  <c r="W16" i="35"/>
  <c r="W15" i="35"/>
  <c r="W14" i="35"/>
  <c r="W13" i="35"/>
  <c r="W12" i="35"/>
  <c r="W11" i="35"/>
  <c r="W10" i="35"/>
  <c r="W8" i="35"/>
  <c r="X15" i="35" l="1"/>
  <c r="X12" i="35"/>
  <c r="X11" i="35"/>
  <c r="X13" i="35"/>
  <c r="X14" i="35"/>
  <c r="X17" i="35"/>
  <c r="X10" i="35"/>
  <c r="A42" i="43"/>
  <c r="A41" i="43"/>
  <c r="A40" i="43"/>
  <c r="A39" i="43"/>
  <c r="A38" i="43"/>
  <c r="A37" i="43"/>
  <c r="A36" i="43"/>
  <c r="A35" i="43"/>
  <c r="A34" i="43"/>
  <c r="A33" i="43"/>
  <c r="D34" i="43" l="1"/>
  <c r="F34" i="43"/>
  <c r="U34" i="43"/>
  <c r="R34" i="43"/>
  <c r="D42" i="43"/>
  <c r="F42" i="43"/>
  <c r="U42" i="43"/>
  <c r="R42" i="43"/>
  <c r="D35" i="43"/>
  <c r="F35" i="43"/>
  <c r="R35" i="43"/>
  <c r="U35" i="43"/>
  <c r="F36" i="43"/>
  <c r="D36" i="43"/>
  <c r="R36" i="43"/>
  <c r="U36" i="43"/>
  <c r="D41" i="43"/>
  <c r="F41" i="43"/>
  <c r="U41" i="43"/>
  <c r="R41" i="43"/>
  <c r="F37" i="43"/>
  <c r="D37" i="43"/>
  <c r="R37" i="43"/>
  <c r="U37" i="43"/>
  <c r="D33" i="43"/>
  <c r="F33" i="43"/>
  <c r="R33" i="43"/>
  <c r="U33" i="43"/>
  <c r="D38" i="43"/>
  <c r="F38" i="43"/>
  <c r="U38" i="43"/>
  <c r="R38" i="43"/>
  <c r="F39" i="43"/>
  <c r="D39" i="43"/>
  <c r="U39" i="43"/>
  <c r="R39" i="43"/>
  <c r="F40" i="43"/>
  <c r="D40" i="43"/>
  <c r="U40" i="43"/>
  <c r="R40" i="43"/>
  <c r="Q35" i="43"/>
  <c r="C35" i="43"/>
  <c r="G35" i="43"/>
  <c r="H35" i="43"/>
  <c r="K35" i="43"/>
  <c r="B35" i="43"/>
  <c r="N35" i="43"/>
  <c r="H38" i="43"/>
  <c r="K38" i="43"/>
  <c r="B38" i="43"/>
  <c r="G38" i="43"/>
  <c r="N38" i="43"/>
  <c r="Q38" i="43"/>
  <c r="C38" i="43"/>
  <c r="K39" i="43"/>
  <c r="B39" i="43"/>
  <c r="N39" i="43"/>
  <c r="H39" i="43"/>
  <c r="Q39" i="43"/>
  <c r="C39" i="43"/>
  <c r="G39" i="43"/>
  <c r="G37" i="43"/>
  <c r="C37" i="43"/>
  <c r="H37" i="43"/>
  <c r="K37" i="43"/>
  <c r="B37" i="43"/>
  <c r="N37" i="43"/>
  <c r="Q37" i="43"/>
  <c r="N40" i="43"/>
  <c r="B40" i="43"/>
  <c r="Q40" i="43"/>
  <c r="C40" i="43"/>
  <c r="G40" i="43"/>
  <c r="K40" i="43"/>
  <c r="H40" i="43"/>
  <c r="C36" i="43"/>
  <c r="G36" i="43"/>
  <c r="H36" i="43"/>
  <c r="K36" i="43"/>
  <c r="B36" i="43"/>
  <c r="Q36" i="43"/>
  <c r="N36" i="43"/>
  <c r="N41" i="43"/>
  <c r="Q41" i="43"/>
  <c r="C41" i="43"/>
  <c r="G41" i="43"/>
  <c r="H41" i="43"/>
  <c r="K41" i="43"/>
  <c r="B41" i="43"/>
  <c r="N34" i="43"/>
  <c r="Q34" i="43"/>
  <c r="C34" i="43"/>
  <c r="G34" i="43"/>
  <c r="H34" i="43"/>
  <c r="K34" i="43"/>
  <c r="B34" i="43"/>
  <c r="N42" i="43"/>
  <c r="Q42" i="43"/>
  <c r="C42" i="43"/>
  <c r="G42" i="43"/>
  <c r="H42" i="43"/>
  <c r="K42" i="43"/>
  <c r="B42" i="43"/>
  <c r="B33" i="43"/>
  <c r="Q33" i="43"/>
  <c r="K33" i="43"/>
  <c r="H33" i="43"/>
  <c r="G33" i="43"/>
  <c r="C33" i="43"/>
  <c r="N33" i="43"/>
  <c r="D18" i="34"/>
  <c r="C18" i="34"/>
  <c r="P17" i="36"/>
  <c r="P16" i="36"/>
  <c r="P15" i="36"/>
  <c r="P14" i="36"/>
  <c r="P13" i="36"/>
  <c r="P12" i="36"/>
  <c r="P11" i="36"/>
  <c r="P10" i="36"/>
  <c r="P9" i="36"/>
  <c r="P8" i="36"/>
  <c r="F308" i="5"/>
  <c r="F307" i="5"/>
  <c r="G307" i="5" s="1"/>
  <c r="F306" i="5"/>
  <c r="G306" i="5" s="1"/>
  <c r="F305" i="5"/>
  <c r="G305" i="5" s="1"/>
  <c r="F304" i="5"/>
  <c r="F303" i="5"/>
  <c r="F302" i="5"/>
  <c r="G302" i="5" s="1"/>
  <c r="F301" i="5"/>
  <c r="G301" i="5" s="1"/>
  <c r="F300" i="5"/>
  <c r="G300" i="5" s="1"/>
  <c r="F299" i="5"/>
  <c r="G299" i="5" s="1"/>
  <c r="G308" i="5"/>
  <c r="D308" i="5"/>
  <c r="C308" i="5"/>
  <c r="D307" i="5"/>
  <c r="C307" i="5"/>
  <c r="D306" i="5"/>
  <c r="C306" i="5"/>
  <c r="D305" i="5"/>
  <c r="C305" i="5"/>
  <c r="G304" i="5"/>
  <c r="D304" i="5"/>
  <c r="C304" i="5"/>
  <c r="G303" i="5"/>
  <c r="D303" i="5"/>
  <c r="C303" i="5"/>
  <c r="D302" i="5"/>
  <c r="C302" i="5"/>
  <c r="D301" i="5"/>
  <c r="C301" i="5"/>
  <c r="D300" i="5"/>
  <c r="C300" i="5"/>
  <c r="D299" i="5"/>
  <c r="C299" i="5"/>
  <c r="A52" i="43"/>
  <c r="A51" i="43"/>
  <c r="A50" i="43"/>
  <c r="A49" i="43"/>
  <c r="A48" i="43"/>
  <c r="A47" i="43"/>
  <c r="A46" i="43"/>
  <c r="A45" i="43"/>
  <c r="N17" i="35"/>
  <c r="N16" i="35"/>
  <c r="N15" i="35"/>
  <c r="N14" i="35"/>
  <c r="N13" i="35"/>
  <c r="N12" i="35"/>
  <c r="N11" i="35"/>
  <c r="N10" i="35"/>
  <c r="N9" i="35"/>
  <c r="N8" i="35"/>
  <c r="Q17" i="35"/>
  <c r="Q16" i="35"/>
  <c r="Q15" i="35"/>
  <c r="Q14" i="35"/>
  <c r="Q13" i="35"/>
  <c r="Q12" i="35"/>
  <c r="Q11" i="35"/>
  <c r="Q10" i="35"/>
  <c r="Q9" i="35"/>
  <c r="Q8" i="35"/>
  <c r="P17" i="35"/>
  <c r="P16" i="35"/>
  <c r="P15" i="35"/>
  <c r="P14" i="35"/>
  <c r="P13" i="35"/>
  <c r="P12" i="35"/>
  <c r="P11" i="35"/>
  <c r="P10" i="35"/>
  <c r="P9" i="35"/>
  <c r="P8" i="35"/>
  <c r="O17" i="35"/>
  <c r="O16" i="35"/>
  <c r="O15" i="35"/>
  <c r="O14" i="35"/>
  <c r="O13" i="35"/>
  <c r="O12" i="35"/>
  <c r="O11" i="35"/>
  <c r="O10" i="35"/>
  <c r="O9" i="35"/>
  <c r="O8" i="35"/>
  <c r="J17" i="35"/>
  <c r="K17" i="35" s="1"/>
  <c r="J16" i="35"/>
  <c r="K16" i="35" s="1"/>
  <c r="J15" i="35"/>
  <c r="K15" i="35" s="1"/>
  <c r="J14" i="35"/>
  <c r="K14" i="35" s="1"/>
  <c r="J13" i="35"/>
  <c r="K13" i="35" s="1"/>
  <c r="J12" i="35"/>
  <c r="K12" i="35" s="1"/>
  <c r="J11" i="35"/>
  <c r="K11" i="35" s="1"/>
  <c r="J10" i="35"/>
  <c r="K10" i="35" s="1"/>
  <c r="J9" i="35"/>
  <c r="K9" i="35" s="1"/>
  <c r="J8" i="35"/>
  <c r="K8" i="35" s="1"/>
  <c r="M17" i="35"/>
  <c r="M16" i="35"/>
  <c r="M15" i="35"/>
  <c r="M14" i="35"/>
  <c r="M13" i="35"/>
  <c r="M12" i="35"/>
  <c r="M11" i="35"/>
  <c r="M10" i="35"/>
  <c r="M9" i="35"/>
  <c r="M8" i="35"/>
  <c r="AB17" i="31"/>
  <c r="AC17" i="31" s="1"/>
  <c r="AB16" i="31"/>
  <c r="AC16" i="31" s="1"/>
  <c r="AB15" i="31"/>
  <c r="AC15" i="31" s="1"/>
  <c r="AB14" i="31"/>
  <c r="AC14" i="31" s="1"/>
  <c r="AB13" i="31"/>
  <c r="AC13" i="31" s="1"/>
  <c r="AB12" i="31"/>
  <c r="AC12" i="31" s="1"/>
  <c r="AB11" i="31"/>
  <c r="AC11" i="31" s="1"/>
  <c r="AB10" i="31"/>
  <c r="AC10" i="31" s="1"/>
  <c r="AB9" i="31"/>
  <c r="AC9" i="31" s="1"/>
  <c r="A32" i="43"/>
  <c r="A31" i="43"/>
  <c r="A30" i="43"/>
  <c r="A29" i="43"/>
  <c r="A28" i="43"/>
  <c r="A27" i="43"/>
  <c r="A26" i="43"/>
  <c r="A25" i="43"/>
  <c r="A24" i="43"/>
  <c r="T17" i="31"/>
  <c r="T16" i="31"/>
  <c r="T15" i="31"/>
  <c r="T14" i="31"/>
  <c r="T13" i="31"/>
  <c r="T12" i="31"/>
  <c r="T11" i="31"/>
  <c r="T10" i="31"/>
  <c r="T9" i="31"/>
  <c r="T8" i="31"/>
  <c r="Q17" i="31"/>
  <c r="P17" i="31"/>
  <c r="Q16" i="31"/>
  <c r="P16" i="31"/>
  <c r="Q15" i="31"/>
  <c r="P15" i="31"/>
  <c r="Q14" i="31"/>
  <c r="P14" i="31"/>
  <c r="Q13" i="31"/>
  <c r="P13" i="31"/>
  <c r="Q12" i="31"/>
  <c r="P12" i="31"/>
  <c r="Q11" i="31"/>
  <c r="P11" i="31"/>
  <c r="Q10" i="31"/>
  <c r="P10" i="31"/>
  <c r="Q9" i="31"/>
  <c r="P9" i="31"/>
  <c r="Q8" i="31"/>
  <c r="P8" i="31"/>
  <c r="N17" i="31"/>
  <c r="N16" i="31"/>
  <c r="N15" i="31"/>
  <c r="N14" i="31"/>
  <c r="N13" i="31"/>
  <c r="N12" i="31"/>
  <c r="N11" i="31"/>
  <c r="N10" i="31"/>
  <c r="N9" i="31"/>
  <c r="L17" i="31"/>
  <c r="L16" i="31"/>
  <c r="L15" i="31"/>
  <c r="L14" i="31"/>
  <c r="Y14" i="31" s="1"/>
  <c r="L13" i="31"/>
  <c r="Y13" i="31" s="1"/>
  <c r="L12" i="31"/>
  <c r="L11" i="31"/>
  <c r="L10" i="31"/>
  <c r="L9" i="31"/>
  <c r="L8" i="31"/>
  <c r="N8" i="31"/>
  <c r="T17" i="33"/>
  <c r="S17" i="33"/>
  <c r="T16" i="33"/>
  <c r="S16" i="33"/>
  <c r="T15" i="33"/>
  <c r="S15" i="33"/>
  <c r="T14" i="33"/>
  <c r="S14" i="33"/>
  <c r="T13" i="33"/>
  <c r="S13" i="33"/>
  <c r="T12" i="33"/>
  <c r="S12" i="33"/>
  <c r="T11" i="33"/>
  <c r="S11" i="33"/>
  <c r="T10" i="33"/>
  <c r="S10" i="33"/>
  <c r="T9" i="33"/>
  <c r="S9" i="33"/>
  <c r="T8" i="33"/>
  <c r="S8" i="33"/>
  <c r="W236" i="5"/>
  <c r="W232" i="5"/>
  <c r="W233" i="5"/>
  <c r="W234" i="5"/>
  <c r="W235" i="5"/>
  <c r="W230" i="5"/>
  <c r="W231" i="5"/>
  <c r="W241" i="5"/>
  <c r="W242" i="5"/>
  <c r="W240" i="5"/>
  <c r="U11" i="35" l="1"/>
  <c r="F26" i="43"/>
  <c r="D26" i="43"/>
  <c r="T14" i="35"/>
  <c r="D49" i="43"/>
  <c r="F49" i="43"/>
  <c r="R49" i="43"/>
  <c r="U49" i="43"/>
  <c r="E308" i="5"/>
  <c r="I308" i="5" s="1"/>
  <c r="L17" i="36" s="1"/>
  <c r="Y12" i="31"/>
  <c r="F27" i="43"/>
  <c r="D27" i="43"/>
  <c r="T15" i="35"/>
  <c r="D50" i="43"/>
  <c r="F50" i="43"/>
  <c r="U50" i="43"/>
  <c r="R50" i="43"/>
  <c r="F28" i="43"/>
  <c r="D28" i="43"/>
  <c r="F51" i="43"/>
  <c r="D51" i="43"/>
  <c r="U51" i="43"/>
  <c r="R51" i="43"/>
  <c r="F29" i="43"/>
  <c r="D29" i="43"/>
  <c r="F52" i="43"/>
  <c r="D52" i="43"/>
  <c r="R52" i="43"/>
  <c r="U52" i="43"/>
  <c r="F30" i="43"/>
  <c r="D30" i="43"/>
  <c r="U10" i="35"/>
  <c r="F45" i="43"/>
  <c r="D45" i="43"/>
  <c r="U45" i="43"/>
  <c r="R45" i="43"/>
  <c r="D31" i="43"/>
  <c r="F31" i="43"/>
  <c r="F46" i="43"/>
  <c r="D46" i="43"/>
  <c r="U46" i="43"/>
  <c r="R46" i="43"/>
  <c r="D24" i="43"/>
  <c r="F24" i="43"/>
  <c r="D32" i="43"/>
  <c r="F32" i="43"/>
  <c r="F47" i="43"/>
  <c r="D47" i="43"/>
  <c r="U47" i="43"/>
  <c r="R47" i="43"/>
  <c r="D25" i="43"/>
  <c r="F25" i="43"/>
  <c r="D48" i="43"/>
  <c r="F48" i="43"/>
  <c r="U48" i="43"/>
  <c r="R48" i="43"/>
  <c r="X26" i="43"/>
  <c r="W26" i="43"/>
  <c r="U26" i="43"/>
  <c r="R26" i="43"/>
  <c r="W27" i="43"/>
  <c r="U27" i="43"/>
  <c r="R27" i="43"/>
  <c r="X27" i="43"/>
  <c r="W28" i="43"/>
  <c r="U28" i="43"/>
  <c r="R28" i="43"/>
  <c r="X28" i="43"/>
  <c r="U29" i="43"/>
  <c r="R29" i="43"/>
  <c r="W29" i="43"/>
  <c r="X29" i="43"/>
  <c r="X30" i="43"/>
  <c r="W30" i="43"/>
  <c r="U30" i="43"/>
  <c r="R30" i="43"/>
  <c r="X31" i="43"/>
  <c r="W31" i="43"/>
  <c r="U31" i="43"/>
  <c r="R31" i="43"/>
  <c r="X24" i="43"/>
  <c r="W24" i="43"/>
  <c r="U24" i="43"/>
  <c r="R24" i="43"/>
  <c r="X32" i="43"/>
  <c r="W32" i="43"/>
  <c r="U32" i="43"/>
  <c r="R32" i="43"/>
  <c r="X25" i="43"/>
  <c r="W25" i="43"/>
  <c r="U25" i="43"/>
  <c r="R25" i="43"/>
  <c r="K50" i="43"/>
  <c r="Q50" i="43"/>
  <c r="G50" i="43"/>
  <c r="M50" i="43"/>
  <c r="H50" i="43"/>
  <c r="C50" i="43"/>
  <c r="Q51" i="43"/>
  <c r="G51" i="43"/>
  <c r="K51" i="43"/>
  <c r="M51" i="43"/>
  <c r="H51" i="43"/>
  <c r="C51" i="43"/>
  <c r="M45" i="43"/>
  <c r="G45" i="43"/>
  <c r="H45" i="43"/>
  <c r="C45" i="43"/>
  <c r="K45" i="43"/>
  <c r="Q45" i="43"/>
  <c r="H46" i="43"/>
  <c r="M46" i="43"/>
  <c r="C46" i="43"/>
  <c r="K46" i="43"/>
  <c r="Q46" i="43"/>
  <c r="G46" i="43"/>
  <c r="G52" i="43"/>
  <c r="M52" i="43"/>
  <c r="H52" i="43"/>
  <c r="Q52" i="43"/>
  <c r="C52" i="43"/>
  <c r="K52" i="43"/>
  <c r="H47" i="43"/>
  <c r="C47" i="43"/>
  <c r="K47" i="43"/>
  <c r="Q47" i="43"/>
  <c r="G47" i="43"/>
  <c r="M47" i="43"/>
  <c r="C48" i="43"/>
  <c r="K48" i="43"/>
  <c r="Q48" i="43"/>
  <c r="G48" i="43"/>
  <c r="M48" i="43"/>
  <c r="H48" i="43"/>
  <c r="C49" i="43"/>
  <c r="K49" i="43"/>
  <c r="Q49" i="43"/>
  <c r="G49" i="43"/>
  <c r="M49" i="43"/>
  <c r="H49" i="43"/>
  <c r="M30" i="43"/>
  <c r="Q30" i="43"/>
  <c r="K30" i="43"/>
  <c r="B30" i="43"/>
  <c r="H30" i="43"/>
  <c r="G30" i="43"/>
  <c r="C30" i="43"/>
  <c r="Q31" i="43"/>
  <c r="K31" i="43"/>
  <c r="B31" i="43"/>
  <c r="H31" i="43"/>
  <c r="G31" i="43"/>
  <c r="C31" i="43"/>
  <c r="M31" i="43"/>
  <c r="G25" i="43"/>
  <c r="C25" i="43"/>
  <c r="H25" i="43"/>
  <c r="M25" i="43"/>
  <c r="Q25" i="43"/>
  <c r="K25" i="43"/>
  <c r="B25" i="43"/>
  <c r="H24" i="43"/>
  <c r="G24" i="43"/>
  <c r="C24" i="43"/>
  <c r="Q24" i="43"/>
  <c r="K24" i="43"/>
  <c r="B24" i="43"/>
  <c r="M24" i="43"/>
  <c r="C26" i="43"/>
  <c r="G26" i="43"/>
  <c r="M26" i="43"/>
  <c r="Q26" i="43"/>
  <c r="K26" i="43"/>
  <c r="B26" i="43"/>
  <c r="H26" i="43"/>
  <c r="C27" i="43"/>
  <c r="M27" i="43"/>
  <c r="Q27" i="43"/>
  <c r="K27" i="43"/>
  <c r="B27" i="43"/>
  <c r="H27" i="43"/>
  <c r="G27" i="43"/>
  <c r="H32" i="43"/>
  <c r="G32" i="43"/>
  <c r="C32" i="43"/>
  <c r="B32" i="43"/>
  <c r="Q32" i="43"/>
  <c r="K32" i="43"/>
  <c r="M32" i="43"/>
  <c r="M28" i="43"/>
  <c r="Q28" i="43"/>
  <c r="K28" i="43"/>
  <c r="B28" i="43"/>
  <c r="H28" i="43"/>
  <c r="G28" i="43"/>
  <c r="C28" i="43"/>
  <c r="M29" i="43"/>
  <c r="Q29" i="43"/>
  <c r="K29" i="43"/>
  <c r="B29" i="43"/>
  <c r="H29" i="43"/>
  <c r="G29" i="43"/>
  <c r="C29" i="43"/>
  <c r="E299" i="5"/>
  <c r="E303" i="5"/>
  <c r="I303" i="5" s="1"/>
  <c r="L12" i="36" s="1"/>
  <c r="E306" i="5"/>
  <c r="H306" i="5" s="1"/>
  <c r="K15" i="36" s="1"/>
  <c r="E300" i="5"/>
  <c r="E302" i="5"/>
  <c r="I302" i="5" s="1"/>
  <c r="L11" i="36" s="1"/>
  <c r="E305" i="5"/>
  <c r="I305" i="5" s="1"/>
  <c r="L14" i="36" s="1"/>
  <c r="W17" i="31"/>
  <c r="E304" i="5"/>
  <c r="H304" i="5" s="1"/>
  <c r="K13" i="36" s="1"/>
  <c r="E307" i="5"/>
  <c r="H307" i="5" s="1"/>
  <c r="K16" i="36" s="1"/>
  <c r="E301" i="5"/>
  <c r="H305" i="5"/>
  <c r="K14" i="36" s="1"/>
  <c r="H303" i="5"/>
  <c r="K12" i="36" s="1"/>
  <c r="H308" i="5"/>
  <c r="K17" i="36" s="1"/>
  <c r="X16" i="31"/>
  <c r="U11" i="31"/>
  <c r="U12" i="35"/>
  <c r="U13" i="35"/>
  <c r="R8" i="35"/>
  <c r="R16" i="35"/>
  <c r="R9" i="35"/>
  <c r="R17" i="35"/>
  <c r="R10" i="35"/>
  <c r="T8" i="35"/>
  <c r="T16" i="35"/>
  <c r="U14" i="35"/>
  <c r="R11" i="35"/>
  <c r="T9" i="35"/>
  <c r="T17" i="35"/>
  <c r="U15" i="35"/>
  <c r="R12" i="35"/>
  <c r="T10" i="35"/>
  <c r="U8" i="35"/>
  <c r="U16" i="35"/>
  <c r="R13" i="35"/>
  <c r="T11" i="35"/>
  <c r="U9" i="35"/>
  <c r="W9" i="35" s="1"/>
  <c r="D19" i="34" s="1"/>
  <c r="U17" i="35"/>
  <c r="R14" i="35"/>
  <c r="T12" i="35"/>
  <c r="R15" i="35"/>
  <c r="T13" i="35"/>
  <c r="W8" i="31"/>
  <c r="Y15" i="31"/>
  <c r="W10" i="31"/>
  <c r="U9" i="31"/>
  <c r="X17" i="31"/>
  <c r="W11" i="31"/>
  <c r="X8" i="31"/>
  <c r="Y11" i="31"/>
  <c r="Y16" i="31"/>
  <c r="U12" i="31"/>
  <c r="X10" i="31"/>
  <c r="Y8" i="31"/>
  <c r="Y17" i="31"/>
  <c r="W12" i="31"/>
  <c r="U13" i="31"/>
  <c r="X11" i="31"/>
  <c r="Y10" i="31"/>
  <c r="W13" i="31"/>
  <c r="U14" i="31"/>
  <c r="X12" i="31"/>
  <c r="W14" i="31"/>
  <c r="U15" i="31"/>
  <c r="X13" i="31"/>
  <c r="W15" i="31"/>
  <c r="U16" i="31"/>
  <c r="X14" i="31"/>
  <c r="W16" i="31"/>
  <c r="U8" i="31"/>
  <c r="AA8" i="31" s="1"/>
  <c r="U17" i="31"/>
  <c r="X15" i="31"/>
  <c r="W9" i="31"/>
  <c r="V11" i="33"/>
  <c r="Y9" i="31"/>
  <c r="U10" i="31"/>
  <c r="X9" i="31"/>
  <c r="V16" i="33"/>
  <c r="V9" i="33"/>
  <c r="V13" i="33"/>
  <c r="V17" i="33"/>
  <c r="V8" i="33"/>
  <c r="V10" i="33"/>
  <c r="V14" i="33"/>
  <c r="V12" i="33"/>
  <c r="V15" i="33"/>
  <c r="I306" i="5" l="1"/>
  <c r="L15" i="36" s="1"/>
  <c r="V9" i="35"/>
  <c r="X9" i="35" s="1"/>
  <c r="V8" i="35"/>
  <c r="X8" i="35" s="1"/>
  <c r="D16" i="34"/>
  <c r="H302" i="5"/>
  <c r="K11" i="36" s="1"/>
  <c r="Q11" i="36" s="1"/>
  <c r="I304" i="5"/>
  <c r="L13" i="36" s="1"/>
  <c r="R13" i="36" s="1"/>
  <c r="I307" i="5"/>
  <c r="L16" i="36" s="1"/>
  <c r="R16" i="36" s="1"/>
  <c r="R14" i="36"/>
  <c r="T14" i="36"/>
  <c r="S15" i="36"/>
  <c r="Q15" i="36"/>
  <c r="U15" i="36" s="1"/>
  <c r="S12" i="36"/>
  <c r="Q12" i="36"/>
  <c r="T12" i="36"/>
  <c r="R12" i="36"/>
  <c r="S13" i="36"/>
  <c r="Q13" i="36"/>
  <c r="T11" i="36"/>
  <c r="R11" i="36"/>
  <c r="V11" i="36" s="1"/>
  <c r="R15" i="36"/>
  <c r="T15" i="36"/>
  <c r="R17" i="36"/>
  <c r="T17" i="36"/>
  <c r="Q16" i="36"/>
  <c r="S16" i="36"/>
  <c r="Q17" i="36"/>
  <c r="S17" i="36"/>
  <c r="Q14" i="36"/>
  <c r="S14" i="36"/>
  <c r="AB8" i="31"/>
  <c r="D17" i="34" s="1"/>
  <c r="V15" i="36" l="1"/>
  <c r="S11" i="36"/>
  <c r="V14" i="36"/>
  <c r="U16" i="36"/>
  <c r="U13" i="36"/>
  <c r="U12" i="36"/>
  <c r="A57" i="43" s="1"/>
  <c r="W15" i="36"/>
  <c r="C19" i="34"/>
  <c r="E19" i="34"/>
  <c r="U17" i="36"/>
  <c r="U11" i="36"/>
  <c r="W11" i="36" s="1"/>
  <c r="A43" i="43"/>
  <c r="V12" i="36"/>
  <c r="A44" i="43"/>
  <c r="U14" i="36"/>
  <c r="W14" i="36" s="1"/>
  <c r="V17" i="36"/>
  <c r="AC8" i="31"/>
  <c r="E17" i="34" s="1"/>
  <c r="C17" i="34"/>
  <c r="A23" i="43"/>
  <c r="A60" i="43"/>
  <c r="T13" i="36"/>
  <c r="V13" i="36" s="1"/>
  <c r="T16" i="36"/>
  <c r="V16" i="36" s="1"/>
  <c r="W16" i="36" s="1"/>
  <c r="A58" i="43"/>
  <c r="A61" i="43"/>
  <c r="A62" i="43"/>
  <c r="A56" i="43"/>
  <c r="E9" i="33"/>
  <c r="E10" i="33"/>
  <c r="E11" i="33"/>
  <c r="E12" i="33"/>
  <c r="E13" i="33"/>
  <c r="E14" i="33"/>
  <c r="E15" i="33"/>
  <c r="E16" i="33"/>
  <c r="E17" i="33"/>
  <c r="E8" i="33"/>
  <c r="F9" i="33"/>
  <c r="F10" i="33"/>
  <c r="F11" i="33"/>
  <c r="F12" i="33"/>
  <c r="F13" i="33"/>
  <c r="F14" i="33"/>
  <c r="F15" i="33"/>
  <c r="F16" i="33"/>
  <c r="F17" i="33"/>
  <c r="F8" i="33"/>
  <c r="A59" i="43" l="1"/>
  <c r="F61" i="43"/>
  <c r="D61" i="43"/>
  <c r="R61" i="43"/>
  <c r="U61" i="43"/>
  <c r="W17" i="36"/>
  <c r="D57" i="43"/>
  <c r="F57" i="43"/>
  <c r="R57" i="43"/>
  <c r="U57" i="43"/>
  <c r="U44" i="43"/>
  <c r="R44" i="43"/>
  <c r="M44" i="43"/>
  <c r="H44" i="43"/>
  <c r="K44" i="43"/>
  <c r="Q44" i="43"/>
  <c r="G44" i="43"/>
  <c r="C44" i="43"/>
  <c r="D56" i="43"/>
  <c r="F56" i="43"/>
  <c r="R56" i="43"/>
  <c r="U56" i="43"/>
  <c r="D62" i="43"/>
  <c r="F62" i="43"/>
  <c r="U62" i="43"/>
  <c r="R62" i="43"/>
  <c r="F60" i="43"/>
  <c r="D60" i="43"/>
  <c r="R60" i="43"/>
  <c r="U60" i="43"/>
  <c r="D23" i="43"/>
  <c r="F23" i="43"/>
  <c r="W12" i="36"/>
  <c r="D59" i="43"/>
  <c r="F59" i="43"/>
  <c r="U59" i="43"/>
  <c r="R59" i="43"/>
  <c r="U43" i="43"/>
  <c r="R43" i="43"/>
  <c r="H43" i="43"/>
  <c r="K43" i="43"/>
  <c r="Q43" i="43"/>
  <c r="M43" i="43"/>
  <c r="C43" i="43"/>
  <c r="G43" i="43"/>
  <c r="F58" i="43"/>
  <c r="D58" i="43"/>
  <c r="U58" i="43"/>
  <c r="R58" i="43"/>
  <c r="W13" i="36"/>
  <c r="X23" i="43"/>
  <c r="W23" i="43"/>
  <c r="U23" i="43"/>
  <c r="R23" i="43"/>
  <c r="G56" i="43"/>
  <c r="H56" i="43"/>
  <c r="K56" i="43"/>
  <c r="M56" i="43"/>
  <c r="C56" i="43"/>
  <c r="N56" i="43"/>
  <c r="Q56" i="43"/>
  <c r="G57" i="43"/>
  <c r="K57" i="43"/>
  <c r="Q57" i="43"/>
  <c r="C57" i="43"/>
  <c r="N57" i="43"/>
  <c r="H57" i="43"/>
  <c r="M57" i="43"/>
  <c r="Q62" i="43"/>
  <c r="M62" i="43"/>
  <c r="G62" i="43"/>
  <c r="C62" i="43"/>
  <c r="H62" i="43"/>
  <c r="K62" i="43"/>
  <c r="N62" i="43"/>
  <c r="H61" i="43"/>
  <c r="Q61" i="43"/>
  <c r="K61" i="43"/>
  <c r="M61" i="43"/>
  <c r="G61" i="43"/>
  <c r="N61" i="43"/>
  <c r="C61" i="43"/>
  <c r="N60" i="43"/>
  <c r="H60" i="43"/>
  <c r="C60" i="43"/>
  <c r="Q60" i="43"/>
  <c r="M60" i="43"/>
  <c r="G60" i="43"/>
  <c r="K60" i="43"/>
  <c r="C59" i="43"/>
  <c r="K59" i="43"/>
  <c r="N59" i="43"/>
  <c r="H59" i="43"/>
  <c r="G59" i="43"/>
  <c r="Q59" i="43"/>
  <c r="M59" i="43"/>
  <c r="K58" i="43"/>
  <c r="C58" i="43"/>
  <c r="N58" i="43"/>
  <c r="M58" i="43"/>
  <c r="H58" i="43"/>
  <c r="Q58" i="43"/>
  <c r="G58" i="43"/>
  <c r="K23" i="43"/>
  <c r="C23" i="43"/>
  <c r="H23" i="43"/>
  <c r="Q23" i="43"/>
  <c r="G23" i="43"/>
  <c r="B23" i="43"/>
  <c r="M23" i="43"/>
  <c r="O75" i="5"/>
  <c r="P75" i="5"/>
  <c r="Q75" i="5"/>
  <c r="R75" i="5"/>
  <c r="O76" i="5"/>
  <c r="P76" i="5"/>
  <c r="Q76" i="5"/>
  <c r="R76" i="5"/>
  <c r="O77" i="5"/>
  <c r="P77" i="5"/>
  <c r="Q77" i="5"/>
  <c r="R77" i="5"/>
  <c r="O78" i="5"/>
  <c r="P78" i="5"/>
  <c r="Q78" i="5"/>
  <c r="R78" i="5"/>
  <c r="O79" i="5"/>
  <c r="P79" i="5"/>
  <c r="Q79" i="5"/>
  <c r="R79" i="5"/>
  <c r="O80" i="5"/>
  <c r="P80" i="5"/>
  <c r="Q80" i="5"/>
  <c r="R80" i="5"/>
  <c r="O81" i="5"/>
  <c r="P81" i="5"/>
  <c r="Q81" i="5"/>
  <c r="R81" i="5"/>
  <c r="O82" i="5"/>
  <c r="P82" i="5"/>
  <c r="Q82" i="5"/>
  <c r="R82" i="5"/>
  <c r="O83" i="5"/>
  <c r="P83" i="5"/>
  <c r="Q83" i="5"/>
  <c r="R83" i="5"/>
  <c r="O84" i="5"/>
  <c r="P84" i="5"/>
  <c r="Q84" i="5"/>
  <c r="R84" i="5"/>
  <c r="O85" i="5"/>
  <c r="P85" i="5"/>
  <c r="Q85" i="5"/>
  <c r="R85" i="5"/>
  <c r="O86" i="5"/>
  <c r="P86" i="5"/>
  <c r="Q86" i="5"/>
  <c r="R86" i="5"/>
  <c r="O87" i="5"/>
  <c r="P87" i="5"/>
  <c r="Q87" i="5"/>
  <c r="R87" i="5"/>
  <c r="O88" i="5"/>
  <c r="P88" i="5"/>
  <c r="Q88" i="5"/>
  <c r="R88" i="5"/>
  <c r="O89" i="5"/>
  <c r="P89" i="5"/>
  <c r="Q89" i="5"/>
  <c r="R89" i="5"/>
  <c r="O90" i="5"/>
  <c r="P90" i="5"/>
  <c r="Q90" i="5"/>
  <c r="R90" i="5"/>
  <c r="O91" i="5"/>
  <c r="P91" i="5"/>
  <c r="Q91" i="5"/>
  <c r="R91" i="5"/>
  <c r="O92" i="5"/>
  <c r="P92" i="5"/>
  <c r="Q92" i="5"/>
  <c r="R92" i="5"/>
  <c r="O93" i="5"/>
  <c r="P93" i="5"/>
  <c r="Q93" i="5"/>
  <c r="R93" i="5"/>
  <c r="O94" i="5"/>
  <c r="P94" i="5"/>
  <c r="Q94" i="5"/>
  <c r="R94" i="5"/>
  <c r="O95" i="5"/>
  <c r="P95" i="5"/>
  <c r="Q95" i="5"/>
  <c r="R95" i="5"/>
  <c r="O96" i="5"/>
  <c r="P96" i="5"/>
  <c r="Q96" i="5"/>
  <c r="R96" i="5"/>
  <c r="O97" i="5"/>
  <c r="P97" i="5"/>
  <c r="Q97" i="5"/>
  <c r="R97" i="5"/>
  <c r="O98" i="5"/>
  <c r="P98" i="5"/>
  <c r="Q98" i="5"/>
  <c r="R98" i="5"/>
  <c r="O99" i="5"/>
  <c r="P99" i="5"/>
  <c r="Q99" i="5"/>
  <c r="R99" i="5"/>
  <c r="O100" i="5"/>
  <c r="P100" i="5"/>
  <c r="Q100" i="5"/>
  <c r="R100" i="5"/>
  <c r="O101" i="5"/>
  <c r="P101" i="5"/>
  <c r="Q101" i="5"/>
  <c r="R101" i="5"/>
  <c r="O102" i="5"/>
  <c r="P102" i="5"/>
  <c r="Q102" i="5"/>
  <c r="R102" i="5"/>
  <c r="O103" i="5"/>
  <c r="P103" i="5"/>
  <c r="Q103" i="5"/>
  <c r="R103" i="5"/>
  <c r="O104" i="5"/>
  <c r="P104" i="5"/>
  <c r="Q104" i="5"/>
  <c r="R104" i="5"/>
  <c r="O105" i="5"/>
  <c r="P105" i="5"/>
  <c r="Q105" i="5"/>
  <c r="R105" i="5"/>
  <c r="O106" i="5"/>
  <c r="P106" i="5"/>
  <c r="Q106" i="5"/>
  <c r="R106" i="5"/>
  <c r="O107" i="5"/>
  <c r="P107" i="5"/>
  <c r="Q107" i="5"/>
  <c r="R107" i="5"/>
  <c r="O108" i="5"/>
  <c r="P108" i="5"/>
  <c r="Q108" i="5"/>
  <c r="R108" i="5"/>
  <c r="O109" i="5"/>
  <c r="P109" i="5"/>
  <c r="Q109" i="5"/>
  <c r="R109" i="5"/>
  <c r="O110" i="5"/>
  <c r="P110" i="5"/>
  <c r="Q110" i="5"/>
  <c r="R110" i="5"/>
  <c r="O111" i="5"/>
  <c r="P111" i="5"/>
  <c r="Q111" i="5"/>
  <c r="R111" i="5"/>
  <c r="O112" i="5"/>
  <c r="P112" i="5"/>
  <c r="Q112" i="5"/>
  <c r="R112" i="5"/>
  <c r="O113" i="5"/>
  <c r="P113" i="5"/>
  <c r="Q113" i="5"/>
  <c r="R113" i="5"/>
  <c r="O114" i="5"/>
  <c r="P114" i="5"/>
  <c r="Q114" i="5"/>
  <c r="R114" i="5"/>
  <c r="O115" i="5"/>
  <c r="P115" i="5"/>
  <c r="Q115" i="5"/>
  <c r="R115" i="5"/>
  <c r="O116" i="5"/>
  <c r="P116" i="5"/>
  <c r="Q116" i="5"/>
  <c r="R116" i="5"/>
  <c r="O117" i="5"/>
  <c r="P117" i="5"/>
  <c r="Q117" i="5"/>
  <c r="R117" i="5"/>
  <c r="O118" i="5"/>
  <c r="P118" i="5"/>
  <c r="Q118" i="5"/>
  <c r="R118" i="5"/>
  <c r="O119" i="5"/>
  <c r="P119" i="5"/>
  <c r="Q119" i="5"/>
  <c r="R119" i="5"/>
  <c r="O120" i="5"/>
  <c r="P120" i="5"/>
  <c r="Q120" i="5"/>
  <c r="R120" i="5"/>
  <c r="O121" i="5"/>
  <c r="P121" i="5"/>
  <c r="Q121" i="5"/>
  <c r="R121" i="5"/>
  <c r="O122" i="5"/>
  <c r="P122" i="5"/>
  <c r="Q122" i="5"/>
  <c r="R122" i="5"/>
  <c r="O123" i="5"/>
  <c r="P123" i="5"/>
  <c r="Q123" i="5"/>
  <c r="R123" i="5"/>
  <c r="O124" i="5"/>
  <c r="P124" i="5"/>
  <c r="Q124" i="5"/>
  <c r="R124" i="5"/>
  <c r="O125" i="5"/>
  <c r="P125" i="5"/>
  <c r="Q125" i="5"/>
  <c r="R125" i="5"/>
  <c r="O126" i="5"/>
  <c r="P126" i="5"/>
  <c r="Q126" i="5"/>
  <c r="R126" i="5"/>
  <c r="O127" i="5"/>
  <c r="P127" i="5"/>
  <c r="Q127" i="5"/>
  <c r="R127" i="5"/>
  <c r="O128" i="5"/>
  <c r="P128" i="5"/>
  <c r="Q128" i="5"/>
  <c r="R128" i="5"/>
  <c r="O129" i="5"/>
  <c r="P129" i="5"/>
  <c r="Q129" i="5"/>
  <c r="R129" i="5"/>
  <c r="O130" i="5"/>
  <c r="P130" i="5"/>
  <c r="Q130" i="5"/>
  <c r="R130" i="5"/>
  <c r="O131" i="5"/>
  <c r="P131" i="5"/>
  <c r="Q131" i="5"/>
  <c r="R131" i="5"/>
  <c r="O132" i="5"/>
  <c r="P132" i="5"/>
  <c r="Q132" i="5"/>
  <c r="R132" i="5"/>
  <c r="O133" i="5"/>
  <c r="P133" i="5"/>
  <c r="Q133" i="5"/>
  <c r="R133" i="5"/>
  <c r="O134" i="5"/>
  <c r="P134" i="5"/>
  <c r="Q134" i="5"/>
  <c r="R134" i="5"/>
  <c r="O135" i="5"/>
  <c r="P135" i="5"/>
  <c r="Q135" i="5"/>
  <c r="R135" i="5"/>
  <c r="O136" i="5"/>
  <c r="P136" i="5"/>
  <c r="Q136" i="5"/>
  <c r="R136" i="5"/>
  <c r="O137" i="5"/>
  <c r="P137" i="5"/>
  <c r="Q137" i="5"/>
  <c r="R137" i="5"/>
  <c r="O138" i="5"/>
  <c r="P138" i="5"/>
  <c r="Q138" i="5"/>
  <c r="R138" i="5"/>
  <c r="O139" i="5"/>
  <c r="P139" i="5"/>
  <c r="Q139" i="5"/>
  <c r="R139" i="5"/>
  <c r="O140" i="5"/>
  <c r="P140" i="5"/>
  <c r="Q140" i="5"/>
  <c r="R140" i="5"/>
  <c r="O141" i="5"/>
  <c r="P141" i="5"/>
  <c r="Q141" i="5"/>
  <c r="R141" i="5"/>
  <c r="O142" i="5"/>
  <c r="P142" i="5"/>
  <c r="Q142" i="5"/>
  <c r="R142" i="5"/>
  <c r="O143" i="5"/>
  <c r="P143" i="5"/>
  <c r="Q143" i="5"/>
  <c r="R143" i="5"/>
  <c r="O144" i="5"/>
  <c r="P144" i="5"/>
  <c r="Q144" i="5"/>
  <c r="R144" i="5"/>
  <c r="O145" i="5"/>
  <c r="P145" i="5"/>
  <c r="Q145" i="5"/>
  <c r="R145" i="5"/>
  <c r="O146" i="5"/>
  <c r="P146" i="5"/>
  <c r="Q146" i="5"/>
  <c r="R146" i="5"/>
  <c r="O147" i="5"/>
  <c r="P147" i="5"/>
  <c r="Q147" i="5"/>
  <c r="R147" i="5"/>
  <c r="O148" i="5"/>
  <c r="P148" i="5"/>
  <c r="Q148" i="5"/>
  <c r="R148" i="5"/>
  <c r="O149" i="5"/>
  <c r="P149" i="5"/>
  <c r="Q149" i="5"/>
  <c r="R149" i="5"/>
  <c r="O150" i="5"/>
  <c r="P150" i="5"/>
  <c r="Q150" i="5"/>
  <c r="R150" i="5"/>
  <c r="O151" i="5"/>
  <c r="P151" i="5"/>
  <c r="Q151" i="5"/>
  <c r="R151" i="5"/>
  <c r="O152" i="5"/>
  <c r="P152" i="5"/>
  <c r="Q152" i="5"/>
  <c r="R152" i="5"/>
  <c r="O153" i="5"/>
  <c r="P153" i="5"/>
  <c r="Q153" i="5"/>
  <c r="R153" i="5"/>
  <c r="O154" i="5"/>
  <c r="P154" i="5"/>
  <c r="Q154" i="5"/>
  <c r="R154" i="5"/>
  <c r="O155" i="5"/>
  <c r="P155" i="5"/>
  <c r="Q155" i="5"/>
  <c r="R155" i="5"/>
  <c r="O156" i="5"/>
  <c r="P156" i="5"/>
  <c r="Q156" i="5"/>
  <c r="R156" i="5"/>
  <c r="O157" i="5"/>
  <c r="P157" i="5"/>
  <c r="Q157" i="5"/>
  <c r="R157" i="5"/>
  <c r="O158" i="5"/>
  <c r="P158" i="5"/>
  <c r="Q158" i="5"/>
  <c r="R158" i="5"/>
  <c r="O159" i="5"/>
  <c r="P159" i="5"/>
  <c r="Q159" i="5"/>
  <c r="R159" i="5"/>
  <c r="O160" i="5"/>
  <c r="P160" i="5"/>
  <c r="Q160" i="5"/>
  <c r="R160" i="5"/>
  <c r="O161" i="5"/>
  <c r="P161" i="5"/>
  <c r="Q161" i="5"/>
  <c r="R161" i="5"/>
  <c r="O162" i="5"/>
  <c r="P162" i="5"/>
  <c r="Q162" i="5"/>
  <c r="R162" i="5"/>
  <c r="O163" i="5"/>
  <c r="P163" i="5"/>
  <c r="Q163" i="5"/>
  <c r="R163" i="5"/>
  <c r="O164" i="5"/>
  <c r="P164" i="5"/>
  <c r="Q164" i="5"/>
  <c r="R164" i="5"/>
  <c r="O165" i="5"/>
  <c r="P165" i="5"/>
  <c r="Q165" i="5"/>
  <c r="R165" i="5"/>
  <c r="O166" i="5"/>
  <c r="P166" i="5"/>
  <c r="Q166" i="5"/>
  <c r="R166" i="5"/>
  <c r="O167" i="5"/>
  <c r="P167" i="5"/>
  <c r="Q167" i="5"/>
  <c r="R167" i="5"/>
  <c r="O168" i="5"/>
  <c r="P168" i="5"/>
  <c r="Q168" i="5"/>
  <c r="R168" i="5"/>
  <c r="O169" i="5"/>
  <c r="P169" i="5"/>
  <c r="Q169" i="5"/>
  <c r="R169" i="5"/>
  <c r="O170" i="5"/>
  <c r="P170" i="5"/>
  <c r="Q170" i="5"/>
  <c r="R170" i="5"/>
  <c r="O171" i="5"/>
  <c r="P171" i="5"/>
  <c r="Q171" i="5"/>
  <c r="R171" i="5"/>
  <c r="O172" i="5"/>
  <c r="P172" i="5"/>
  <c r="Q172" i="5"/>
  <c r="R172" i="5"/>
  <c r="O173" i="5"/>
  <c r="P173" i="5"/>
  <c r="Q173" i="5"/>
  <c r="R173" i="5"/>
  <c r="O174" i="5"/>
  <c r="P174" i="5"/>
  <c r="Q174" i="5"/>
  <c r="R174" i="5"/>
  <c r="O175" i="5"/>
  <c r="P175" i="5"/>
  <c r="Q175" i="5"/>
  <c r="R175" i="5"/>
  <c r="O176" i="5"/>
  <c r="P176" i="5"/>
  <c r="Q176" i="5"/>
  <c r="R176" i="5"/>
  <c r="O177" i="5"/>
  <c r="P177" i="5"/>
  <c r="Q177" i="5"/>
  <c r="R177" i="5"/>
  <c r="O178" i="5"/>
  <c r="P178" i="5"/>
  <c r="Q178" i="5"/>
  <c r="R178" i="5"/>
  <c r="O179" i="5"/>
  <c r="P179" i="5"/>
  <c r="Q179" i="5"/>
  <c r="R179" i="5"/>
  <c r="O180" i="5"/>
  <c r="P180" i="5"/>
  <c r="Q180" i="5"/>
  <c r="R180" i="5"/>
  <c r="O181" i="5"/>
  <c r="P181" i="5"/>
  <c r="Q181" i="5"/>
  <c r="R181" i="5"/>
  <c r="O182" i="5"/>
  <c r="P182" i="5"/>
  <c r="Q182" i="5"/>
  <c r="R182" i="5"/>
  <c r="O183" i="5"/>
  <c r="P183" i="5"/>
  <c r="Q183" i="5"/>
  <c r="R183" i="5"/>
  <c r="O184" i="5"/>
  <c r="P184" i="5"/>
  <c r="Q184" i="5"/>
  <c r="R184" i="5"/>
  <c r="O185" i="5"/>
  <c r="P185" i="5"/>
  <c r="Q185" i="5"/>
  <c r="R185" i="5"/>
  <c r="O186" i="5"/>
  <c r="P186" i="5"/>
  <c r="Q186" i="5"/>
  <c r="R186" i="5"/>
  <c r="O187" i="5"/>
  <c r="P187" i="5"/>
  <c r="Q187" i="5"/>
  <c r="R187" i="5"/>
  <c r="O188" i="5"/>
  <c r="P188" i="5"/>
  <c r="Q188" i="5"/>
  <c r="R188" i="5"/>
  <c r="O189" i="5"/>
  <c r="P189" i="5"/>
  <c r="Q189" i="5"/>
  <c r="R189" i="5"/>
  <c r="O190" i="5"/>
  <c r="P190" i="5"/>
  <c r="Q190" i="5"/>
  <c r="R190" i="5"/>
  <c r="R74" i="5"/>
  <c r="I300" i="5" s="1"/>
  <c r="L9" i="36" s="1"/>
  <c r="Q74" i="5"/>
  <c r="I301" i="5" s="1"/>
  <c r="L10" i="36" s="1"/>
  <c r="P74" i="5"/>
  <c r="O74" i="5"/>
  <c r="I299" i="5" s="1"/>
  <c r="L8" i="36" s="1"/>
  <c r="E75" i="5"/>
  <c r="F75" i="5"/>
  <c r="G75" i="5"/>
  <c r="H75" i="5"/>
  <c r="I75" i="5"/>
  <c r="E76" i="5"/>
  <c r="F76" i="5"/>
  <c r="G76" i="5"/>
  <c r="H76" i="5"/>
  <c r="I76" i="5"/>
  <c r="E77" i="5"/>
  <c r="F77" i="5"/>
  <c r="G77" i="5"/>
  <c r="H77" i="5"/>
  <c r="I77" i="5"/>
  <c r="E78" i="5"/>
  <c r="F78" i="5"/>
  <c r="G78" i="5"/>
  <c r="H78" i="5"/>
  <c r="I78" i="5"/>
  <c r="E79" i="5"/>
  <c r="F79" i="5"/>
  <c r="G79" i="5"/>
  <c r="H79" i="5"/>
  <c r="I79" i="5"/>
  <c r="E80" i="5"/>
  <c r="F80" i="5"/>
  <c r="G80" i="5"/>
  <c r="H80" i="5"/>
  <c r="I80" i="5"/>
  <c r="E81" i="5"/>
  <c r="F81" i="5"/>
  <c r="G81" i="5"/>
  <c r="H81" i="5"/>
  <c r="I81" i="5"/>
  <c r="E82" i="5"/>
  <c r="F82" i="5"/>
  <c r="G82" i="5"/>
  <c r="H82" i="5"/>
  <c r="I82" i="5"/>
  <c r="E83" i="5"/>
  <c r="F83" i="5"/>
  <c r="G83" i="5"/>
  <c r="H83" i="5"/>
  <c r="I83" i="5"/>
  <c r="E84" i="5"/>
  <c r="F84" i="5"/>
  <c r="G84" i="5"/>
  <c r="H84" i="5"/>
  <c r="I84" i="5"/>
  <c r="E85" i="5"/>
  <c r="F85" i="5"/>
  <c r="G85" i="5"/>
  <c r="H85" i="5"/>
  <c r="I85" i="5"/>
  <c r="E86" i="5"/>
  <c r="F86" i="5"/>
  <c r="G86" i="5"/>
  <c r="H86" i="5"/>
  <c r="I86" i="5"/>
  <c r="E87" i="5"/>
  <c r="F87" i="5"/>
  <c r="G87" i="5"/>
  <c r="H87" i="5"/>
  <c r="I87" i="5"/>
  <c r="E88" i="5"/>
  <c r="F88" i="5"/>
  <c r="G88" i="5"/>
  <c r="H88" i="5"/>
  <c r="I88" i="5"/>
  <c r="E89" i="5"/>
  <c r="F89" i="5"/>
  <c r="G89" i="5"/>
  <c r="H89" i="5"/>
  <c r="I89" i="5"/>
  <c r="E90" i="5"/>
  <c r="F90" i="5"/>
  <c r="G90" i="5"/>
  <c r="H90" i="5"/>
  <c r="I90" i="5"/>
  <c r="E91" i="5"/>
  <c r="F91" i="5"/>
  <c r="G91" i="5"/>
  <c r="H91" i="5"/>
  <c r="I91" i="5"/>
  <c r="E92" i="5"/>
  <c r="F92" i="5"/>
  <c r="G92" i="5"/>
  <c r="H92" i="5"/>
  <c r="I92" i="5"/>
  <c r="E93" i="5"/>
  <c r="F93" i="5"/>
  <c r="G93" i="5"/>
  <c r="H93" i="5"/>
  <c r="I93" i="5"/>
  <c r="E94" i="5"/>
  <c r="F94" i="5"/>
  <c r="G94" i="5"/>
  <c r="H94" i="5"/>
  <c r="I94" i="5"/>
  <c r="E95" i="5"/>
  <c r="F95" i="5"/>
  <c r="G95" i="5"/>
  <c r="H95" i="5"/>
  <c r="I95" i="5"/>
  <c r="E96" i="5"/>
  <c r="F96" i="5"/>
  <c r="G96" i="5"/>
  <c r="H96" i="5"/>
  <c r="I96" i="5"/>
  <c r="E97" i="5"/>
  <c r="F97" i="5"/>
  <c r="G97" i="5"/>
  <c r="H97" i="5"/>
  <c r="I97" i="5"/>
  <c r="E98" i="5"/>
  <c r="F98" i="5"/>
  <c r="G98" i="5"/>
  <c r="H98" i="5"/>
  <c r="I98" i="5"/>
  <c r="E99" i="5"/>
  <c r="F99" i="5"/>
  <c r="G99" i="5"/>
  <c r="H99" i="5"/>
  <c r="I99" i="5"/>
  <c r="E100" i="5"/>
  <c r="F100" i="5"/>
  <c r="G100" i="5"/>
  <c r="H100" i="5"/>
  <c r="I100" i="5"/>
  <c r="E101" i="5"/>
  <c r="F101" i="5"/>
  <c r="G101" i="5"/>
  <c r="H101" i="5"/>
  <c r="I101" i="5"/>
  <c r="E102" i="5"/>
  <c r="F102" i="5"/>
  <c r="G102" i="5"/>
  <c r="H102" i="5"/>
  <c r="I102" i="5"/>
  <c r="E103" i="5"/>
  <c r="F103" i="5"/>
  <c r="G103" i="5"/>
  <c r="H103" i="5"/>
  <c r="I103" i="5"/>
  <c r="E104" i="5"/>
  <c r="F104" i="5"/>
  <c r="G104" i="5"/>
  <c r="H104" i="5"/>
  <c r="I104" i="5"/>
  <c r="E105" i="5"/>
  <c r="F105" i="5"/>
  <c r="G105" i="5"/>
  <c r="H105" i="5"/>
  <c r="I105" i="5"/>
  <c r="E106" i="5"/>
  <c r="F106" i="5"/>
  <c r="G106" i="5"/>
  <c r="H106" i="5"/>
  <c r="I106" i="5"/>
  <c r="E107" i="5"/>
  <c r="F107" i="5"/>
  <c r="G107" i="5"/>
  <c r="H107" i="5"/>
  <c r="I107" i="5"/>
  <c r="E108" i="5"/>
  <c r="F108" i="5"/>
  <c r="G108" i="5"/>
  <c r="H108" i="5"/>
  <c r="I108" i="5"/>
  <c r="E109" i="5"/>
  <c r="F109" i="5"/>
  <c r="G109" i="5"/>
  <c r="H109" i="5"/>
  <c r="I109" i="5"/>
  <c r="E110" i="5"/>
  <c r="F110" i="5"/>
  <c r="G110" i="5"/>
  <c r="H110" i="5"/>
  <c r="I110" i="5"/>
  <c r="E111" i="5"/>
  <c r="F111" i="5"/>
  <c r="G111" i="5"/>
  <c r="H111" i="5"/>
  <c r="I111" i="5"/>
  <c r="E112" i="5"/>
  <c r="F112" i="5"/>
  <c r="G112" i="5"/>
  <c r="H112" i="5"/>
  <c r="I112" i="5"/>
  <c r="E113" i="5"/>
  <c r="F113" i="5"/>
  <c r="G113" i="5"/>
  <c r="H113" i="5"/>
  <c r="I113" i="5"/>
  <c r="E114" i="5"/>
  <c r="F114" i="5"/>
  <c r="G114" i="5"/>
  <c r="H114" i="5"/>
  <c r="I114" i="5"/>
  <c r="E115" i="5"/>
  <c r="F115" i="5"/>
  <c r="G115" i="5"/>
  <c r="H115" i="5"/>
  <c r="I115" i="5"/>
  <c r="E116" i="5"/>
  <c r="F116" i="5"/>
  <c r="G116" i="5"/>
  <c r="H116" i="5"/>
  <c r="I116" i="5"/>
  <c r="E117" i="5"/>
  <c r="F117" i="5"/>
  <c r="G117" i="5"/>
  <c r="H117" i="5"/>
  <c r="I117" i="5"/>
  <c r="E118" i="5"/>
  <c r="F118" i="5"/>
  <c r="G118" i="5"/>
  <c r="H118" i="5"/>
  <c r="I118" i="5"/>
  <c r="E119" i="5"/>
  <c r="F119" i="5"/>
  <c r="G119" i="5"/>
  <c r="H119" i="5"/>
  <c r="I119" i="5"/>
  <c r="E120" i="5"/>
  <c r="F120" i="5"/>
  <c r="G120" i="5"/>
  <c r="H120" i="5"/>
  <c r="I120" i="5"/>
  <c r="E121" i="5"/>
  <c r="F121" i="5"/>
  <c r="G121" i="5"/>
  <c r="H121" i="5"/>
  <c r="I121" i="5"/>
  <c r="E122" i="5"/>
  <c r="F122" i="5"/>
  <c r="G122" i="5"/>
  <c r="H122" i="5"/>
  <c r="I122" i="5"/>
  <c r="E123" i="5"/>
  <c r="F123" i="5"/>
  <c r="G123" i="5"/>
  <c r="H123" i="5"/>
  <c r="I123" i="5"/>
  <c r="E124" i="5"/>
  <c r="F124" i="5"/>
  <c r="G124" i="5"/>
  <c r="H124" i="5"/>
  <c r="I124" i="5"/>
  <c r="E125" i="5"/>
  <c r="F125" i="5"/>
  <c r="G125" i="5"/>
  <c r="H125" i="5"/>
  <c r="I125" i="5"/>
  <c r="E126" i="5"/>
  <c r="F126" i="5"/>
  <c r="G126" i="5"/>
  <c r="H126" i="5"/>
  <c r="I126" i="5"/>
  <c r="E127" i="5"/>
  <c r="F127" i="5"/>
  <c r="G127" i="5"/>
  <c r="H127" i="5"/>
  <c r="I127" i="5"/>
  <c r="E128" i="5"/>
  <c r="F128" i="5"/>
  <c r="G128" i="5"/>
  <c r="H128" i="5"/>
  <c r="I128" i="5"/>
  <c r="E129" i="5"/>
  <c r="F129" i="5"/>
  <c r="G129" i="5"/>
  <c r="H129" i="5"/>
  <c r="I129" i="5"/>
  <c r="E130" i="5"/>
  <c r="F130" i="5"/>
  <c r="G130" i="5"/>
  <c r="H130" i="5"/>
  <c r="I130" i="5"/>
  <c r="E131" i="5"/>
  <c r="F131" i="5"/>
  <c r="G131" i="5"/>
  <c r="H131" i="5"/>
  <c r="I131" i="5"/>
  <c r="E132" i="5"/>
  <c r="F132" i="5"/>
  <c r="G132" i="5"/>
  <c r="H132" i="5"/>
  <c r="I132" i="5"/>
  <c r="E133" i="5"/>
  <c r="F133" i="5"/>
  <c r="G133" i="5"/>
  <c r="H133" i="5"/>
  <c r="I133" i="5"/>
  <c r="E134" i="5"/>
  <c r="F134" i="5"/>
  <c r="G134" i="5"/>
  <c r="H134" i="5"/>
  <c r="I134" i="5"/>
  <c r="E135" i="5"/>
  <c r="F135" i="5"/>
  <c r="G135" i="5"/>
  <c r="H135" i="5"/>
  <c r="I135" i="5"/>
  <c r="E136" i="5"/>
  <c r="F136" i="5"/>
  <c r="G136" i="5"/>
  <c r="H136" i="5"/>
  <c r="I136" i="5"/>
  <c r="E137" i="5"/>
  <c r="F137" i="5"/>
  <c r="G137" i="5"/>
  <c r="H137" i="5"/>
  <c r="I137" i="5"/>
  <c r="E138" i="5"/>
  <c r="F138" i="5"/>
  <c r="G138" i="5"/>
  <c r="H138" i="5"/>
  <c r="I138" i="5"/>
  <c r="E139" i="5"/>
  <c r="F139" i="5"/>
  <c r="G139" i="5"/>
  <c r="H139" i="5"/>
  <c r="I139" i="5"/>
  <c r="E140" i="5"/>
  <c r="F140" i="5"/>
  <c r="G140" i="5"/>
  <c r="H140" i="5"/>
  <c r="I140" i="5"/>
  <c r="E141" i="5"/>
  <c r="F141" i="5"/>
  <c r="G141" i="5"/>
  <c r="H141" i="5"/>
  <c r="I141" i="5"/>
  <c r="E142" i="5"/>
  <c r="F142" i="5"/>
  <c r="G142" i="5"/>
  <c r="H142" i="5"/>
  <c r="I142" i="5"/>
  <c r="E143" i="5"/>
  <c r="F143" i="5"/>
  <c r="G143" i="5"/>
  <c r="H143" i="5"/>
  <c r="I143" i="5"/>
  <c r="E144" i="5"/>
  <c r="F144" i="5"/>
  <c r="G144" i="5"/>
  <c r="H144" i="5"/>
  <c r="I144" i="5"/>
  <c r="E145" i="5"/>
  <c r="F145" i="5"/>
  <c r="G145" i="5"/>
  <c r="H145" i="5"/>
  <c r="I145" i="5"/>
  <c r="E146" i="5"/>
  <c r="F146" i="5"/>
  <c r="G146" i="5"/>
  <c r="H146" i="5"/>
  <c r="I146" i="5"/>
  <c r="E147" i="5"/>
  <c r="F147" i="5"/>
  <c r="G147" i="5"/>
  <c r="H147" i="5"/>
  <c r="I147" i="5"/>
  <c r="E148" i="5"/>
  <c r="F148" i="5"/>
  <c r="G148" i="5"/>
  <c r="H148" i="5"/>
  <c r="I148" i="5"/>
  <c r="E149" i="5"/>
  <c r="F149" i="5"/>
  <c r="G149" i="5"/>
  <c r="H149" i="5"/>
  <c r="I149" i="5"/>
  <c r="E150" i="5"/>
  <c r="F150" i="5"/>
  <c r="G150" i="5"/>
  <c r="H150" i="5"/>
  <c r="I150" i="5"/>
  <c r="E151" i="5"/>
  <c r="F151" i="5"/>
  <c r="G151" i="5"/>
  <c r="H151" i="5"/>
  <c r="I151" i="5"/>
  <c r="E152" i="5"/>
  <c r="F152" i="5"/>
  <c r="G152" i="5"/>
  <c r="H152" i="5"/>
  <c r="I152" i="5"/>
  <c r="E153" i="5"/>
  <c r="F153" i="5"/>
  <c r="G153" i="5"/>
  <c r="H153" i="5"/>
  <c r="I153" i="5"/>
  <c r="E154" i="5"/>
  <c r="F154" i="5"/>
  <c r="G154" i="5"/>
  <c r="H154" i="5"/>
  <c r="I154" i="5"/>
  <c r="E155" i="5"/>
  <c r="F155" i="5"/>
  <c r="G155" i="5"/>
  <c r="H155" i="5"/>
  <c r="I155" i="5"/>
  <c r="E156" i="5"/>
  <c r="F156" i="5"/>
  <c r="G156" i="5"/>
  <c r="H156" i="5"/>
  <c r="I156" i="5"/>
  <c r="E157" i="5"/>
  <c r="F157" i="5"/>
  <c r="G157" i="5"/>
  <c r="H157" i="5"/>
  <c r="I157" i="5"/>
  <c r="E158" i="5"/>
  <c r="F158" i="5"/>
  <c r="G158" i="5"/>
  <c r="H158" i="5"/>
  <c r="I158" i="5"/>
  <c r="E159" i="5"/>
  <c r="F159" i="5"/>
  <c r="G159" i="5"/>
  <c r="H159" i="5"/>
  <c r="I159" i="5"/>
  <c r="E160" i="5"/>
  <c r="F160" i="5"/>
  <c r="G160" i="5"/>
  <c r="H160" i="5"/>
  <c r="I160" i="5"/>
  <c r="E161" i="5"/>
  <c r="F161" i="5"/>
  <c r="G161" i="5"/>
  <c r="H161" i="5"/>
  <c r="I161" i="5"/>
  <c r="E162" i="5"/>
  <c r="F162" i="5"/>
  <c r="G162" i="5"/>
  <c r="H162" i="5"/>
  <c r="I162" i="5"/>
  <c r="E163" i="5"/>
  <c r="F163" i="5"/>
  <c r="G163" i="5"/>
  <c r="H163" i="5"/>
  <c r="I163" i="5"/>
  <c r="E164" i="5"/>
  <c r="F164" i="5"/>
  <c r="G164" i="5"/>
  <c r="H164" i="5"/>
  <c r="I164" i="5"/>
  <c r="E165" i="5"/>
  <c r="F165" i="5"/>
  <c r="G165" i="5"/>
  <c r="H165" i="5"/>
  <c r="I165" i="5"/>
  <c r="E166" i="5"/>
  <c r="F166" i="5"/>
  <c r="G166" i="5"/>
  <c r="H166" i="5"/>
  <c r="I166" i="5"/>
  <c r="E167" i="5"/>
  <c r="F167" i="5"/>
  <c r="G167" i="5"/>
  <c r="H167" i="5"/>
  <c r="I167" i="5"/>
  <c r="E168" i="5"/>
  <c r="F168" i="5"/>
  <c r="G168" i="5"/>
  <c r="H168" i="5"/>
  <c r="I168" i="5"/>
  <c r="E169" i="5"/>
  <c r="F169" i="5"/>
  <c r="G169" i="5"/>
  <c r="H169" i="5"/>
  <c r="I169" i="5"/>
  <c r="E170" i="5"/>
  <c r="F170" i="5"/>
  <c r="G170" i="5"/>
  <c r="H170" i="5"/>
  <c r="I170" i="5"/>
  <c r="E171" i="5"/>
  <c r="F171" i="5"/>
  <c r="G171" i="5"/>
  <c r="H171" i="5"/>
  <c r="I171" i="5"/>
  <c r="E172" i="5"/>
  <c r="F172" i="5"/>
  <c r="G172" i="5"/>
  <c r="H172" i="5"/>
  <c r="I172" i="5"/>
  <c r="E173" i="5"/>
  <c r="F173" i="5"/>
  <c r="G173" i="5"/>
  <c r="H173" i="5"/>
  <c r="I173" i="5"/>
  <c r="E174" i="5"/>
  <c r="F174" i="5"/>
  <c r="G174" i="5"/>
  <c r="H174" i="5"/>
  <c r="I174" i="5"/>
  <c r="E175" i="5"/>
  <c r="F175" i="5"/>
  <c r="G175" i="5"/>
  <c r="H175" i="5"/>
  <c r="I175" i="5"/>
  <c r="E176" i="5"/>
  <c r="F176" i="5"/>
  <c r="G176" i="5"/>
  <c r="H176" i="5"/>
  <c r="I176" i="5"/>
  <c r="E177" i="5"/>
  <c r="F177" i="5"/>
  <c r="G177" i="5"/>
  <c r="H177" i="5"/>
  <c r="I177" i="5"/>
  <c r="E178" i="5"/>
  <c r="F178" i="5"/>
  <c r="G178" i="5"/>
  <c r="H178" i="5"/>
  <c r="I178" i="5"/>
  <c r="E179" i="5"/>
  <c r="F179" i="5"/>
  <c r="G179" i="5"/>
  <c r="H179" i="5"/>
  <c r="I179" i="5"/>
  <c r="E180" i="5"/>
  <c r="F180" i="5"/>
  <c r="G180" i="5"/>
  <c r="H180" i="5"/>
  <c r="I180" i="5"/>
  <c r="E181" i="5"/>
  <c r="F181" i="5"/>
  <c r="G181" i="5"/>
  <c r="H181" i="5"/>
  <c r="I181" i="5"/>
  <c r="E182" i="5"/>
  <c r="F182" i="5"/>
  <c r="G182" i="5"/>
  <c r="H182" i="5"/>
  <c r="I182" i="5"/>
  <c r="E183" i="5"/>
  <c r="F183" i="5"/>
  <c r="G183" i="5"/>
  <c r="H183" i="5"/>
  <c r="I183" i="5"/>
  <c r="E184" i="5"/>
  <c r="F184" i="5"/>
  <c r="G184" i="5"/>
  <c r="H184" i="5"/>
  <c r="I184" i="5"/>
  <c r="E185" i="5"/>
  <c r="F185" i="5"/>
  <c r="G185" i="5"/>
  <c r="H185" i="5"/>
  <c r="I185" i="5"/>
  <c r="E186" i="5"/>
  <c r="F186" i="5"/>
  <c r="G186" i="5"/>
  <c r="H186" i="5"/>
  <c r="I186" i="5"/>
  <c r="E187" i="5"/>
  <c r="F187" i="5"/>
  <c r="G187" i="5"/>
  <c r="H187" i="5"/>
  <c r="I187" i="5"/>
  <c r="E188" i="5"/>
  <c r="F188" i="5"/>
  <c r="G188" i="5"/>
  <c r="H188" i="5"/>
  <c r="I188" i="5"/>
  <c r="E189" i="5"/>
  <c r="F189" i="5"/>
  <c r="G189" i="5"/>
  <c r="H189" i="5"/>
  <c r="I189" i="5"/>
  <c r="E190" i="5"/>
  <c r="F190" i="5"/>
  <c r="G190" i="5"/>
  <c r="H190" i="5"/>
  <c r="I190" i="5"/>
  <c r="H74" i="5"/>
  <c r="H300" i="5" s="1"/>
  <c r="K9" i="36" s="1"/>
  <c r="G74" i="5"/>
  <c r="H301" i="5" s="1"/>
  <c r="K10" i="36" s="1"/>
  <c r="F74" i="5"/>
  <c r="E74" i="5"/>
  <c r="H299" i="5" s="1"/>
  <c r="K8" i="36" s="1"/>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75" i="5"/>
  <c r="S74" i="5"/>
  <c r="I74" i="5"/>
  <c r="Q8" i="36" l="1"/>
  <c r="S8" i="36"/>
  <c r="T8" i="36"/>
  <c r="R8" i="36"/>
  <c r="Q10" i="36"/>
  <c r="S10" i="36"/>
  <c r="T10" i="36"/>
  <c r="R10" i="36"/>
  <c r="Q9" i="36"/>
  <c r="S9" i="36"/>
  <c r="R9" i="36"/>
  <c r="T9" i="36"/>
  <c r="C247" i="5"/>
  <c r="D247" i="5"/>
  <c r="F247" i="5"/>
  <c r="G247" i="5" s="1"/>
  <c r="C248" i="5"/>
  <c r="D248" i="5"/>
  <c r="F248" i="5"/>
  <c r="G248" i="5" s="1"/>
  <c r="C249" i="5"/>
  <c r="D249" i="5"/>
  <c r="F249" i="5"/>
  <c r="G249" i="5" s="1"/>
  <c r="C250" i="5"/>
  <c r="D250" i="5"/>
  <c r="F250" i="5"/>
  <c r="G250" i="5" s="1"/>
  <c r="C251" i="5"/>
  <c r="D251" i="5"/>
  <c r="F251" i="5"/>
  <c r="G251" i="5" s="1"/>
  <c r="C252" i="5"/>
  <c r="D252" i="5"/>
  <c r="F252" i="5"/>
  <c r="G252" i="5" s="1"/>
  <c r="C253" i="5"/>
  <c r="D253" i="5"/>
  <c r="F253" i="5"/>
  <c r="G253" i="5" s="1"/>
  <c r="C254" i="5"/>
  <c r="D254" i="5"/>
  <c r="F254" i="5"/>
  <c r="G254" i="5" s="1"/>
  <c r="C255" i="5"/>
  <c r="D255" i="5"/>
  <c r="F255" i="5"/>
  <c r="G255" i="5" s="1"/>
  <c r="C256" i="5"/>
  <c r="D256" i="5"/>
  <c r="F256" i="5"/>
  <c r="G256" i="5" s="1"/>
  <c r="C230" i="5"/>
  <c r="D230" i="5"/>
  <c r="F230" i="5"/>
  <c r="G230" i="5" s="1"/>
  <c r="C231" i="5"/>
  <c r="D231" i="5"/>
  <c r="F231" i="5"/>
  <c r="G231" i="5" s="1"/>
  <c r="C232" i="5"/>
  <c r="D232" i="5"/>
  <c r="F232" i="5"/>
  <c r="G232" i="5" s="1"/>
  <c r="C233" i="5"/>
  <c r="D233" i="5"/>
  <c r="F233" i="5"/>
  <c r="G233" i="5" s="1"/>
  <c r="Q9" i="32"/>
  <c r="Q10" i="32"/>
  <c r="Q11" i="32"/>
  <c r="Q12" i="32"/>
  <c r="Q13" i="32"/>
  <c r="Q14" i="32"/>
  <c r="Q15" i="32"/>
  <c r="Q16" i="32"/>
  <c r="Q17" i="32"/>
  <c r="Q8" i="32"/>
  <c r="E32" i="5"/>
  <c r="F32" i="5"/>
  <c r="D32" i="5"/>
  <c r="H32" i="5" s="1"/>
  <c r="G32" i="5"/>
  <c r="C224" i="5"/>
  <c r="D224" i="5"/>
  <c r="F224" i="5"/>
  <c r="G224" i="5" s="1"/>
  <c r="C225" i="5"/>
  <c r="D225" i="5"/>
  <c r="F225" i="5"/>
  <c r="G225" i="5" s="1"/>
  <c r="E33" i="5"/>
  <c r="F33" i="5"/>
  <c r="D33" i="5"/>
  <c r="H33" i="5" s="1"/>
  <c r="G33" i="5"/>
  <c r="C226" i="5"/>
  <c r="D226" i="5"/>
  <c r="F226" i="5"/>
  <c r="G226" i="5" s="1"/>
  <c r="E34" i="5"/>
  <c r="F34" i="5"/>
  <c r="D34" i="5"/>
  <c r="H34" i="5" s="1"/>
  <c r="G34" i="5"/>
  <c r="C227" i="5"/>
  <c r="D227" i="5"/>
  <c r="F227" i="5"/>
  <c r="G227" i="5" s="1"/>
  <c r="E35" i="5"/>
  <c r="F35" i="5"/>
  <c r="D35" i="5"/>
  <c r="H35" i="5" s="1"/>
  <c r="G35" i="5"/>
  <c r="C228" i="5"/>
  <c r="D228" i="5"/>
  <c r="F228" i="5"/>
  <c r="G228" i="5" s="1"/>
  <c r="E36" i="5"/>
  <c r="F36" i="5"/>
  <c r="D36" i="5"/>
  <c r="H36" i="5" s="1"/>
  <c r="G36" i="5"/>
  <c r="C229" i="5"/>
  <c r="D229" i="5"/>
  <c r="F229" i="5"/>
  <c r="G229" i="5" s="1"/>
  <c r="E37" i="5"/>
  <c r="U37" i="5" s="1"/>
  <c r="L13" i="32" s="1"/>
  <c r="F37" i="5"/>
  <c r="D37" i="5"/>
  <c r="H37" i="5" s="1"/>
  <c r="G37" i="5"/>
  <c r="E38" i="5"/>
  <c r="U38" i="5" s="1"/>
  <c r="L14" i="32" s="1"/>
  <c r="E39" i="5"/>
  <c r="U39" i="5" s="1"/>
  <c r="L15" i="32" s="1"/>
  <c r="E40" i="5"/>
  <c r="U40" i="5" s="1"/>
  <c r="L16" i="32" s="1"/>
  <c r="E41" i="5"/>
  <c r="U41" i="5" s="1"/>
  <c r="L17" i="32" s="1"/>
  <c r="D38" i="5"/>
  <c r="H38" i="5" s="1"/>
  <c r="G38" i="5"/>
  <c r="F38" i="5"/>
  <c r="D39" i="5"/>
  <c r="H39" i="5" s="1"/>
  <c r="G39" i="5"/>
  <c r="F39" i="5"/>
  <c r="D40" i="5"/>
  <c r="H40" i="5" s="1"/>
  <c r="G40" i="5"/>
  <c r="F40" i="5"/>
  <c r="D41" i="5"/>
  <c r="H41" i="5" s="1"/>
  <c r="G41" i="5"/>
  <c r="F41" i="5"/>
  <c r="C33" i="5"/>
  <c r="C34" i="5"/>
  <c r="C35" i="5"/>
  <c r="C36" i="5"/>
  <c r="C37" i="5"/>
  <c r="C38" i="5"/>
  <c r="C39" i="5"/>
  <c r="C40" i="5"/>
  <c r="C41" i="5"/>
  <c r="C32" i="5"/>
  <c r="V8" i="36" l="1"/>
  <c r="V10" i="36"/>
  <c r="U10" i="36"/>
  <c r="V9" i="36"/>
  <c r="U9" i="36"/>
  <c r="U8" i="36"/>
  <c r="I38" i="5"/>
  <c r="Q38" i="5" s="1"/>
  <c r="O40" i="5"/>
  <c r="T40" i="5" s="1"/>
  <c r="J40" i="5"/>
  <c r="P37" i="5"/>
  <c r="L38" i="5"/>
  <c r="E251" i="5"/>
  <c r="I251" i="5" s="1"/>
  <c r="N12" i="33" s="1"/>
  <c r="E230" i="5"/>
  <c r="E256" i="5"/>
  <c r="H256" i="5" s="1"/>
  <c r="M17" i="33" s="1"/>
  <c r="E250" i="5"/>
  <c r="H250" i="5" s="1"/>
  <c r="M11" i="33" s="1"/>
  <c r="E226" i="5"/>
  <c r="E233" i="5"/>
  <c r="E248" i="5"/>
  <c r="I248" i="5" s="1"/>
  <c r="N9" i="33" s="1"/>
  <c r="E247" i="5"/>
  <c r="E228" i="5"/>
  <c r="E232" i="5"/>
  <c r="E227" i="5"/>
  <c r="N37" i="5"/>
  <c r="O34" i="5"/>
  <c r="I40" i="5"/>
  <c r="Q40" i="5" s="1"/>
  <c r="P34" i="5"/>
  <c r="E224" i="5"/>
  <c r="O38" i="5"/>
  <c r="T38" i="5" s="1"/>
  <c r="E255" i="5"/>
  <c r="I255" i="5" s="1"/>
  <c r="N16" i="33" s="1"/>
  <c r="E254" i="5"/>
  <c r="I254" i="5" s="1"/>
  <c r="N15" i="33" s="1"/>
  <c r="E253" i="5"/>
  <c r="I253" i="5" s="1"/>
  <c r="N14" i="33" s="1"/>
  <c r="M39" i="5"/>
  <c r="S39" i="5" s="1"/>
  <c r="L39" i="5"/>
  <c r="I39" i="5"/>
  <c r="Q39" i="5" s="1"/>
  <c r="P39" i="5"/>
  <c r="N39" i="5"/>
  <c r="O39" i="5"/>
  <c r="T39" i="5" s="1"/>
  <c r="K39" i="5"/>
  <c r="R39" i="5" s="1"/>
  <c r="J39" i="5"/>
  <c r="M41" i="5"/>
  <c r="S41" i="5" s="1"/>
  <c r="J41" i="5"/>
  <c r="I41" i="5"/>
  <c r="Q41" i="5" s="1"/>
  <c r="N41" i="5"/>
  <c r="O41" i="5"/>
  <c r="T41" i="5" s="1"/>
  <c r="K41" i="5"/>
  <c r="R41" i="5" s="1"/>
  <c r="L41" i="5"/>
  <c r="P41" i="5"/>
  <c r="O35" i="5"/>
  <c r="T35" i="5" s="1"/>
  <c r="U35" i="5" s="1"/>
  <c r="L11" i="32" s="1"/>
  <c r="K35" i="5"/>
  <c r="R35" i="5" s="1"/>
  <c r="N35" i="5"/>
  <c r="N33" i="5"/>
  <c r="J33" i="5"/>
  <c r="M33" i="5"/>
  <c r="S33" i="5" s="1"/>
  <c r="L33" i="5"/>
  <c r="K33" i="5"/>
  <c r="R33" i="5" s="1"/>
  <c r="U33" i="5" s="1"/>
  <c r="L9" i="32" s="1"/>
  <c r="J32" i="5"/>
  <c r="L32" i="5"/>
  <c r="M32" i="5"/>
  <c r="N32" i="5"/>
  <c r="N38" i="5"/>
  <c r="P40" i="5"/>
  <c r="I37" i="5"/>
  <c r="Q37" i="5" s="1"/>
  <c r="M40" i="5"/>
  <c r="S40" i="5" s="1"/>
  <c r="M38" i="5"/>
  <c r="S38" i="5" s="1"/>
  <c r="P35" i="5"/>
  <c r="O33" i="5"/>
  <c r="T33" i="5" s="1"/>
  <c r="E225" i="5"/>
  <c r="O32" i="5"/>
  <c r="E231" i="5"/>
  <c r="I231" i="5" s="1"/>
  <c r="E252" i="5"/>
  <c r="I34" i="5"/>
  <c r="J38" i="5"/>
  <c r="L40" i="5"/>
  <c r="J34" i="5"/>
  <c r="N34" i="5"/>
  <c r="N40" i="5"/>
  <c r="P38" i="5"/>
  <c r="K40" i="5"/>
  <c r="R40" i="5" s="1"/>
  <c r="K38" i="5"/>
  <c r="R38" i="5" s="1"/>
  <c r="O37" i="5"/>
  <c r="T37" i="5" s="1"/>
  <c r="L34" i="5"/>
  <c r="E249" i="5"/>
  <c r="H249" i="5" s="1"/>
  <c r="M10" i="33" s="1"/>
  <c r="E229" i="5"/>
  <c r="P36" i="5"/>
  <c r="L36" i="5"/>
  <c r="O36" i="5"/>
  <c r="T36" i="5" s="1"/>
  <c r="K36" i="5"/>
  <c r="R36" i="5" s="1"/>
  <c r="J36" i="5"/>
  <c r="M36" i="5"/>
  <c r="S36" i="5" s="1"/>
  <c r="N36" i="5"/>
  <c r="I36" i="5"/>
  <c r="Q36" i="5" s="1"/>
  <c r="U36" i="5" s="1"/>
  <c r="L12" i="32" s="1"/>
  <c r="K32" i="5"/>
  <c r="J37" i="5"/>
  <c r="L37" i="5"/>
  <c r="M34" i="5"/>
  <c r="P33" i="5"/>
  <c r="I35" i="5"/>
  <c r="Q35" i="5" s="1"/>
  <c r="I33" i="5"/>
  <c r="Q33" i="5" s="1"/>
  <c r="M37" i="5"/>
  <c r="S37" i="5" s="1"/>
  <c r="M35" i="5"/>
  <c r="S35" i="5" s="1"/>
  <c r="P32" i="5"/>
  <c r="K37" i="5"/>
  <c r="R37" i="5" s="1"/>
  <c r="I32" i="5"/>
  <c r="J35" i="5"/>
  <c r="K34" i="5"/>
  <c r="L35" i="5"/>
  <c r="D20" i="34" l="1"/>
  <c r="W9" i="36"/>
  <c r="A54" i="43"/>
  <c r="W8" i="36"/>
  <c r="A53" i="43"/>
  <c r="C20" i="34"/>
  <c r="W10" i="36"/>
  <c r="A55" i="43"/>
  <c r="R32" i="5"/>
  <c r="Q32" i="5"/>
  <c r="U32" i="5" s="1"/>
  <c r="L8" i="32" s="1"/>
  <c r="S34" i="5"/>
  <c r="U34" i="5" s="1"/>
  <c r="L10" i="32" s="1"/>
  <c r="S32" i="5"/>
  <c r="H233" i="5"/>
  <c r="M17" i="32" s="1"/>
  <c r="U17" i="32" s="1"/>
  <c r="I233" i="5"/>
  <c r="N17" i="32" s="1"/>
  <c r="T17" i="32" s="1"/>
  <c r="R10" i="33"/>
  <c r="Q10" i="33"/>
  <c r="Q34" i="5"/>
  <c r="I226" i="5"/>
  <c r="N10" i="32" s="1"/>
  <c r="H251" i="5"/>
  <c r="M12" i="33" s="1"/>
  <c r="I227" i="5"/>
  <c r="N11" i="32" s="1"/>
  <c r="H224" i="5"/>
  <c r="M8" i="32" s="1"/>
  <c r="U8" i="32" s="1"/>
  <c r="I224" i="5"/>
  <c r="N8" i="32" s="1"/>
  <c r="H232" i="5"/>
  <c r="M16" i="32" s="1"/>
  <c r="S16" i="32" s="1"/>
  <c r="I232" i="5"/>
  <c r="N16" i="32" s="1"/>
  <c r="T16" i="32" s="1"/>
  <c r="R11" i="33"/>
  <c r="Q11" i="33"/>
  <c r="H229" i="5"/>
  <c r="M13" i="32" s="1"/>
  <c r="S13" i="32" s="1"/>
  <c r="I229" i="5"/>
  <c r="N13" i="32" s="1"/>
  <c r="T32" i="5"/>
  <c r="I228" i="5"/>
  <c r="N12" i="32" s="1"/>
  <c r="T12" i="32" s="1"/>
  <c r="R17" i="33"/>
  <c r="Q17" i="33"/>
  <c r="H225" i="5"/>
  <c r="M9" i="32" s="1"/>
  <c r="U9" i="32" s="1"/>
  <c r="I225" i="5"/>
  <c r="N9" i="32" s="1"/>
  <c r="I230" i="5"/>
  <c r="N14" i="32" s="1"/>
  <c r="R34" i="5"/>
  <c r="T34" i="5"/>
  <c r="H248" i="5"/>
  <c r="M9" i="33" s="1"/>
  <c r="I250" i="5"/>
  <c r="N11" i="33" s="1"/>
  <c r="H228" i="5"/>
  <c r="M12" i="32" s="1"/>
  <c r="S12" i="32" s="1"/>
  <c r="H226" i="5"/>
  <c r="M10" i="32" s="1"/>
  <c r="U10" i="32" s="1"/>
  <c r="H247" i="5"/>
  <c r="M8" i="33" s="1"/>
  <c r="I256" i="5"/>
  <c r="N17" i="33" s="1"/>
  <c r="H230" i="5"/>
  <c r="M14" i="32" s="1"/>
  <c r="U14" i="32" s="1"/>
  <c r="H227" i="5"/>
  <c r="M11" i="32" s="1"/>
  <c r="U11" i="32" s="1"/>
  <c r="H255" i="5"/>
  <c r="M16" i="33" s="1"/>
  <c r="I247" i="5"/>
  <c r="N8" i="33" s="1"/>
  <c r="H253" i="5"/>
  <c r="M14" i="33" s="1"/>
  <c r="H254" i="5"/>
  <c r="M15" i="33" s="1"/>
  <c r="H252" i="5"/>
  <c r="M13" i="33" s="1"/>
  <c r="I252" i="5"/>
  <c r="N13" i="33" s="1"/>
  <c r="H231" i="5"/>
  <c r="M15" i="32" s="1"/>
  <c r="N15" i="32"/>
  <c r="I249" i="5"/>
  <c r="N10" i="33" s="1"/>
  <c r="R55" i="43" l="1"/>
  <c r="U55" i="43"/>
  <c r="G55" i="43"/>
  <c r="K55" i="43"/>
  <c r="C55" i="43"/>
  <c r="H55" i="43"/>
  <c r="Q55" i="43"/>
  <c r="M55" i="43"/>
  <c r="N55" i="43"/>
  <c r="R53" i="43"/>
  <c r="U53" i="43"/>
  <c r="Q53" i="43"/>
  <c r="C53" i="43"/>
  <c r="M53" i="43"/>
  <c r="H53" i="43"/>
  <c r="N53" i="43"/>
  <c r="G53" i="43"/>
  <c r="K53" i="43"/>
  <c r="E20" i="34"/>
  <c r="U54" i="43"/>
  <c r="R54" i="43"/>
  <c r="C54" i="43"/>
  <c r="Q54" i="43"/>
  <c r="G54" i="43"/>
  <c r="K54" i="43"/>
  <c r="N54" i="43"/>
  <c r="H54" i="43"/>
  <c r="M54" i="43"/>
  <c r="S17" i="32"/>
  <c r="U16" i="32"/>
  <c r="U13" i="32"/>
  <c r="W13" i="32" s="1"/>
  <c r="T8" i="32"/>
  <c r="S9" i="32"/>
  <c r="S8" i="32"/>
  <c r="W8" i="32" s="1"/>
  <c r="A3" i="43" s="1"/>
  <c r="U17" i="33"/>
  <c r="U11" i="33"/>
  <c r="V11" i="32"/>
  <c r="T11" i="32"/>
  <c r="V14" i="32"/>
  <c r="T14" i="32"/>
  <c r="V10" i="32"/>
  <c r="T10" i="32"/>
  <c r="R16" i="33"/>
  <c r="Q16" i="33"/>
  <c r="R8" i="33"/>
  <c r="Q8" i="33"/>
  <c r="R13" i="33"/>
  <c r="Q13" i="33"/>
  <c r="R9" i="33"/>
  <c r="Q9" i="33"/>
  <c r="R15" i="33"/>
  <c r="Q15" i="33"/>
  <c r="V12" i="32"/>
  <c r="X12" i="32" s="1"/>
  <c r="R14" i="33"/>
  <c r="Q14" i="33"/>
  <c r="R12" i="33"/>
  <c r="Q12" i="33"/>
  <c r="U10" i="33"/>
  <c r="S10" i="32"/>
  <c r="V17" i="32"/>
  <c r="X17" i="32" s="1"/>
  <c r="S11" i="32"/>
  <c r="U12" i="32"/>
  <c r="V16" i="32"/>
  <c r="X16" i="32" s="1"/>
  <c r="S14" i="32"/>
  <c r="V8" i="32"/>
  <c r="V15" i="32"/>
  <c r="T15" i="32"/>
  <c r="U15" i="32"/>
  <c r="S15" i="32"/>
  <c r="T9" i="32"/>
  <c r="V9" i="32"/>
  <c r="T13" i="32"/>
  <c r="V13" i="32"/>
  <c r="X11" i="32" l="1"/>
  <c r="X9" i="32"/>
  <c r="X10" i="32"/>
  <c r="X14" i="32"/>
  <c r="A15" i="43"/>
  <c r="Q15" i="43" s="1"/>
  <c r="W10" i="33"/>
  <c r="A16" i="43"/>
  <c r="N16" i="43" s="1"/>
  <c r="W11" i="33"/>
  <c r="A22" i="43"/>
  <c r="R22" i="43" s="1"/>
  <c r="W17" i="33"/>
  <c r="W15" i="32"/>
  <c r="W11" i="32"/>
  <c r="W17" i="32"/>
  <c r="R3" i="43"/>
  <c r="U3" i="43"/>
  <c r="X15" i="32"/>
  <c r="W10" i="32"/>
  <c r="X8" i="32"/>
  <c r="Y8" i="32" s="1"/>
  <c r="W9" i="32"/>
  <c r="W16" i="32"/>
  <c r="X13" i="32"/>
  <c r="Y13" i="32" s="1"/>
  <c r="W14" i="32"/>
  <c r="Y14" i="32" s="1"/>
  <c r="A8" i="43"/>
  <c r="W12" i="32"/>
  <c r="G3" i="43"/>
  <c r="N3" i="43"/>
  <c r="K3" i="43"/>
  <c r="C3" i="43"/>
  <c r="M3" i="43"/>
  <c r="H3" i="43"/>
  <c r="U13" i="33"/>
  <c r="U8" i="33"/>
  <c r="U9" i="33"/>
  <c r="U15" i="33"/>
  <c r="U14" i="33"/>
  <c r="U16" i="33"/>
  <c r="U12" i="33"/>
  <c r="K16" i="43" l="1"/>
  <c r="C16" i="43"/>
  <c r="C15" i="43"/>
  <c r="M15" i="43"/>
  <c r="N15" i="43"/>
  <c r="H22" i="43"/>
  <c r="H16" i="43"/>
  <c r="K15" i="43"/>
  <c r="B22" i="43"/>
  <c r="K22" i="43"/>
  <c r="U22" i="43"/>
  <c r="M22" i="43"/>
  <c r="G16" i="43"/>
  <c r="G15" i="43"/>
  <c r="C22" i="43"/>
  <c r="N22" i="43"/>
  <c r="B16" i="43"/>
  <c r="R15" i="43"/>
  <c r="G22" i="43"/>
  <c r="M16" i="43"/>
  <c r="Q22" i="43"/>
  <c r="H15" i="43"/>
  <c r="B15" i="43"/>
  <c r="Q3" i="43"/>
  <c r="A17" i="43"/>
  <c r="G17" i="43" s="1"/>
  <c r="W12" i="33"/>
  <c r="A7" i="43"/>
  <c r="H7" i="43" s="1"/>
  <c r="Y12" i="32"/>
  <c r="A5" i="43"/>
  <c r="N5" i="43" s="1"/>
  <c r="Y10" i="32"/>
  <c r="G8" i="43"/>
  <c r="D8" i="43"/>
  <c r="F8" i="43"/>
  <c r="A20" i="43"/>
  <c r="C20" i="43" s="1"/>
  <c r="W15" i="33"/>
  <c r="A9" i="43"/>
  <c r="Q16" i="43"/>
  <c r="A19" i="43"/>
  <c r="H19" i="43" s="1"/>
  <c r="W14" i="33"/>
  <c r="A14" i="43"/>
  <c r="B14" i="43" s="1"/>
  <c r="W9" i="33"/>
  <c r="A12" i="43"/>
  <c r="Y17" i="32"/>
  <c r="A13" i="43"/>
  <c r="Q13" i="43" s="1"/>
  <c r="W8" i="33"/>
  <c r="A11" i="43"/>
  <c r="H11" i="43" s="1"/>
  <c r="Y16" i="32"/>
  <c r="A6" i="43"/>
  <c r="M6" i="43" s="1"/>
  <c r="Y11" i="32"/>
  <c r="U16" i="43"/>
  <c r="A21" i="43"/>
  <c r="H21" i="43" s="1"/>
  <c r="W16" i="33"/>
  <c r="A18" i="43"/>
  <c r="N18" i="43" s="1"/>
  <c r="W13" i="33"/>
  <c r="A4" i="43"/>
  <c r="K4" i="43" s="1"/>
  <c r="Y9" i="32"/>
  <c r="Y15" i="32"/>
  <c r="A10" i="43"/>
  <c r="R16" i="43"/>
  <c r="U15" i="43"/>
  <c r="F22" i="43"/>
  <c r="D22" i="43"/>
  <c r="B21" i="43"/>
  <c r="G21" i="43"/>
  <c r="C21" i="43"/>
  <c r="M21" i="43"/>
  <c r="U21" i="43"/>
  <c r="K21" i="43"/>
  <c r="R12" i="43"/>
  <c r="U12" i="43"/>
  <c r="Q12" i="43"/>
  <c r="G12" i="43"/>
  <c r="H12" i="43"/>
  <c r="M12" i="43"/>
  <c r="C12" i="43"/>
  <c r="N12" i="43"/>
  <c r="K12" i="43"/>
  <c r="U11" i="43"/>
  <c r="K11" i="43"/>
  <c r="M11" i="43"/>
  <c r="C8" i="43"/>
  <c r="K9" i="43"/>
  <c r="K8" i="43"/>
  <c r="G9" i="43"/>
  <c r="U10" i="43"/>
  <c r="R10" i="43"/>
  <c r="H8" i="43"/>
  <c r="Q9" i="43"/>
  <c r="U8" i="43"/>
  <c r="R8" i="43"/>
  <c r="M8" i="43"/>
  <c r="Q8" i="43"/>
  <c r="N8" i="43"/>
  <c r="U9" i="43"/>
  <c r="R9" i="43"/>
  <c r="N9" i="43"/>
  <c r="Q10" i="43"/>
  <c r="G10" i="43"/>
  <c r="M10" i="43"/>
  <c r="K10" i="43"/>
  <c r="C10" i="43"/>
  <c r="H10" i="43"/>
  <c r="N10" i="43"/>
  <c r="D15" i="34"/>
  <c r="D21" i="34" s="1"/>
  <c r="C16" i="34"/>
  <c r="C15" i="34"/>
  <c r="Q21" i="43" l="1"/>
  <c r="N21" i="43"/>
  <c r="B19" i="43"/>
  <c r="G19" i="43"/>
  <c r="N19" i="43"/>
  <c r="B20" i="43"/>
  <c r="Q20" i="43"/>
  <c r="U20" i="43"/>
  <c r="M20" i="43"/>
  <c r="N20" i="43"/>
  <c r="G20" i="43"/>
  <c r="R20" i="43"/>
  <c r="K20" i="43"/>
  <c r="H20" i="43"/>
  <c r="R19" i="43"/>
  <c r="Q19" i="43"/>
  <c r="C19" i="43"/>
  <c r="K19" i="43"/>
  <c r="M19" i="43"/>
  <c r="U19" i="43"/>
  <c r="C18" i="43"/>
  <c r="M18" i="43"/>
  <c r="U18" i="43"/>
  <c r="N17" i="43"/>
  <c r="M17" i="43"/>
  <c r="U17" i="43"/>
  <c r="R17" i="43"/>
  <c r="B17" i="43"/>
  <c r="C17" i="43"/>
  <c r="H17" i="43"/>
  <c r="K17" i="43"/>
  <c r="Q17" i="43"/>
  <c r="C14" i="43"/>
  <c r="G14" i="43"/>
  <c r="U14" i="43"/>
  <c r="Q14" i="43"/>
  <c r="N14" i="43"/>
  <c r="M14" i="43"/>
  <c r="H14" i="43"/>
  <c r="R14" i="43"/>
  <c r="K14" i="43"/>
  <c r="K13" i="43"/>
  <c r="M13" i="43"/>
  <c r="N13" i="43"/>
  <c r="U13" i="43"/>
  <c r="R13" i="43"/>
  <c r="G4" i="43"/>
  <c r="G5" i="43"/>
  <c r="H5" i="43"/>
  <c r="C5" i="43"/>
  <c r="M5" i="43"/>
  <c r="U5" i="43"/>
  <c r="R5" i="43"/>
  <c r="K5" i="43"/>
  <c r="K6" i="43"/>
  <c r="G6" i="43"/>
  <c r="H6" i="43"/>
  <c r="N6" i="43"/>
  <c r="R6" i="43"/>
  <c r="C6" i="43"/>
  <c r="U6" i="43"/>
  <c r="Q6" i="43"/>
  <c r="Q7" i="43"/>
  <c r="N7" i="43"/>
  <c r="G7" i="43"/>
  <c r="B18" i="43"/>
  <c r="G18" i="43"/>
  <c r="H13" i="43"/>
  <c r="R18" i="43"/>
  <c r="Q18" i="43"/>
  <c r="Q5" i="43"/>
  <c r="Q4" i="43"/>
  <c r="C11" i="43"/>
  <c r="C7" i="43"/>
  <c r="R4" i="43"/>
  <c r="Q11" i="43"/>
  <c r="K7" i="43"/>
  <c r="M4" i="43"/>
  <c r="N4" i="43"/>
  <c r="U4" i="43"/>
  <c r="H4" i="43"/>
  <c r="N11" i="43"/>
  <c r="R11" i="43"/>
  <c r="R7" i="43"/>
  <c r="C4" i="43"/>
  <c r="G11" i="43"/>
  <c r="M7" i="43"/>
  <c r="U7" i="43"/>
  <c r="E15" i="34"/>
  <c r="F21" i="43"/>
  <c r="D21" i="43"/>
  <c r="E16" i="34"/>
  <c r="D10" i="43"/>
  <c r="F10" i="43"/>
  <c r="M9" i="43"/>
  <c r="D9" i="43"/>
  <c r="F9" i="43"/>
  <c r="H9" i="43"/>
  <c r="C9" i="43"/>
  <c r="K18" i="43"/>
  <c r="F12" i="43"/>
  <c r="D12" i="43"/>
  <c r="B13" i="43"/>
  <c r="R21" i="43"/>
  <c r="C13" i="43"/>
  <c r="H18" i="43"/>
  <c r="G13" i="43"/>
  <c r="F11" i="43"/>
  <c r="D11" i="43"/>
  <c r="C21" i="34"/>
  <c r="E21" i="34" l="1"/>
  <c r="F21" i="34" s="1"/>
  <c r="X9" i="36" s="1"/>
  <c r="F54" i="43" s="1"/>
  <c r="D54" i="43" s="1"/>
  <c r="X15" i="33" l="1"/>
  <c r="F20" i="43" s="1"/>
  <c r="D20" i="43" s="1"/>
  <c r="X13" i="33"/>
  <c r="F18" i="43" s="1"/>
  <c r="D18" i="43" s="1"/>
  <c r="Y10" i="35"/>
  <c r="M17" i="30"/>
  <c r="Z13" i="32"/>
  <c r="Z11" i="32"/>
  <c r="F6" i="43" s="1"/>
  <c r="D6" i="43" s="1"/>
  <c r="Y8" i="35"/>
  <c r="F43" i="43" s="1"/>
  <c r="D43" i="43" s="1"/>
  <c r="AD17" i="31"/>
  <c r="AD15" i="31"/>
  <c r="Z12" i="32"/>
  <c r="F7" i="43" s="1"/>
  <c r="D7" i="43" s="1"/>
  <c r="AD16" i="31"/>
  <c r="M9" i="30"/>
  <c r="Y13" i="35"/>
  <c r="M10" i="30"/>
  <c r="M12" i="30"/>
  <c r="AD14" i="31"/>
  <c r="Z9" i="32"/>
  <c r="F4" i="43" s="1"/>
  <c r="D4" i="43" s="1"/>
  <c r="AD9" i="31"/>
  <c r="M11" i="30"/>
  <c r="Y12" i="35"/>
  <c r="AD10" i="31"/>
  <c r="Z17" i="32"/>
  <c r="X15" i="36"/>
  <c r="Y14" i="35"/>
  <c r="Z14" i="32"/>
  <c r="M16" i="30"/>
  <c r="M15" i="30"/>
  <c r="Y17" i="35"/>
  <c r="Y9" i="35"/>
  <c r="F44" i="43" s="1"/>
  <c r="D44" i="43" s="1"/>
  <c r="X11" i="36"/>
  <c r="X16" i="33"/>
  <c r="X16" i="36"/>
  <c r="X14" i="33"/>
  <c r="F19" i="43" s="1"/>
  <c r="D19" i="43" s="1"/>
  <c r="X12" i="33"/>
  <c r="F17" i="43" s="1"/>
  <c r="D17" i="43" s="1"/>
  <c r="Z10" i="32"/>
  <c r="F5" i="43" s="1"/>
  <c r="D5" i="43" s="1"/>
  <c r="M8" i="30"/>
  <c r="Y11" i="35"/>
  <c r="X12" i="36"/>
  <c r="X11" i="33"/>
  <c r="F16" i="43" s="1"/>
  <c r="D16" i="43" s="1"/>
  <c r="X14" i="36"/>
  <c r="X13" i="36"/>
  <c r="AD8" i="31"/>
  <c r="AD13" i="31"/>
  <c r="Z8" i="32"/>
  <c r="F3" i="43" s="1"/>
  <c r="D3" i="43" s="1"/>
  <c r="Z16" i="32"/>
  <c r="X8" i="33"/>
  <c r="F13" i="43" s="1"/>
  <c r="D13" i="43" s="1"/>
  <c r="X10" i="33"/>
  <c r="F15" i="43" s="1"/>
  <c r="D15" i="43" s="1"/>
  <c r="AD12" i="31"/>
  <c r="Y16" i="35"/>
  <c r="X8" i="36"/>
  <c r="F53" i="43" s="1"/>
  <c r="D53" i="43" s="1"/>
  <c r="X10" i="36"/>
  <c r="F55" i="43" s="1"/>
  <c r="D55" i="43" s="1"/>
  <c r="Z15" i="32"/>
  <c r="X9" i="33"/>
  <c r="F14" i="43" s="1"/>
  <c r="D14" i="43" s="1"/>
  <c r="X17" i="33"/>
  <c r="AD11" i="31"/>
  <c r="M14" i="30"/>
  <c r="M13" i="30"/>
  <c r="Y15" i="35"/>
  <c r="X17" i="36"/>
  <c r="F17" i="34" l="1"/>
  <c r="F15" i="34"/>
  <c r="F20" i="34"/>
  <c r="F19" i="34"/>
  <c r="F16" i="34"/>
  <c r="F1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tc={39FF70C3-B94F-41BB-A060-2864D0436F51}</author>
  </authors>
  <commentList>
    <comment ref="Z7" authorId="0" shapeId="0" xr:uid="{39FF70C3-B94F-41BB-A060-2864D0436F51}">
      <text>
        <t>[Threaded comment]
Your version of Excel allows you to read this threaded comment; however, any edits to it will get removed if the file is opened in a newer version of Excel. Learn more: https://go.microsoft.com/fwlink/?linkid=870924
Comment:
    Defaulting to 0 as this parameter is difficult to estimate.</t>
      </text>
    </comment>
  </commentList>
</comments>
</file>

<file path=xl/sharedStrings.xml><?xml version="1.0" encoding="utf-8"?>
<sst xmlns="http://schemas.openxmlformats.org/spreadsheetml/2006/main" count="1926" uniqueCount="466">
  <si>
    <t>PPL Drives for Motors Estimator</t>
  </si>
  <si>
    <t>This calculator is used for estimating savings and does not guarantee the estimated incentive. The methodology presented in this calculator is deemed acceptable for the PPL Electric Utilities Non-Residential Energy Efficiency Program. However, the assumptions used by the applicant to calculate the annual savings will be reviewed by the Program Team, which is solely responsible for the final determination of the annual energy savings to be used in calculating the incentive amount. The Program also reserves the right to require the applicant to conduct specific measurement and verification activities, including monitoring both before and after the retrofit, and to base the incentive payment on the results of these activities. For any questions, or assistance using this Calculator, please call 1-866-432-5501 or email us at pplbusiness@clearesult.com.</t>
  </si>
  <si>
    <r>
      <t>Input Instructions</t>
    </r>
    <r>
      <rPr>
        <b/>
        <sz val="11"/>
        <color indexed="13"/>
        <rFont val="Arial"/>
        <family val="2"/>
      </rPr>
      <t/>
    </r>
  </si>
  <si>
    <t>Yellow cells indicate that user input is required. Cells with a * are required.</t>
  </si>
  <si>
    <t xml:space="preserve">Grey cells are calculated values. </t>
  </si>
  <si>
    <t>Worksheet Summary</t>
  </si>
  <si>
    <t>Methodology</t>
  </si>
  <si>
    <t>Provides methodology for savings estimations</t>
  </si>
  <si>
    <t>Project Summary</t>
  </si>
  <si>
    <t>This provides summary of estimated savings along with some required inputs</t>
  </si>
  <si>
    <t>Premium Efficiency Motors</t>
  </si>
  <si>
    <t>This is for constant speed and uniformly loaded motors in new construction and replace on burnout measures. Replacements where old motors and new motors have different horsepowers are considered a custom measure. Motor with variable speeds are considered a custom measure. Systems with multiple motors in a lead-lag setup are also considered custom measures.</t>
  </si>
  <si>
    <t>VFD Improvements</t>
  </si>
  <si>
    <t>The protocol is for standard commercial application where the baseline motor is without a VFD control.</t>
  </si>
  <si>
    <t>ECM Fans</t>
  </si>
  <si>
    <t xml:space="preserve">This measure is for the retrofit of existing shaded-pole (SP) or permanent-split capacitor (PSC) evaporator fan motors in an air handling unit to a electronically commutated motor (ECM). This measure only applies to motors of one horsepower or less. Anything greater than 1 HP are governed by NEMA standard. The targeted fan can be for cooling, heating, or both. </t>
  </si>
  <si>
    <t>VSD Kitchen Fans</t>
  </si>
  <si>
    <t>This measure is for the installation of variable speed drives (VSD) on commercial kitchen exhaust fans. The VSD must vary the exhaust rate of kitchen ventilation based on the energy and effluent output from the cooking appliances. This involves installing a temperature sensor in the hood exhaust collar and/or an optic sensor on the end of the hood that can sense cooking conditions.</t>
  </si>
  <si>
    <t>Version Log</t>
  </si>
  <si>
    <t>The Version Log Worksheet tracks updates and changes made to the workbook.</t>
  </si>
  <si>
    <t>Glossary of Inputs</t>
  </si>
  <si>
    <t>Date</t>
  </si>
  <si>
    <t>Date the estimator is completed.</t>
  </si>
  <si>
    <t>Project Name</t>
  </si>
  <si>
    <t>Name of project for reference.</t>
  </si>
  <si>
    <t>Address</t>
  </si>
  <si>
    <t>Physical location of project.</t>
  </si>
  <si>
    <t>Installation Date</t>
  </si>
  <si>
    <t>Date the project is completed.</t>
  </si>
  <si>
    <t>Project Cost*</t>
  </si>
  <si>
    <t>The cost associated with the project. Required for incentive calculation.</t>
  </si>
  <si>
    <t>Location*</t>
  </si>
  <si>
    <t>The nearest city to the project location.</t>
  </si>
  <si>
    <t>Building Type*</t>
  </si>
  <si>
    <t>The building type for the project. If your building type is not listed, please contact the PPL Program.</t>
  </si>
  <si>
    <t>Motor ID</t>
  </si>
  <si>
    <t>The ID of the motor for reference.</t>
  </si>
  <si>
    <t>Motor Function*</t>
  </si>
  <si>
    <t>The function of the motor. This is a dropdown list. If your motor function is not listed, please contact the PPL Program.</t>
  </si>
  <si>
    <t>Number of Units*</t>
  </si>
  <si>
    <t>The number of units to receive the retrofit. May also be referred to as quantity.</t>
  </si>
  <si>
    <t>NEMA Design Type*</t>
  </si>
  <si>
    <t>The NEMA type of motor to be installed. Used to calculate baseline efficiency.</t>
  </si>
  <si>
    <t>Number of Poles*</t>
  </si>
  <si>
    <t>Number of poles in the motor.</t>
  </si>
  <si>
    <t>Motor Enclosure*</t>
  </si>
  <si>
    <t xml:space="preserve">The motor enclosure type. </t>
  </si>
  <si>
    <t>Motor Replacement*</t>
  </si>
  <si>
    <t>Select if the motor is new construction or a replace on burnout.</t>
  </si>
  <si>
    <t>Horsepower*</t>
  </si>
  <si>
    <t>The horsepower of the pre and post motor must match.</t>
  </si>
  <si>
    <t>Manufacturer*</t>
  </si>
  <si>
    <t>This is the manufacturer of the equipment to be installed. See specific tab for which piece of equipment.</t>
  </si>
  <si>
    <t>Model Number*</t>
  </si>
  <si>
    <t>This is the model number of the equipment to be installed. See individual tab for which piece of equipment.</t>
  </si>
  <si>
    <t>Efficiency*</t>
  </si>
  <si>
    <t>In premium motors, this is the efficiency of the new NEMA motor.</t>
  </si>
  <si>
    <t>Control Type*</t>
  </si>
  <si>
    <t>In VFD's this is the type of control on the fan/pump. If yours is not listed, or you are unsure of which type you have, contact the PPL Program team.</t>
  </si>
  <si>
    <t>Baseline Motor Type*</t>
  </si>
  <si>
    <t>This is the baseline motor type for ECM applications.</t>
  </si>
  <si>
    <t>Equipment Size*</t>
  </si>
  <si>
    <t>This is the HP size for the ECM motor application. It must be less than or equal to 1 HP.</t>
  </si>
  <si>
    <t>Fan Application*</t>
  </si>
  <si>
    <t>This designates if the fan is for heating, cooling, or both.</t>
  </si>
  <si>
    <t>Glossary of Outputs</t>
  </si>
  <si>
    <t>kWh Savings</t>
  </si>
  <si>
    <t>This is the anticipated kWh savings of the line item or measure.</t>
  </si>
  <si>
    <t>kWh</t>
  </si>
  <si>
    <t>kW savings</t>
  </si>
  <si>
    <t>This is the anticipated peak kW savings of the line item/measure.</t>
  </si>
  <si>
    <t>Incentive</t>
  </si>
  <si>
    <t>This is the estimated incentive based on project cost and kWh savings.</t>
  </si>
  <si>
    <t>Run Hours</t>
  </si>
  <si>
    <t>This is the prescriptive hours of use based on location and facility type.</t>
  </si>
  <si>
    <t>Coincidence Factor</t>
  </si>
  <si>
    <t>This is the prescriptive coincidence factor based on the location and facility type.</t>
  </si>
  <si>
    <t>Motor Efficiency</t>
  </si>
  <si>
    <t>This is the NEMA efficiency in the Motors tab based on NEMA inputs.</t>
  </si>
  <si>
    <t>ESF</t>
  </si>
  <si>
    <t>This is a Energy Savings Factor based on inputs from the VFD tab.</t>
  </si>
  <si>
    <t>DSF</t>
  </si>
  <si>
    <t>This is a Demand Savings Factor based on inputs from the VFD tab.</t>
  </si>
  <si>
    <t>Calculator Methodology</t>
  </si>
  <si>
    <t>The energy savings is calculated from the 2016 PA TRM with errata. Reference that document for any greater detail than what is provided.</t>
  </si>
  <si>
    <t>VFD Improvement</t>
  </si>
  <si>
    <t>ECM Motors</t>
  </si>
  <si>
    <t>VSD on Kitchen Exhaust Fans</t>
  </si>
  <si>
    <t>Version</t>
  </si>
  <si>
    <t>Last Updated</t>
  </si>
  <si>
    <t>Instructions: Enter the project information in the yellow cells below. Cells with a * are required. See Instructions Worksheet for more information.</t>
  </si>
  <si>
    <t>Measure</t>
  </si>
  <si>
    <t>kW Savings</t>
  </si>
  <si>
    <t>Uncapped Incentive</t>
  </si>
  <si>
    <t>Premium Efficient Motors</t>
  </si>
  <si>
    <t>VFDs</t>
  </si>
  <si>
    <t>VSD Kitchen Fan</t>
  </si>
  <si>
    <t>ECM Circulator Pump</t>
  </si>
  <si>
    <t>High Efficiency Pumps</t>
  </si>
  <si>
    <t>Total</t>
  </si>
  <si>
    <t>HIDE</t>
  </si>
  <si>
    <t>Motor Information</t>
  </si>
  <si>
    <t>Baseline Information</t>
  </si>
  <si>
    <t>New Motor</t>
  </si>
  <si>
    <t>Calculations</t>
  </si>
  <si>
    <t>Total Incentive</t>
  </si>
  <si>
    <t>Line Item</t>
  </si>
  <si>
    <t>Load Factor</t>
  </si>
  <si>
    <t>Efficiency</t>
  </si>
  <si>
    <t>CF</t>
  </si>
  <si>
    <t>Manufacturer</t>
  </si>
  <si>
    <t>Model Number</t>
  </si>
  <si>
    <t>Horsepower</t>
  </si>
  <si>
    <t>Baseline kWh</t>
  </si>
  <si>
    <t>Baseline kW</t>
  </si>
  <si>
    <t>EE kWh</t>
  </si>
  <si>
    <t>EE kW</t>
  </si>
  <si>
    <t>Variable Frequency Drive (VFD) Improvements</t>
  </si>
  <si>
    <t>VFD Information</t>
  </si>
  <si>
    <t>Equipment Type</t>
  </si>
  <si>
    <t>Quantity*</t>
  </si>
  <si>
    <t>kWhbase</t>
  </si>
  <si>
    <t>kWhee</t>
  </si>
  <si>
    <t>kWbase</t>
  </si>
  <si>
    <t>kWee</t>
  </si>
  <si>
    <t>ECM Circulating Fan</t>
  </si>
  <si>
    <t>Efficient Unit</t>
  </si>
  <si>
    <t>Baseline Unit</t>
  </si>
  <si>
    <t>Proposed Unit</t>
  </si>
  <si>
    <t>Unit ID</t>
  </si>
  <si>
    <t>Model</t>
  </si>
  <si>
    <t>Motor HP</t>
  </si>
  <si>
    <t>Motor Eff</t>
  </si>
  <si>
    <t>Ventilation Only Hours</t>
  </si>
  <si>
    <t>Watts</t>
  </si>
  <si>
    <t>LF</t>
  </si>
  <si>
    <t>EFLH heat</t>
  </si>
  <si>
    <t>EFLH cool</t>
  </si>
  <si>
    <t>IF kWh</t>
  </si>
  <si>
    <t>IF kW</t>
  </si>
  <si>
    <t>CFcool</t>
  </si>
  <si>
    <t>kWh heat</t>
  </si>
  <si>
    <t>kW heat</t>
  </si>
  <si>
    <t>kWh cool</t>
  </si>
  <si>
    <t>kW cool</t>
  </si>
  <si>
    <t>kWh vent</t>
  </si>
  <si>
    <t>kW vent</t>
  </si>
  <si>
    <t>kWh savings</t>
  </si>
  <si>
    <t>ECM</t>
  </si>
  <si>
    <t>VSD on Kitchen Exhaust Fan</t>
  </si>
  <si>
    <t>ECM Circulating Pump</t>
  </si>
  <si>
    <t>Pump Application*</t>
  </si>
  <si>
    <t>Pump Control Type</t>
  </si>
  <si>
    <t>HOUdhw-base</t>
  </si>
  <si>
    <t>HOUdhw-ee</t>
  </si>
  <si>
    <t>CFbase</t>
  </si>
  <si>
    <t>CFee</t>
  </si>
  <si>
    <t>kWh heating</t>
  </si>
  <si>
    <t>kW heating</t>
  </si>
  <si>
    <t>kWh dhw</t>
  </si>
  <si>
    <t>kW dhw</t>
  </si>
  <si>
    <t>Capped Incentive</t>
  </si>
  <si>
    <t>Pump/Motor Information</t>
  </si>
  <si>
    <t>Pump Function</t>
  </si>
  <si>
    <t>Pump Type</t>
  </si>
  <si>
    <t>Pump Speed</t>
  </si>
  <si>
    <t>Quantity</t>
  </si>
  <si>
    <t>PEIee</t>
  </si>
  <si>
    <t>PEIbase</t>
  </si>
  <si>
    <t>Table 1: Location</t>
  </si>
  <si>
    <t>Table 2: Facility Type</t>
  </si>
  <si>
    <t>Table 3: Motor Replace</t>
  </si>
  <si>
    <t>Table 4: Nema Type</t>
  </si>
  <si>
    <t>Table 5: Motor Function</t>
  </si>
  <si>
    <t>Table 6: Motor Enclosure</t>
  </si>
  <si>
    <t>Table 7: Horsepower</t>
  </si>
  <si>
    <t>Table 8: Poles</t>
  </si>
  <si>
    <t>Allentown</t>
  </si>
  <si>
    <t>Education - College / University</t>
  </si>
  <si>
    <t>New Construction</t>
  </si>
  <si>
    <t>Type A</t>
  </si>
  <si>
    <t>Supply Fan</t>
  </si>
  <si>
    <t>Open</t>
  </si>
  <si>
    <t>Binghamton</t>
  </si>
  <si>
    <t>Education - Other</t>
  </si>
  <si>
    <t>Replace on Burnout</t>
  </si>
  <si>
    <t>Type B</t>
  </si>
  <si>
    <t>Cooling Tower Fan</t>
  </si>
  <si>
    <t>Enclosed</t>
  </si>
  <si>
    <t>Bradford</t>
  </si>
  <si>
    <t>Grocery</t>
  </si>
  <si>
    <t>Early Replacement</t>
  </si>
  <si>
    <t>Type C</t>
  </si>
  <si>
    <t>Chilled Water Pump</t>
  </si>
  <si>
    <t>Erie</t>
  </si>
  <si>
    <t>Health - Hospital</t>
  </si>
  <si>
    <t>Heating Hot Water Pump</t>
  </si>
  <si>
    <t>Harrisburg</t>
  </si>
  <si>
    <t>Health - Other</t>
  </si>
  <si>
    <t>Condenser Water Pump</t>
  </si>
  <si>
    <t>Philadelphia</t>
  </si>
  <si>
    <t>Industrial Manufacturing</t>
  </si>
  <si>
    <t>Pittsburgh</t>
  </si>
  <si>
    <t>Institutional / Public Service</t>
  </si>
  <si>
    <t>Scranton</t>
  </si>
  <si>
    <t>Lodging</t>
  </si>
  <si>
    <t>Williamsburg</t>
  </si>
  <si>
    <t>Multifamily (Common Areas)</t>
  </si>
  <si>
    <t>Office</t>
  </si>
  <si>
    <t>Restaurant</t>
  </si>
  <si>
    <t>Retail</t>
  </si>
  <si>
    <t>Warehouse - Other</t>
  </si>
  <si>
    <t>Warehouse - Refrigerated</t>
  </si>
  <si>
    <t>Calculation 1: Calculating Baseline Efficiency for Premium Motors</t>
  </si>
  <si>
    <t>NC?</t>
  </si>
  <si>
    <t>Nema Type</t>
  </si>
  <si>
    <t>Poles</t>
  </si>
  <si>
    <t>Table Lookup</t>
  </si>
  <si>
    <t>2 close</t>
  </si>
  <si>
    <t>2 open</t>
  </si>
  <si>
    <t>4 close</t>
  </si>
  <si>
    <t>4 open</t>
  </si>
  <si>
    <t>6 close</t>
  </si>
  <si>
    <t>6 open</t>
  </si>
  <si>
    <t>8 close</t>
  </si>
  <si>
    <t>8 open</t>
  </si>
  <si>
    <t>2 Pole</t>
  </si>
  <si>
    <t>4 Pole</t>
  </si>
  <si>
    <t>6 Pole</t>
  </si>
  <si>
    <t>8 Pole</t>
  </si>
  <si>
    <t>Table 9: Type A/B</t>
  </si>
  <si>
    <t>Table 10: Type C Motors</t>
  </si>
  <si>
    <t>2 Poles</t>
  </si>
  <si>
    <t>4 Poles</t>
  </si>
  <si>
    <t>6 Poles</t>
  </si>
  <si>
    <t>8 Poles</t>
  </si>
  <si>
    <t>HP</t>
  </si>
  <si>
    <t>Close</t>
  </si>
  <si>
    <t>N/A</t>
  </si>
  <si>
    <t>Table 11: Run Hours</t>
  </si>
  <si>
    <t>Table 12: Coincidence Factor</t>
  </si>
  <si>
    <t>City</t>
  </si>
  <si>
    <t>Type</t>
  </si>
  <si>
    <t>Concatenate</t>
  </si>
  <si>
    <t>Allentown Education - College / University</t>
  </si>
  <si>
    <t>Allentown Education - Other</t>
  </si>
  <si>
    <t>Allentown Grocery</t>
  </si>
  <si>
    <t>Allentown Health - Hospital</t>
  </si>
  <si>
    <t>Allentown Health - Other</t>
  </si>
  <si>
    <t>Allentown Industrial Manufacturing</t>
  </si>
  <si>
    <t>Allentown Institutional / Public Service</t>
  </si>
  <si>
    <t>Allentown Lodging</t>
  </si>
  <si>
    <t>Allentown Office</t>
  </si>
  <si>
    <t>Allentown Restaurant</t>
  </si>
  <si>
    <t>Allentown Retail</t>
  </si>
  <si>
    <t>Allentown Warehouse - Other</t>
  </si>
  <si>
    <t>Allentown Warehouse - Refrigerated</t>
  </si>
  <si>
    <t>Binghamton Education - College / University</t>
  </si>
  <si>
    <t>Binghamton Education - Other</t>
  </si>
  <si>
    <t>Binghamton Grocery</t>
  </si>
  <si>
    <t>Binghamton Health - Hospital</t>
  </si>
  <si>
    <t>Binghamton Health - Other</t>
  </si>
  <si>
    <t>Binghamton Industrial Manufacturing</t>
  </si>
  <si>
    <t>Binghamton Institutional / Public Service</t>
  </si>
  <si>
    <t>Binghamton Lodging</t>
  </si>
  <si>
    <t>Binghamton Office</t>
  </si>
  <si>
    <t>Binghamton Restaurant</t>
  </si>
  <si>
    <t>Binghamton Retail</t>
  </si>
  <si>
    <t>Binghamton Warehouse - Other</t>
  </si>
  <si>
    <t>Binghamton Warehouse - Refrigerated</t>
  </si>
  <si>
    <t>Bradford Education - College / University</t>
  </si>
  <si>
    <t>Bradford Education - Other</t>
  </si>
  <si>
    <t>Bradford Grocery</t>
  </si>
  <si>
    <t>Bradford Health - Hospital</t>
  </si>
  <si>
    <t>Bradford Health - Other</t>
  </si>
  <si>
    <t>Bradford Industrial Manufacturing</t>
  </si>
  <si>
    <t>Bradford Institutional / Public Service</t>
  </si>
  <si>
    <t>Bradford Lodging</t>
  </si>
  <si>
    <t>Bradford Office</t>
  </si>
  <si>
    <t>Bradford Restaurant</t>
  </si>
  <si>
    <t>Bradford Retail</t>
  </si>
  <si>
    <t>Bradford Warehouse - Other</t>
  </si>
  <si>
    <t>Bradford Warehouse - Refrigerated</t>
  </si>
  <si>
    <t>Erie Education - College / University</t>
  </si>
  <si>
    <t>Erie Education - Other</t>
  </si>
  <si>
    <t>Erie Grocery</t>
  </si>
  <si>
    <t>Erie Health - Hospital</t>
  </si>
  <si>
    <t>Erie Health - Other</t>
  </si>
  <si>
    <t>Erie Industrial Manufacturing</t>
  </si>
  <si>
    <t>Erie Institutional / Public Service</t>
  </si>
  <si>
    <t>Erie Lodging</t>
  </si>
  <si>
    <t>Erie Office</t>
  </si>
  <si>
    <t>Erie Restaurant</t>
  </si>
  <si>
    <t>Erie Retail</t>
  </si>
  <si>
    <t>Erie Warehouse - Other</t>
  </si>
  <si>
    <t>Erie Warehouse - Refrigerated</t>
  </si>
  <si>
    <t>Harrisburg Education - College / University</t>
  </si>
  <si>
    <t>Harrisburg Education - Other</t>
  </si>
  <si>
    <t>Harrisburg Grocery</t>
  </si>
  <si>
    <t>Harrisburg Health - Hospital</t>
  </si>
  <si>
    <t>Harrisburg Health - Other</t>
  </si>
  <si>
    <t>Harrisburg Industrial Manufacturing</t>
  </si>
  <si>
    <t>Harrisburg Institutional / Public Service</t>
  </si>
  <si>
    <t>Harrisburg Lodging</t>
  </si>
  <si>
    <t>Harrisburg Office</t>
  </si>
  <si>
    <t>Harrisburg Restaurant</t>
  </si>
  <si>
    <t>Harrisburg Retail</t>
  </si>
  <si>
    <t>Harrisburg Warehouse - Other</t>
  </si>
  <si>
    <t>Harrisburg Warehouse - Refrigerated</t>
  </si>
  <si>
    <t>Philadelphia Education - College / University</t>
  </si>
  <si>
    <t>Philadelphia Education - Other</t>
  </si>
  <si>
    <t>Philadelphia Grocery</t>
  </si>
  <si>
    <t>Philadelphia Health - Hospital</t>
  </si>
  <si>
    <t>Philadelphia Health - Other</t>
  </si>
  <si>
    <t>Philadelphia Industrial Manufacturing</t>
  </si>
  <si>
    <t>Philadelphia Institutional / Public Service</t>
  </si>
  <si>
    <t>Philadelphia Lodging</t>
  </si>
  <si>
    <t>Philadelphia Office</t>
  </si>
  <si>
    <t>Philadelphia Restaurant</t>
  </si>
  <si>
    <t>Philadelphia Retail</t>
  </si>
  <si>
    <t>Philadelphia Warehouse - Other</t>
  </si>
  <si>
    <t>Philadelphia Warehouse - Refrigerated</t>
  </si>
  <si>
    <t>Pittsburgh Education - College / University</t>
  </si>
  <si>
    <t>Pittsburgh Education - Other</t>
  </si>
  <si>
    <t>Pittsburgh Grocery</t>
  </si>
  <si>
    <t>Pittsburgh Health - Hospital</t>
  </si>
  <si>
    <t>Pittsburgh Health - Other</t>
  </si>
  <si>
    <t>Pittsburgh Industrial Manufacturing</t>
  </si>
  <si>
    <t>Pittsburgh Institutional / Public Service</t>
  </si>
  <si>
    <t>Pittsburgh Lodging</t>
  </si>
  <si>
    <t>Pittsburgh Office</t>
  </si>
  <si>
    <t>Pittsburgh Restaurant</t>
  </si>
  <si>
    <t>Pittsburgh Retail</t>
  </si>
  <si>
    <t>Pittsburgh Warehouse - Other</t>
  </si>
  <si>
    <t>Pittsburgh Warehouse - Refrigerated</t>
  </si>
  <si>
    <t>Scranton Education - College / University</t>
  </si>
  <si>
    <t>Scranton Education - Other</t>
  </si>
  <si>
    <t>Scranton Grocery</t>
  </si>
  <si>
    <t>Scranton Health - Hospital</t>
  </si>
  <si>
    <t>Scranton Health - Other</t>
  </si>
  <si>
    <t>Scranton Industrial Manufacturing</t>
  </si>
  <si>
    <t>Scranton Institutional / Public Service</t>
  </si>
  <si>
    <t>Scranton Lodging</t>
  </si>
  <si>
    <t>Scranton Office</t>
  </si>
  <si>
    <t>Scranton Restaurant</t>
  </si>
  <si>
    <t>Scranton Retail</t>
  </si>
  <si>
    <t>Scranton Warehouse - Other</t>
  </si>
  <si>
    <t>Scranton Warehouse - Refrigerated</t>
  </si>
  <si>
    <t>Williamsburg Education - College / University</t>
  </si>
  <si>
    <t>Williamsburg Education - Other</t>
  </si>
  <si>
    <t>Williamsburg Grocery</t>
  </si>
  <si>
    <t>Williamsburg Health - Hospital</t>
  </si>
  <si>
    <t>Williamsburg Health - Other</t>
  </si>
  <si>
    <t>Williamsburg Industrial Manufacturing</t>
  </si>
  <si>
    <t>Williamsburg Institutional / Public Service</t>
  </si>
  <si>
    <t>Williamsburg Lodging</t>
  </si>
  <si>
    <t>Williamsburg Office</t>
  </si>
  <si>
    <t>Williamsburg Restaurant</t>
  </si>
  <si>
    <t>Williamsburg Retail</t>
  </si>
  <si>
    <t>Williamsburg Warehouse - Other</t>
  </si>
  <si>
    <t>Williamsburg Warehouse - Refrigerated</t>
  </si>
  <si>
    <t>Calculation 2: Run Hours/CF Motors</t>
  </si>
  <si>
    <t>Default Load Profiles for HVAC Fans and Pumps</t>
  </si>
  <si>
    <t>Location</t>
  </si>
  <si>
    <t>Motor Type</t>
  </si>
  <si>
    <t>Column</t>
  </si>
  <si>
    <t>Flow Fraction (%)</t>
  </si>
  <si>
    <t>HVAC Fan</t>
  </si>
  <si>
    <t>HVAC Pump</t>
  </si>
  <si>
    <t>Supply/Return and Cooling Tower Fan Power Part Load Ratios</t>
  </si>
  <si>
    <t>Control Type</t>
  </si>
  <si>
    <t>Constant Volume</t>
  </si>
  <si>
    <t>Two-Speed</t>
  </si>
  <si>
    <t>Air Foil/Backward Incline</t>
  </si>
  <si>
    <t>Air Foil/Backward Incline with Inlet Guide Vanes</t>
  </si>
  <si>
    <t>Forward Curved</t>
  </si>
  <si>
    <t>Table 13: Vlookup Column</t>
  </si>
  <si>
    <t>Table 14: HVAC VFD Controls</t>
  </si>
  <si>
    <t>Forward Curved with Inlet Guide Vanes</t>
  </si>
  <si>
    <t>Number</t>
  </si>
  <si>
    <t>Variable Frequency Drive</t>
  </si>
  <si>
    <t>HVAC Pump Power Part Load Ratios</t>
  </si>
  <si>
    <t>Air Foil/Back Incline</t>
  </si>
  <si>
    <t>Air Foil/Back Incline w/Inlet Guide Vanes</t>
  </si>
  <si>
    <t>Forward Curve w/ Inlet Guide Vanes</t>
  </si>
  <si>
    <t>Throttle Valve</t>
  </si>
  <si>
    <t>Hot Water Pump</t>
  </si>
  <si>
    <t>Calculation 3: Run hours/CF VFD</t>
  </si>
  <si>
    <t>Table 15: EFLH Heat</t>
  </si>
  <si>
    <t>Table 16: EFLH Cool</t>
  </si>
  <si>
    <t>Space and/or Building Type</t>
  </si>
  <si>
    <t>Williamsport</t>
  </si>
  <si>
    <t>Table 17: CFs ECM</t>
  </si>
  <si>
    <t>Table 18: Fan Application</t>
  </si>
  <si>
    <t>Assumed Efficiency</t>
  </si>
  <si>
    <t>Heating Only</t>
  </si>
  <si>
    <t>SP</t>
  </si>
  <si>
    <t>Cooling Only</t>
  </si>
  <si>
    <t>PSC</t>
  </si>
  <si>
    <t>Ventilation Only</t>
  </si>
  <si>
    <t>Heating &amp; Cooling</t>
  </si>
  <si>
    <t>Heating &amp; Ventilation</t>
  </si>
  <si>
    <t>Cooling &amp; Ventilation</t>
  </si>
  <si>
    <t>Heating &amp; Cooling &amp; Ventilation</t>
  </si>
  <si>
    <t>Table 18: Pump Application</t>
  </si>
  <si>
    <t>Heating Circulation</t>
  </si>
  <si>
    <t>Domestic Hot Water</t>
  </si>
  <si>
    <t>Calculation: Run Hours/CF High Efficiency Pumps</t>
  </si>
  <si>
    <r>
      <t>PEI</t>
    </r>
    <r>
      <rPr>
        <b/>
        <vertAlign val="subscript"/>
        <sz val="9"/>
        <color rgb="FF000000"/>
        <rFont val="Arial"/>
        <family val="2"/>
      </rPr>
      <t>base</t>
    </r>
  </si>
  <si>
    <t>Constant Speed</t>
  </si>
  <si>
    <t>Variable Speed</t>
  </si>
  <si>
    <t>ESCC, 1800 RPM</t>
  </si>
  <si>
    <t>ESCC, 3600 RPM</t>
  </si>
  <si>
    <t>ESFM, 1800 RPM</t>
  </si>
  <si>
    <t>ESFM, 3600 RPM</t>
  </si>
  <si>
    <t>IL</t>
  </si>
  <si>
    <t>RSV</t>
  </si>
  <si>
    <t>ST</t>
  </si>
  <si>
    <t>Measure Type</t>
  </si>
  <si>
    <t>Measure Code</t>
  </si>
  <si>
    <t xml:space="preserve">Per Unit Incentive </t>
  </si>
  <si>
    <t>Non PPL Incentive Amount Received</t>
  </si>
  <si>
    <t>Total PPL Incentive</t>
  </si>
  <si>
    <t>Model #</t>
  </si>
  <si>
    <t>Nozzle Size</t>
  </si>
  <si>
    <t>Compressor Control Type</t>
  </si>
  <si>
    <t>Motor Rated Horsepower (HP)</t>
  </si>
  <si>
    <t>ηmotor</t>
  </si>
  <si>
    <t>Annual Run Hours of Motor (RHRS)</t>
  </si>
  <si>
    <t xml:space="preserve"> PSIG - Orifice Diameter</t>
  </si>
  <si>
    <t>HVAC Fan/Pump Control Type</t>
  </si>
  <si>
    <t>Total kW Savings</t>
  </si>
  <si>
    <t>Total kWh savings</t>
  </si>
  <si>
    <t>Facility schedule</t>
  </si>
  <si>
    <t>Pressure</t>
  </si>
  <si>
    <t>Space Type</t>
  </si>
  <si>
    <t>Baseline Watts</t>
  </si>
  <si>
    <t>Energy Efficient Watts</t>
  </si>
  <si>
    <t>Original Author:</t>
  </si>
  <si>
    <t>Tom Cosgro</t>
  </si>
  <si>
    <t>QA/QC Engineer(s):</t>
  </si>
  <si>
    <t>Primary Developer:</t>
  </si>
  <si>
    <t>Jeremy Selwyn</t>
  </si>
  <si>
    <t>Senior Engineer Approval:</t>
  </si>
  <si>
    <t>Reason for Change</t>
  </si>
  <si>
    <t>Change Description</t>
  </si>
  <si>
    <t>Contact, Department</t>
  </si>
  <si>
    <t>Document created</t>
  </si>
  <si>
    <t>Adapted the TRM Motor &amp; Drives tool for use in the PPL Program</t>
  </si>
  <si>
    <t>Jeremy Selwyn, Engineering</t>
  </si>
  <si>
    <t>Unprotect input fields</t>
  </si>
  <si>
    <t>ECM Circ Fan and VSD Kitchen have protected user inputs</t>
  </si>
  <si>
    <t>Jeannie Sikora, Engineering</t>
  </si>
  <si>
    <t>TRM Errata</t>
  </si>
  <si>
    <t>Correction to Energy Interactive Factor within kWh equation, Change to HP option set and wattage lookup values</t>
  </si>
  <si>
    <t>Mary Clayton, Core Engineering</t>
  </si>
  <si>
    <t>Update format</t>
  </si>
  <si>
    <t>Update format of calculator to match other PPL Calculator</t>
  </si>
  <si>
    <t>Ryan Novosedliak, Engineering</t>
  </si>
  <si>
    <t>PPl branding</t>
  </si>
  <si>
    <t>Phase IV Update</t>
  </si>
  <si>
    <t>Update to 2021 TRM for Phase IV</t>
  </si>
  <si>
    <t>Michael Stevenson</t>
  </si>
  <si>
    <t>Facility Type</t>
  </si>
  <si>
    <t>Parameter</t>
  </si>
  <si>
    <t>Education – College /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</si>
</sst>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0.000"/>
  </numFmts>
  <fonts count="64">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4"/>
      <color theme="5"/>
      <name val="Arial"/>
      <family val="2"/>
      <scheme val="minor"/>
    </font>
    <font>
      <b/>
      <u/>
      <sz val="27"/>
      <color theme="4" tint="-0.249977111117893"/>
      <name val="Arial"/>
      <family val="2"/>
      <scheme val="minor"/>
    </font>
    <font>
      <sz val="10"/>
      <name val="Arial"/>
      <family val="2"/>
    </font>
    <font>
      <sz val="10"/>
      <name val="Arial"/>
      <family val="2"/>
    </font>
    <font>
      <sz val="11"/>
      <name val="Arial"/>
      <family val="2"/>
    </font>
    <font>
      <b/>
      <sz val="11"/>
      <color indexed="13"/>
      <name val="Arial"/>
      <family val="2"/>
    </font>
    <font>
      <b/>
      <sz val="11"/>
      <color rgb="FF0070C0"/>
      <name val="Arial"/>
      <family val="2"/>
    </font>
    <font>
      <sz val="10"/>
      <color theme="6" tint="-0.249977111117893"/>
      <name val="Arial"/>
      <family val="2"/>
    </font>
    <font>
      <u/>
      <sz val="16"/>
      <color theme="5"/>
      <name val="Arial"/>
      <family val="2"/>
    </font>
    <font>
      <b/>
      <sz val="11"/>
      <color theme="6"/>
      <name val="Arial"/>
      <family val="2"/>
    </font>
    <font>
      <b/>
      <u/>
      <sz val="27"/>
      <color theme="5"/>
      <name val="Arial"/>
      <family val="2"/>
      <scheme val="minor"/>
    </font>
    <font>
      <sz val="11"/>
      <color theme="5"/>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theme="1"/>
      <name val="Arial"/>
      <family val="2"/>
      <scheme val="minor"/>
    </font>
    <font>
      <sz val="9"/>
      <color theme="1"/>
      <name val="Arial"/>
      <family val="2"/>
      <scheme val="minor"/>
    </font>
    <font>
      <sz val="11"/>
      <color theme="1"/>
      <name val="Arial"/>
      <family val="2"/>
    </font>
    <font>
      <b/>
      <sz val="11"/>
      <color theme="5"/>
      <name val="Arial"/>
      <family val="2"/>
      <scheme val="minor"/>
    </font>
    <font>
      <sz val="11"/>
      <name val="Arial"/>
      <family val="2"/>
      <scheme val="minor"/>
    </font>
    <font>
      <b/>
      <sz val="14"/>
      <color theme="5"/>
      <name val="Arial"/>
      <family val="2"/>
      <scheme val="minor"/>
    </font>
    <font>
      <b/>
      <sz val="14"/>
      <color theme="5"/>
      <name val="Calibri"/>
      <family val="2"/>
    </font>
    <font>
      <b/>
      <sz val="27"/>
      <color theme="4" tint="-0.249977111117893"/>
      <name val="Arial"/>
      <family val="2"/>
      <scheme val="minor"/>
    </font>
    <font>
      <sz val="18"/>
      <color theme="5"/>
      <name val="Arial"/>
      <family val="2"/>
      <scheme val="minor"/>
    </font>
    <font>
      <sz val="16"/>
      <color theme="5"/>
      <name val="Arial"/>
      <family val="2"/>
    </font>
    <font>
      <b/>
      <sz val="18"/>
      <color theme="5"/>
      <name val="Arial"/>
      <family val="2"/>
      <scheme val="minor"/>
    </font>
    <font>
      <sz val="9"/>
      <color theme="1"/>
      <name val="Arial"/>
      <family val="2"/>
    </font>
    <font>
      <b/>
      <sz val="9"/>
      <color theme="1"/>
      <name val="Arial"/>
      <family val="2"/>
    </font>
    <font>
      <b/>
      <sz val="9"/>
      <color rgb="FF000000"/>
      <name val="Arial"/>
      <family val="2"/>
    </font>
    <font>
      <sz val="9"/>
      <color rgb="FF000000"/>
      <name val="Arial"/>
      <family val="2"/>
    </font>
    <font>
      <sz val="8.5"/>
      <color rgb="FF000000"/>
      <name val="Arial"/>
      <family val="2"/>
    </font>
    <font>
      <b/>
      <vertAlign val="subscript"/>
      <sz val="9"/>
      <color rgb="FF000000"/>
      <name val="Arial"/>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59999389629810485"/>
        <bgColor indexed="64"/>
      </patternFill>
    </fill>
    <fill>
      <patternFill patternType="solid">
        <fgColor rgb="FF002060"/>
        <bgColor indexed="64"/>
      </patternFill>
    </fill>
    <fill>
      <patternFill patternType="solid">
        <fgColor rgb="FFBFBFBF"/>
        <bgColor indexed="64"/>
      </patternFill>
    </fill>
    <fill>
      <patternFill patternType="solid">
        <fgColor rgb="FFD9D9D9"/>
        <bgColor indexed="64"/>
      </patternFill>
    </fill>
    <fill>
      <patternFill patternType="solid">
        <fgColor rgb="FF92D050"/>
        <bgColor indexed="64"/>
      </patternFill>
    </fill>
    <fill>
      <patternFill patternType="solid">
        <fgColor rgb="FFFFFF00"/>
        <bgColor indexed="64"/>
      </patternFill>
    </fill>
  </fills>
  <borders count="8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bottom/>
      <diagonal/>
    </border>
  </borders>
  <cellStyleXfs count="199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21" fillId="0" borderId="0"/>
    <xf numFmtId="0" fontId="1" fillId="0" borderId="0"/>
    <xf numFmtId="9" fontId="21" fillId="0" borderId="0" applyFont="0" applyFill="0" applyBorder="0" applyAlignment="0" applyProtection="0"/>
    <xf numFmtId="9" fontId="21" fillId="0" borderId="0" applyFont="0" applyFill="0" applyBorder="0" applyAlignment="0" applyProtection="0"/>
    <xf numFmtId="0" fontId="20" fillId="0" borderId="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0" fillId="46"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4" borderId="0" applyNumberFormat="0" applyBorder="0" applyAlignment="0" applyProtection="0"/>
    <xf numFmtId="0" fontId="32" fillId="38" borderId="0" applyNumberFormat="0" applyBorder="0" applyAlignment="0" applyProtection="0"/>
    <xf numFmtId="0" fontId="33" fillId="55" borderId="23" applyNumberFormat="0" applyAlignment="0" applyProtection="0"/>
    <xf numFmtId="0" fontId="34" fillId="56" borderId="24" applyNumberFormat="0" applyAlignment="0" applyProtection="0"/>
    <xf numFmtId="44" fontId="20" fillId="0" borderId="0" applyFont="0" applyFill="0" applyBorder="0" applyAlignment="0" applyProtection="0"/>
    <xf numFmtId="44" fontId="30" fillId="0" borderId="0" applyFont="0" applyFill="0" applyBorder="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25" applyNumberFormat="0" applyFill="0" applyAlignment="0" applyProtection="0"/>
    <xf numFmtId="0" fontId="38" fillId="0" borderId="26" applyNumberFormat="0" applyFill="0" applyAlignment="0" applyProtection="0"/>
    <xf numFmtId="0" fontId="39" fillId="0" borderId="27" applyNumberFormat="0" applyFill="0" applyAlignment="0" applyProtection="0"/>
    <xf numFmtId="0" fontId="39" fillId="0" borderId="0" applyNumberFormat="0" applyFill="0" applyBorder="0" applyAlignment="0" applyProtection="0"/>
    <xf numFmtId="0" fontId="40" fillId="42" borderId="23" applyNumberFormat="0" applyAlignment="0" applyProtection="0"/>
    <xf numFmtId="0" fontId="41" fillId="0" borderId="28" applyNumberFormat="0" applyFill="0" applyAlignment="0" applyProtection="0"/>
    <xf numFmtId="0" fontId="42" fillId="57"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58" borderId="29" applyNumberFormat="0" applyFont="0" applyAlignment="0" applyProtection="0"/>
    <xf numFmtId="0" fontId="43" fillId="55" borderId="30" applyNumberFormat="0" applyAlignment="0" applyProtection="0"/>
    <xf numFmtId="9" fontId="20" fillId="0" borderId="0" applyFon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0" applyNumberFormat="0" applyFill="0" applyBorder="0" applyAlignment="0" applyProtection="0"/>
    <xf numFmtId="9" fontId="1" fillId="0" borderId="0" applyFont="0" applyFill="0" applyBorder="0" applyAlignment="0" applyProtection="0"/>
  </cellStyleXfs>
  <cellXfs count="525">
    <xf numFmtId="0" fontId="0" fillId="0" borderId="0" xfId="0"/>
    <xf numFmtId="0" fontId="0" fillId="34" borderId="0" xfId="0" applyFill="1"/>
    <xf numFmtId="0" fontId="0" fillId="34" borderId="0" xfId="0" applyFill="1" applyBorder="1"/>
    <xf numFmtId="0" fontId="0" fillId="34" borderId="0" xfId="0" applyFont="1" applyFill="1" applyBorder="1"/>
    <xf numFmtId="0" fontId="0" fillId="34" borderId="0" xfId="0" applyFont="1" applyFill="1" applyBorder="1" applyAlignment="1">
      <alignment horizontal="center"/>
    </xf>
    <xf numFmtId="0" fontId="17" fillId="34" borderId="0" xfId="0" applyFont="1" applyFill="1" applyBorder="1"/>
    <xf numFmtId="0" fontId="18" fillId="34" borderId="0" xfId="0" applyFont="1" applyFill="1" applyBorder="1"/>
    <xf numFmtId="0" fontId="28" fillId="34" borderId="0" xfId="0" applyFont="1" applyFill="1" applyBorder="1" applyAlignment="1"/>
    <xf numFmtId="0" fontId="13" fillId="34" borderId="0" xfId="0" applyFont="1" applyFill="1" applyBorder="1" applyAlignment="1">
      <alignment horizontal="center" wrapText="1"/>
    </xf>
    <xf numFmtId="0" fontId="0" fillId="34" borderId="0" xfId="0" applyFill="1" applyAlignment="1">
      <alignment vertical="top"/>
    </xf>
    <xf numFmtId="0" fontId="0" fillId="34" borderId="0" xfId="0" applyFill="1" applyAlignment="1">
      <alignment horizontal="left" vertical="top"/>
    </xf>
    <xf numFmtId="0" fontId="0" fillId="34" borderId="0" xfId="0" applyFill="1" applyAlignment="1">
      <alignment horizontal="left" vertical="top" wrapText="1"/>
    </xf>
    <xf numFmtId="0" fontId="0" fillId="34" borderId="0" xfId="0" applyFill="1" applyAlignment="1">
      <alignment vertical="top" wrapText="1"/>
    </xf>
    <xf numFmtId="0" fontId="16" fillId="34" borderId="0" xfId="0" applyFont="1" applyFill="1" applyAlignment="1">
      <alignment vertical="top"/>
    </xf>
    <xf numFmtId="0" fontId="16" fillId="34" borderId="0" xfId="0" applyFont="1" applyFill="1"/>
    <xf numFmtId="2" fontId="0" fillId="35" borderId="10" xfId="0" applyNumberFormat="1" applyFill="1" applyBorder="1" applyAlignment="1">
      <alignment horizontal="left" vertical="center" indent="1"/>
    </xf>
    <xf numFmtId="165" fontId="0" fillId="34" borderId="32" xfId="0" applyNumberFormat="1" applyFill="1" applyBorder="1" applyAlignment="1">
      <alignment horizontal="left" vertical="center"/>
    </xf>
    <xf numFmtId="0" fontId="16" fillId="34" borderId="33"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11" xfId="0" applyFont="1" applyFill="1" applyBorder="1" applyAlignment="1">
      <alignment horizontal="center" vertical="center" wrapText="1"/>
    </xf>
    <xf numFmtId="0" fontId="16" fillId="34" borderId="34" xfId="0" applyFont="1" applyFill="1" applyBorder="1" applyAlignment="1">
      <alignment horizontal="center" vertical="center"/>
    </xf>
    <xf numFmtId="165" fontId="0" fillId="34" borderId="18" xfId="0" applyNumberFormat="1" applyFill="1" applyBorder="1" applyAlignment="1">
      <alignment horizontal="center" vertical="center"/>
    </xf>
    <xf numFmtId="14" fontId="0" fillId="34" borderId="10" xfId="0" applyNumberFormat="1" applyFill="1" applyBorder="1" applyAlignment="1">
      <alignment horizontal="left" vertical="center" indent="1"/>
    </xf>
    <xf numFmtId="0" fontId="0" fillId="34" borderId="10" xfId="0" applyFill="1" applyBorder="1" applyAlignment="1">
      <alignment horizontal="left" vertical="center" wrapText="1" indent="1"/>
    </xf>
    <xf numFmtId="0" fontId="0" fillId="34" borderId="16" xfId="0" applyFill="1" applyBorder="1" applyAlignment="1">
      <alignment horizontal="left" vertical="center" indent="1"/>
    </xf>
    <xf numFmtId="0" fontId="0" fillId="34" borderId="10" xfId="0" applyFill="1" applyBorder="1" applyAlignment="1">
      <alignment horizontal="left" vertical="center" indent="1"/>
    </xf>
    <xf numFmtId="0" fontId="0" fillId="34" borderId="35" xfId="0" applyFill="1" applyBorder="1" applyAlignment="1">
      <alignment horizontal="left" vertical="center" indent="1"/>
    </xf>
    <xf numFmtId="0" fontId="0" fillId="34" borderId="35" xfId="0" applyFill="1" applyBorder="1" applyAlignment="1">
      <alignment horizontal="left" vertical="center" wrapText="1" indent="1"/>
    </xf>
    <xf numFmtId="0" fontId="0" fillId="34" borderId="36" xfId="0" applyFill="1" applyBorder="1" applyAlignment="1">
      <alignment horizontal="left" vertical="center" indent="1"/>
    </xf>
    <xf numFmtId="0" fontId="16" fillId="34" borderId="0" xfId="0" applyFont="1" applyFill="1" applyAlignment="1">
      <alignment horizontal="left" vertical="top"/>
    </xf>
    <xf numFmtId="0" fontId="0" fillId="34" borderId="22" xfId="0" applyFill="1" applyBorder="1" applyAlignment="1">
      <alignment vertical="top"/>
    </xf>
    <xf numFmtId="0" fontId="16" fillId="34" borderId="0" xfId="0" applyFont="1" applyFill="1" applyAlignment="1">
      <alignment horizontal="left" vertical="top" indent="18"/>
    </xf>
    <xf numFmtId="0" fontId="0" fillId="34" borderId="37" xfId="0" applyFill="1" applyBorder="1" applyAlignment="1">
      <alignment vertical="top"/>
    </xf>
    <xf numFmtId="0" fontId="16" fillId="34" borderId="0" xfId="0" applyFont="1" applyFill="1" applyBorder="1" applyAlignment="1">
      <alignment horizontal="left" vertical="top" wrapText="1" indent="18"/>
    </xf>
    <xf numFmtId="0" fontId="0" fillId="34" borderId="0" xfId="0" applyFont="1" applyFill="1" applyBorder="1" applyAlignment="1">
      <alignment horizontal="left" vertical="center" indent="1"/>
    </xf>
    <xf numFmtId="0" fontId="16" fillId="34" borderId="0" xfId="0" applyFont="1" applyFill="1" applyBorder="1" applyAlignment="1">
      <alignment horizontal="center" vertical="center" wrapText="1"/>
    </xf>
    <xf numFmtId="43" fontId="16" fillId="34" borderId="0" xfId="1" applyFont="1" applyFill="1" applyBorder="1" applyAlignment="1">
      <alignment horizontal="center" vertical="center" wrapText="1"/>
    </xf>
    <xf numFmtId="0" fontId="0" fillId="34" borderId="0" xfId="0" applyFill="1" applyBorder="1" applyAlignment="1">
      <alignment horizontal="left" vertical="center" indent="1"/>
    </xf>
    <xf numFmtId="2" fontId="0" fillId="34" borderId="0" xfId="0" applyNumberFormat="1" applyFill="1" applyBorder="1" applyAlignment="1">
      <alignment horizontal="left" vertical="center" indent="1"/>
    </xf>
    <xf numFmtId="0" fontId="0" fillId="34" borderId="40" xfId="0" applyFont="1" applyFill="1" applyBorder="1" applyAlignment="1">
      <alignment vertical="center"/>
    </xf>
    <xf numFmtId="0" fontId="0" fillId="34" borderId="40" xfId="0" applyFont="1" applyFill="1" applyBorder="1" applyAlignment="1"/>
    <xf numFmtId="0" fontId="18" fillId="36" borderId="38" xfId="0" applyFont="1" applyFill="1" applyBorder="1"/>
    <xf numFmtId="0" fontId="49" fillId="34" borderId="40" xfId="0" applyFont="1" applyFill="1" applyBorder="1" applyAlignment="1">
      <alignment vertical="center"/>
    </xf>
    <xf numFmtId="0" fontId="0" fillId="34" borderId="40" xfId="0" applyFont="1" applyFill="1" applyBorder="1" applyAlignment="1" applyProtection="1">
      <alignment horizontal="left" vertical="center"/>
    </xf>
    <xf numFmtId="0" fontId="0" fillId="34" borderId="40" xfId="0" applyFont="1" applyFill="1" applyBorder="1" applyAlignment="1">
      <alignment horizontal="left"/>
    </xf>
    <xf numFmtId="0" fontId="0" fillId="34" borderId="41" xfId="0" applyFont="1" applyFill="1" applyBorder="1" applyAlignment="1">
      <alignment horizontal="left"/>
    </xf>
    <xf numFmtId="0" fontId="0" fillId="34" borderId="10" xfId="0" applyFill="1" applyBorder="1"/>
    <xf numFmtId="0" fontId="0" fillId="34" borderId="40" xfId="0" applyFill="1" applyBorder="1"/>
    <xf numFmtId="0" fontId="0" fillId="34" borderId="41" xfId="0" applyFill="1" applyBorder="1"/>
    <xf numFmtId="0" fontId="0" fillId="34" borderId="42" xfId="0" applyFill="1" applyBorder="1"/>
    <xf numFmtId="0" fontId="0" fillId="34" borderId="10" xfId="0" applyFill="1" applyBorder="1" applyAlignment="1">
      <alignment horizontal="left"/>
    </xf>
    <xf numFmtId="0" fontId="0" fillId="34" borderId="40" xfId="0" applyFill="1" applyBorder="1" applyAlignment="1">
      <alignment horizontal="left"/>
    </xf>
    <xf numFmtId="0" fontId="0" fillId="34" borderId="41" xfId="0" applyFill="1" applyBorder="1" applyAlignment="1">
      <alignment horizontal="left"/>
    </xf>
    <xf numFmtId="0" fontId="0" fillId="34" borderId="42" xfId="0" applyFill="1" applyBorder="1" applyAlignment="1">
      <alignment horizontal="left"/>
    </xf>
    <xf numFmtId="0" fontId="18" fillId="36" borderId="38" xfId="0" applyFont="1" applyFill="1" applyBorder="1" applyAlignment="1">
      <alignment horizontal="left"/>
    </xf>
    <xf numFmtId="0" fontId="0" fillId="34" borderId="0" xfId="0" applyFill="1" applyBorder="1" applyAlignment="1">
      <alignment horizontal="left"/>
    </xf>
    <xf numFmtId="10" fontId="0" fillId="34" borderId="10" xfId="1998" applyNumberFormat="1" applyFont="1" applyFill="1" applyBorder="1" applyAlignment="1">
      <alignment horizontal="left" vertical="center"/>
    </xf>
    <xf numFmtId="10" fontId="0" fillId="34" borderId="10" xfId="1998" applyNumberFormat="1" applyFont="1" applyFill="1" applyBorder="1" applyAlignment="1">
      <alignment horizontal="left"/>
    </xf>
    <xf numFmtId="0" fontId="0" fillId="35" borderId="10" xfId="0" applyFill="1" applyBorder="1"/>
    <xf numFmtId="0" fontId="0" fillId="35" borderId="15" xfId="0" applyFont="1" applyFill="1" applyBorder="1" applyAlignment="1">
      <alignment horizontal="left" vertical="center"/>
    </xf>
    <xf numFmtId="0" fontId="0" fillId="35" borderId="17" xfId="0" applyFill="1" applyBorder="1"/>
    <xf numFmtId="0" fontId="0" fillId="35" borderId="15" xfId="0" applyFont="1" applyFill="1" applyBorder="1" applyAlignment="1">
      <alignment horizontal="left"/>
    </xf>
    <xf numFmtId="0" fontId="29" fillId="35" borderId="15" xfId="0" applyFont="1" applyFill="1" applyBorder="1" applyAlignment="1">
      <alignment horizontal="left"/>
    </xf>
    <xf numFmtId="0" fontId="0" fillId="35" borderId="15" xfId="0" applyFont="1" applyFill="1" applyBorder="1" applyAlignment="1">
      <alignment horizontal="left" vertical="center" wrapText="1"/>
    </xf>
    <xf numFmtId="0" fontId="0" fillId="35" borderId="19" xfId="0" applyFont="1" applyFill="1" applyBorder="1" applyAlignment="1">
      <alignment horizontal="left" vertical="center"/>
    </xf>
    <xf numFmtId="2" fontId="0" fillId="35" borderId="20" xfId="0" applyNumberFormat="1" applyFill="1" applyBorder="1" applyAlignment="1">
      <alignment horizontal="left" vertical="center" indent="1"/>
    </xf>
    <xf numFmtId="0" fontId="0" fillId="35" borderId="20" xfId="0" applyFill="1" applyBorder="1"/>
    <xf numFmtId="0" fontId="0" fillId="35" borderId="21" xfId="0" applyFill="1" applyBorder="1"/>
    <xf numFmtId="0" fontId="0" fillId="35" borderId="46" xfId="0" applyFont="1" applyFill="1" applyBorder="1" applyAlignment="1">
      <alignment horizontal="left" vertical="center"/>
    </xf>
    <xf numFmtId="2" fontId="0" fillId="35" borderId="11" xfId="0" applyNumberFormat="1" applyFill="1" applyBorder="1" applyAlignment="1">
      <alignment horizontal="left" vertical="center" indent="1"/>
    </xf>
    <xf numFmtId="0" fontId="0" fillId="35" borderId="11" xfId="0" applyFill="1" applyBorder="1"/>
    <xf numFmtId="0" fontId="0" fillId="35" borderId="47" xfId="0" applyFill="1" applyBorder="1"/>
    <xf numFmtId="0" fontId="29" fillId="36" borderId="48" xfId="0" applyFont="1" applyFill="1" applyBorder="1" applyAlignment="1">
      <alignment vertical="center"/>
    </xf>
    <xf numFmtId="2" fontId="29" fillId="36" borderId="49" xfId="0" applyNumberFormat="1" applyFont="1" applyFill="1" applyBorder="1" applyAlignment="1">
      <alignment horizontal="left" vertical="center" indent="1"/>
    </xf>
    <xf numFmtId="0" fontId="29" fillId="36" borderId="49" xfId="0" applyFont="1" applyFill="1" applyBorder="1"/>
    <xf numFmtId="0" fontId="29" fillId="36" borderId="49" xfId="0" applyFont="1" applyFill="1" applyBorder="1" applyAlignment="1">
      <alignment horizontal="left" vertical="center" indent="1"/>
    </xf>
    <xf numFmtId="0" fontId="29" fillId="36" borderId="50" xfId="0" applyFont="1" applyFill="1" applyBorder="1"/>
    <xf numFmtId="0" fontId="29" fillId="36" borderId="12" xfId="0" applyFont="1" applyFill="1" applyBorder="1" applyAlignment="1">
      <alignment horizontal="left" vertical="center" indent="1"/>
    </xf>
    <xf numFmtId="2" fontId="29" fillId="36" borderId="13" xfId="0" applyNumberFormat="1" applyFont="1" applyFill="1" applyBorder="1" applyAlignment="1">
      <alignment horizontal="left" vertical="center" indent="1"/>
    </xf>
    <xf numFmtId="2" fontId="29" fillId="36" borderId="14" xfId="0" applyNumberFormat="1" applyFont="1" applyFill="1" applyBorder="1" applyAlignment="1">
      <alignment horizontal="left" vertical="center" indent="1"/>
    </xf>
    <xf numFmtId="0" fontId="29" fillId="36" borderId="19" xfId="0" applyFont="1" applyFill="1" applyBorder="1" applyAlignment="1">
      <alignment horizontal="left" vertical="center" indent="1"/>
    </xf>
    <xf numFmtId="2" fontId="29" fillId="36" borderId="20" xfId="0" applyNumberFormat="1" applyFont="1" applyFill="1" applyBorder="1" applyAlignment="1">
      <alignment horizontal="left" vertical="center" indent="1"/>
    </xf>
    <xf numFmtId="2" fontId="29" fillId="36" borderId="21" xfId="0" applyNumberFormat="1" applyFont="1" applyFill="1" applyBorder="1" applyAlignment="1">
      <alignment horizontal="left" vertical="center" indent="1"/>
    </xf>
    <xf numFmtId="0" fontId="0" fillId="34" borderId="11" xfId="0" applyFill="1" applyBorder="1" applyAlignment="1">
      <alignment horizontal="left"/>
    </xf>
    <xf numFmtId="0" fontId="29" fillId="36" borderId="12" xfId="0" applyFont="1" applyFill="1" applyBorder="1"/>
    <xf numFmtId="0" fontId="29" fillId="36" borderId="13" xfId="0" applyFont="1" applyFill="1" applyBorder="1"/>
    <xf numFmtId="0" fontId="29" fillId="36" borderId="14" xfId="0" applyFont="1" applyFill="1" applyBorder="1"/>
    <xf numFmtId="0" fontId="29" fillId="36" borderId="19" xfId="0" applyFont="1" applyFill="1" applyBorder="1"/>
    <xf numFmtId="0" fontId="29" fillId="36" borderId="20" xfId="0" applyFont="1" applyFill="1" applyBorder="1"/>
    <xf numFmtId="0" fontId="29" fillId="36" borderId="21" xfId="0" applyFont="1" applyFill="1" applyBorder="1"/>
    <xf numFmtId="0" fontId="0" fillId="34" borderId="12" xfId="0" applyFill="1" applyBorder="1" applyAlignment="1">
      <alignment horizontal="left" vertical="center"/>
    </xf>
    <xf numFmtId="10" fontId="0" fillId="34" borderId="13" xfId="1998" applyNumberFormat="1" applyFont="1" applyFill="1" applyBorder="1" applyAlignment="1">
      <alignment horizontal="left" vertical="center"/>
    </xf>
    <xf numFmtId="10" fontId="0" fillId="34" borderId="14" xfId="1998" applyNumberFormat="1" applyFont="1" applyFill="1" applyBorder="1" applyAlignment="1">
      <alignment horizontal="left" vertical="center"/>
    </xf>
    <xf numFmtId="0" fontId="0" fillId="34" borderId="15" xfId="0" applyFill="1" applyBorder="1" applyAlignment="1">
      <alignment horizontal="left" vertical="center"/>
    </xf>
    <xf numFmtId="10" fontId="0" fillId="34" borderId="17" xfId="1998" applyNumberFormat="1" applyFont="1" applyFill="1" applyBorder="1" applyAlignment="1">
      <alignment horizontal="left" vertical="center"/>
    </xf>
    <xf numFmtId="0" fontId="0" fillId="34" borderId="15" xfId="0" applyFill="1" applyBorder="1" applyAlignment="1">
      <alignment horizontal="left"/>
    </xf>
    <xf numFmtId="10" fontId="0" fillId="34" borderId="17" xfId="1998" applyNumberFormat="1" applyFont="1" applyFill="1" applyBorder="1" applyAlignment="1">
      <alignment horizontal="left"/>
    </xf>
    <xf numFmtId="0" fontId="0" fillId="34" borderId="19" xfId="0" applyFill="1" applyBorder="1" applyAlignment="1">
      <alignment horizontal="left"/>
    </xf>
    <xf numFmtId="10" fontId="0" fillId="34" borderId="20" xfId="1998" applyNumberFormat="1" applyFont="1" applyFill="1" applyBorder="1" applyAlignment="1">
      <alignment horizontal="left"/>
    </xf>
    <xf numFmtId="10" fontId="0" fillId="34" borderId="21" xfId="1998" applyNumberFormat="1" applyFont="1" applyFill="1" applyBorder="1" applyAlignment="1">
      <alignment horizontal="left"/>
    </xf>
    <xf numFmtId="0" fontId="0" fillId="34" borderId="12" xfId="0" applyFill="1" applyBorder="1" applyAlignment="1">
      <alignment horizontal="left"/>
    </xf>
    <xf numFmtId="0" fontId="0" fillId="34" borderId="13" xfId="0" applyFill="1" applyBorder="1" applyAlignment="1">
      <alignment horizontal="left"/>
    </xf>
    <xf numFmtId="0" fontId="0" fillId="34" borderId="13" xfId="0" applyFill="1" applyBorder="1"/>
    <xf numFmtId="0" fontId="0" fillId="34" borderId="14" xfId="0" applyFill="1" applyBorder="1"/>
    <xf numFmtId="0" fontId="0" fillId="34" borderId="17" xfId="0" applyFill="1" applyBorder="1"/>
    <xf numFmtId="0" fontId="0" fillId="34" borderId="20" xfId="0" applyFill="1" applyBorder="1" applyAlignment="1">
      <alignment horizontal="left"/>
    </xf>
    <xf numFmtId="0" fontId="0" fillId="34" borderId="20" xfId="0" applyFill="1" applyBorder="1"/>
    <xf numFmtId="0" fontId="0" fillId="34" borderId="21" xfId="0" applyFill="1" applyBorder="1"/>
    <xf numFmtId="0" fontId="0" fillId="33" borderId="10" xfId="0" applyFont="1" applyFill="1" applyBorder="1" applyAlignment="1" applyProtection="1">
      <alignment horizontal="left" vertical="center"/>
      <protection locked="0"/>
    </xf>
    <xf numFmtId="0" fontId="29" fillId="36" borderId="48" xfId="0" applyFont="1" applyFill="1" applyBorder="1" applyAlignment="1">
      <alignment horizontal="left" vertical="center" wrapText="1"/>
    </xf>
    <xf numFmtId="0" fontId="29" fillId="36" borderId="49" xfId="0" applyFont="1" applyFill="1" applyBorder="1" applyAlignment="1">
      <alignment horizontal="left" vertical="center" wrapText="1"/>
    </xf>
    <xf numFmtId="0" fontId="29" fillId="36" borderId="50" xfId="0" applyFont="1" applyFill="1" applyBorder="1" applyAlignment="1">
      <alignment horizontal="left" vertical="center" wrapText="1"/>
    </xf>
    <xf numFmtId="0" fontId="0" fillId="34" borderId="46" xfId="0" applyFill="1" applyBorder="1" applyAlignment="1">
      <alignment horizontal="left"/>
    </xf>
    <xf numFmtId="0" fontId="0" fillId="34" borderId="47" xfId="0" applyFill="1" applyBorder="1" applyAlignment="1">
      <alignment horizontal="left"/>
    </xf>
    <xf numFmtId="0" fontId="0" fillId="34" borderId="17" xfId="0" applyFill="1" applyBorder="1" applyAlignment="1">
      <alignment horizontal="left"/>
    </xf>
    <xf numFmtId="0" fontId="0" fillId="34" borderId="21" xfId="0" applyFill="1" applyBorder="1" applyAlignment="1">
      <alignment horizontal="left"/>
    </xf>
    <xf numFmtId="0" fontId="29" fillId="36" borderId="48" xfId="0" applyFont="1" applyFill="1" applyBorder="1" applyAlignment="1">
      <alignment wrapText="1"/>
    </xf>
    <xf numFmtId="0" fontId="29" fillId="36" borderId="49" xfId="0" applyFont="1" applyFill="1" applyBorder="1" applyAlignment="1">
      <alignment wrapText="1"/>
    </xf>
    <xf numFmtId="0" fontId="29" fillId="36" borderId="50" xfId="0" applyFont="1" applyFill="1" applyBorder="1" applyAlignment="1">
      <alignment wrapText="1"/>
    </xf>
    <xf numFmtId="0" fontId="0" fillId="34" borderId="14" xfId="0" applyFill="1" applyBorder="1" applyAlignment="1">
      <alignment horizontal="left"/>
    </xf>
    <xf numFmtId="3" fontId="0" fillId="35" borderId="10" xfId="0" applyNumberFormat="1" applyFill="1" applyBorder="1"/>
    <xf numFmtId="0" fontId="0" fillId="33" borderId="11" xfId="0" applyFont="1" applyFill="1" applyBorder="1" applyAlignment="1" applyProtection="1">
      <alignment horizontal="left" vertical="center"/>
      <protection locked="0"/>
    </xf>
    <xf numFmtId="0" fontId="0" fillId="34" borderId="15" xfId="0" applyFill="1" applyBorder="1"/>
    <xf numFmtId="0" fontId="0" fillId="34" borderId="19" xfId="0" applyFill="1" applyBorder="1"/>
    <xf numFmtId="0" fontId="0" fillId="34" borderId="46" xfId="0" applyFill="1" applyBorder="1"/>
    <xf numFmtId="0" fontId="0" fillId="34" borderId="11" xfId="0" applyFill="1" applyBorder="1"/>
    <xf numFmtId="0" fontId="0" fillId="34" borderId="47" xfId="0" applyFill="1" applyBorder="1"/>
    <xf numFmtId="0" fontId="0" fillId="35" borderId="15" xfId="0" applyFill="1" applyBorder="1"/>
    <xf numFmtId="0" fontId="0" fillId="35" borderId="19" xfId="0" applyFill="1" applyBorder="1"/>
    <xf numFmtId="3" fontId="0" fillId="35" borderId="20" xfId="0" applyNumberFormat="1" applyFill="1" applyBorder="1"/>
    <xf numFmtId="0" fontId="0" fillId="35" borderId="46" xfId="0" applyFill="1" applyBorder="1"/>
    <xf numFmtId="3" fontId="0" fillId="35" borderId="11" xfId="0" applyNumberFormat="1" applyFill="1" applyBorder="1"/>
    <xf numFmtId="4" fontId="0" fillId="35" borderId="47" xfId="0" applyNumberFormat="1" applyFill="1" applyBorder="1"/>
    <xf numFmtId="0" fontId="29" fillId="36" borderId="64" xfId="0" applyFont="1" applyFill="1" applyBorder="1"/>
    <xf numFmtId="0" fontId="29" fillId="36" borderId="65" xfId="0" applyFont="1" applyFill="1" applyBorder="1"/>
    <xf numFmtId="0" fontId="29" fillId="36" borderId="66" xfId="0" applyFont="1" applyFill="1" applyBorder="1"/>
    <xf numFmtId="0" fontId="51" fillId="34" borderId="15" xfId="0" applyFont="1" applyFill="1" applyBorder="1" applyAlignment="1">
      <alignment horizontal="left" vertical="center" wrapText="1"/>
    </xf>
    <xf numFmtId="0" fontId="51" fillId="34" borderId="19" xfId="0" applyFont="1" applyFill="1" applyBorder="1" applyAlignment="1">
      <alignment horizontal="left" vertical="center" wrapText="1"/>
    </xf>
    <xf numFmtId="0" fontId="51" fillId="34" borderId="46" xfId="0" applyFont="1" applyFill="1" applyBorder="1" applyAlignment="1">
      <alignment horizontal="left" vertical="center" wrapText="1"/>
    </xf>
    <xf numFmtId="0" fontId="29" fillId="59" borderId="64" xfId="0" applyFont="1" applyFill="1" applyBorder="1"/>
    <xf numFmtId="0" fontId="29" fillId="59" borderId="66" xfId="0" applyFont="1" applyFill="1" applyBorder="1"/>
    <xf numFmtId="0" fontId="29" fillId="36" borderId="48" xfId="0" applyFont="1" applyFill="1" applyBorder="1"/>
    <xf numFmtId="0" fontId="0" fillId="35" borderId="12" xfId="0" applyFill="1" applyBorder="1"/>
    <xf numFmtId="0" fontId="0" fillId="35" borderId="13" xfId="0" applyFill="1" applyBorder="1"/>
    <xf numFmtId="0" fontId="0" fillId="35" borderId="14" xfId="0" applyFill="1" applyBorder="1"/>
    <xf numFmtId="0" fontId="0" fillId="33" borderId="10" xfId="0" applyNumberFormat="1" applyFont="1" applyFill="1" applyBorder="1" applyAlignment="1" applyProtection="1">
      <alignment vertical="center"/>
      <protection locked="0"/>
    </xf>
    <xf numFmtId="0" fontId="0" fillId="33" borderId="20" xfId="0" applyNumberFormat="1" applyFont="1" applyFill="1" applyBorder="1" applyAlignment="1" applyProtection="1">
      <alignment vertical="center"/>
      <protection locked="0"/>
    </xf>
    <xf numFmtId="0" fontId="0" fillId="33" borderId="11" xfId="0" applyNumberFormat="1" applyFont="1" applyFill="1" applyBorder="1" applyAlignment="1" applyProtection="1">
      <alignment vertical="center"/>
      <protection locked="0"/>
    </xf>
    <xf numFmtId="0" fontId="0" fillId="33" borderId="46" xfId="0" applyNumberFormat="1" applyFont="1" applyFill="1" applyBorder="1" applyAlignment="1" applyProtection="1">
      <alignment vertical="center"/>
      <protection locked="0"/>
    </xf>
    <xf numFmtId="0" fontId="0" fillId="33" borderId="47" xfId="0" applyNumberFormat="1" applyFont="1" applyFill="1" applyBorder="1" applyAlignment="1" applyProtection="1">
      <alignment vertical="center"/>
      <protection locked="0"/>
    </xf>
    <xf numFmtId="0" fontId="0" fillId="33" borderId="15" xfId="0" applyNumberFormat="1" applyFont="1" applyFill="1" applyBorder="1" applyAlignment="1" applyProtection="1">
      <alignment vertical="center"/>
      <protection locked="0"/>
    </xf>
    <xf numFmtId="0" fontId="0" fillId="33" borderId="17" xfId="0" applyNumberFormat="1" applyFont="1" applyFill="1" applyBorder="1" applyAlignment="1" applyProtection="1">
      <alignment vertical="center"/>
      <protection locked="0"/>
    </xf>
    <xf numFmtId="0" fontId="0" fillId="33" borderId="19" xfId="0" applyNumberFormat="1" applyFont="1" applyFill="1" applyBorder="1" applyAlignment="1" applyProtection="1">
      <alignment vertical="center"/>
      <protection locked="0"/>
    </xf>
    <xf numFmtId="0" fontId="0" fillId="33" borderId="21" xfId="0" applyNumberFormat="1" applyFont="1" applyFill="1" applyBorder="1" applyAlignment="1" applyProtection="1">
      <alignment vertical="center"/>
      <protection locked="0"/>
    </xf>
    <xf numFmtId="0" fontId="27" fillId="34" borderId="0" xfId="43" applyFont="1" applyFill="1" applyAlignment="1" applyProtection="1">
      <alignment vertical="center"/>
      <protection hidden="1"/>
    </xf>
    <xf numFmtId="0" fontId="24" fillId="34" borderId="0" xfId="43" applyFont="1" applyFill="1" applyAlignment="1" applyProtection="1">
      <alignment vertical="center" wrapText="1"/>
      <protection hidden="1"/>
    </xf>
    <xf numFmtId="0" fontId="27" fillId="34" borderId="0" xfId="43" applyFont="1" applyFill="1" applyAlignment="1" applyProtection="1">
      <alignment vertical="center" wrapText="1"/>
      <protection hidden="1"/>
    </xf>
    <xf numFmtId="0" fontId="51" fillId="34" borderId="0" xfId="0" applyFont="1" applyFill="1"/>
    <xf numFmtId="0" fontId="52" fillId="34" borderId="0" xfId="0" applyFont="1" applyFill="1"/>
    <xf numFmtId="0" fontId="18" fillId="36" borderId="71" xfId="0" applyFont="1" applyFill="1" applyBorder="1"/>
    <xf numFmtId="0" fontId="0" fillId="34" borderId="39" xfId="0" applyFont="1" applyFill="1" applyBorder="1" applyAlignment="1">
      <alignment vertical="center"/>
    </xf>
    <xf numFmtId="0" fontId="0" fillId="34" borderId="41" xfId="0" applyFont="1" applyFill="1" applyBorder="1" applyAlignment="1">
      <alignment vertical="center"/>
    </xf>
    <xf numFmtId="0" fontId="0" fillId="34" borderId="0" xfId="0" applyFont="1" applyFill="1" applyBorder="1" applyAlignment="1">
      <alignment horizontal="left"/>
    </xf>
    <xf numFmtId="0" fontId="0" fillId="34" borderId="39" xfId="0" applyFont="1" applyFill="1" applyBorder="1" applyAlignment="1" applyProtection="1">
      <alignment horizontal="left" vertical="center"/>
    </xf>
    <xf numFmtId="0" fontId="59" fillId="61" borderId="38" xfId="0" applyFont="1" applyFill="1" applyBorder="1" applyAlignment="1">
      <alignment horizontal="left" vertical="center"/>
    </xf>
    <xf numFmtId="0" fontId="60" fillId="61" borderId="45" xfId="0" applyFont="1" applyFill="1" applyBorder="1" applyAlignment="1">
      <alignment horizontal="center" vertical="center" textRotation="90" wrapText="1"/>
    </xf>
    <xf numFmtId="0" fontId="62" fillId="62" borderId="73" xfId="0" applyFont="1" applyFill="1" applyBorder="1" applyAlignment="1">
      <alignment horizontal="center" vertical="center" wrapText="1"/>
    </xf>
    <xf numFmtId="0" fontId="58" fillId="0" borderId="7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61" fillId="61" borderId="71" xfId="0" applyFont="1" applyFill="1" applyBorder="1" applyAlignment="1">
      <alignment vertical="center"/>
    </xf>
    <xf numFmtId="49" fontId="0" fillId="33" borderId="46" xfId="0" applyNumberFormat="1" applyFont="1" applyFill="1" applyBorder="1" applyAlignment="1" applyProtection="1">
      <alignment horizontal="center" vertical="center"/>
      <protection locked="0"/>
    </xf>
    <xf numFmtId="49" fontId="0" fillId="33" borderId="15" xfId="0" applyNumberFormat="1" applyFont="1" applyFill="1" applyBorder="1" applyAlignment="1" applyProtection="1">
      <alignment horizontal="center" vertical="center"/>
      <protection locked="0"/>
    </xf>
    <xf numFmtId="49" fontId="1" fillId="33" borderId="15" xfId="1" applyNumberFormat="1" applyFont="1" applyFill="1" applyBorder="1" applyAlignment="1" applyProtection="1">
      <alignment horizontal="center" vertical="center"/>
      <protection locked="0"/>
    </xf>
    <xf numFmtId="49" fontId="1" fillId="33" borderId="19" xfId="1" applyNumberFormat="1" applyFont="1" applyFill="1" applyBorder="1" applyAlignment="1" applyProtection="1">
      <alignment horizontal="center" vertical="center"/>
      <protection locked="0"/>
    </xf>
    <xf numFmtId="0" fontId="60" fillId="61" borderId="73" xfId="0" applyFont="1" applyFill="1" applyBorder="1" applyAlignment="1">
      <alignment horizontal="center" vertical="center" wrapText="1"/>
    </xf>
    <xf numFmtId="0" fontId="58" fillId="0" borderId="72" xfId="0" applyFont="1" applyBorder="1" applyAlignment="1">
      <alignment horizontal="left" vertical="center" wrapText="1"/>
    </xf>
    <xf numFmtId="2" fontId="0" fillId="34" borderId="10" xfId="0" applyNumberFormat="1" applyFill="1" applyBorder="1"/>
    <xf numFmtId="2" fontId="0" fillId="34" borderId="17" xfId="0" applyNumberFormat="1" applyFill="1" applyBorder="1"/>
    <xf numFmtId="2" fontId="0" fillId="34" borderId="20" xfId="0" applyNumberFormat="1" applyFill="1" applyBorder="1"/>
    <xf numFmtId="2" fontId="0" fillId="34" borderId="21" xfId="0" applyNumberFormat="1" applyFill="1" applyBorder="1"/>
    <xf numFmtId="0" fontId="0" fillId="0" borderId="0" xfId="0" applyFill="1" applyBorder="1"/>
    <xf numFmtId="0" fontId="29" fillId="0" borderId="0" xfId="0" applyFont="1" applyFill="1" applyBorder="1"/>
    <xf numFmtId="0" fontId="59" fillId="61" borderId="38" xfId="0" applyFont="1" applyFill="1" applyBorder="1" applyAlignment="1">
      <alignment horizontal="left" vertical="center" wrapText="1"/>
    </xf>
    <xf numFmtId="3" fontId="0" fillId="34" borderId="11" xfId="0" applyNumberFormat="1" applyFill="1" applyBorder="1"/>
    <xf numFmtId="3" fontId="0" fillId="34" borderId="10" xfId="0" applyNumberFormat="1" applyFill="1" applyBorder="1"/>
    <xf numFmtId="0" fontId="51" fillId="34" borderId="0" xfId="0" applyFont="1" applyFill="1" applyBorder="1"/>
    <xf numFmtId="0" fontId="18" fillId="36" borderId="71" xfId="0" applyFont="1" applyFill="1" applyBorder="1" applyAlignment="1">
      <alignment vertical="center"/>
    </xf>
    <xf numFmtId="0" fontId="51" fillId="34" borderId="40" xfId="0" applyFont="1" applyFill="1" applyBorder="1"/>
    <xf numFmtId="0" fontId="0" fillId="33" borderId="33" xfId="0" applyNumberFormat="1" applyFont="1" applyFill="1" applyBorder="1" applyAlignment="1" applyProtection="1">
      <alignment vertical="center"/>
      <protection locked="0"/>
    </xf>
    <xf numFmtId="0" fontId="0" fillId="33" borderId="18" xfId="0" applyNumberFormat="1" applyFont="1" applyFill="1" applyBorder="1" applyAlignment="1" applyProtection="1">
      <alignment vertical="center"/>
      <protection locked="0"/>
    </xf>
    <xf numFmtId="0" fontId="0" fillId="33" borderId="51" xfId="0" applyNumberFormat="1" applyFont="1" applyFill="1" applyBorder="1" applyAlignment="1" applyProtection="1">
      <alignment vertical="center"/>
      <protection locked="0"/>
    </xf>
    <xf numFmtId="0" fontId="0" fillId="0" borderId="0" xfId="0" applyBorder="1"/>
    <xf numFmtId="0" fontId="0" fillId="0" borderId="74" xfId="0" applyBorder="1"/>
    <xf numFmtId="0" fontId="0" fillId="0" borderId="56" xfId="0" applyBorder="1"/>
    <xf numFmtId="0" fontId="0" fillId="63" borderId="0" xfId="0" applyFill="1"/>
    <xf numFmtId="0" fontId="0" fillId="64" borderId="56" xfId="0" applyFill="1" applyBorder="1"/>
    <xf numFmtId="0" fontId="0" fillId="64" borderId="0" xfId="0" applyFill="1" applyBorder="1"/>
    <xf numFmtId="0" fontId="0" fillId="64" borderId="74" xfId="0" applyFill="1" applyBorder="1"/>
    <xf numFmtId="0" fontId="0" fillId="34" borderId="80" xfId="0" applyFill="1" applyBorder="1"/>
    <xf numFmtId="0" fontId="48" fillId="34" borderId="0" xfId="0" applyFont="1" applyFill="1" applyAlignment="1" applyProtection="1">
      <alignment vertical="center"/>
      <protection hidden="1"/>
    </xf>
    <xf numFmtId="0" fontId="0" fillId="34" borderId="0" xfId="0" applyFill="1" applyProtection="1">
      <protection hidden="1"/>
    </xf>
    <xf numFmtId="0" fontId="0" fillId="34" borderId="0" xfId="0" applyFill="1" applyBorder="1" applyProtection="1">
      <protection hidden="1"/>
    </xf>
    <xf numFmtId="0" fontId="16" fillId="34" borderId="0" xfId="0" applyFont="1" applyFill="1" applyBorder="1" applyAlignment="1" applyProtection="1">
      <alignment horizontal="center"/>
      <protection hidden="1"/>
    </xf>
    <xf numFmtId="0" fontId="0" fillId="34" borderId="0" xfId="0" applyFill="1" applyAlignment="1" applyProtection="1">
      <alignment vertical="center"/>
      <protection hidden="1"/>
    </xf>
    <xf numFmtId="0" fontId="50" fillId="36" borderId="60" xfId="0" applyFont="1" applyFill="1" applyBorder="1" applyAlignment="1" applyProtection="1">
      <alignment vertical="center"/>
      <protection hidden="1"/>
    </xf>
    <xf numFmtId="0" fontId="50" fillId="36" borderId="0" xfId="0" applyFont="1" applyFill="1" applyBorder="1" applyAlignment="1" applyProtection="1">
      <alignment horizontal="left" vertical="center"/>
      <protection hidden="1"/>
    </xf>
    <xf numFmtId="0" fontId="50" fillId="36" borderId="43" xfId="0" applyFont="1" applyFill="1" applyBorder="1" applyAlignment="1" applyProtection="1">
      <alignment horizontal="center" vertical="center" wrapText="1"/>
      <protection hidden="1"/>
    </xf>
    <xf numFmtId="0" fontId="50" fillId="36" borderId="48" xfId="0" applyFont="1" applyFill="1" applyBorder="1" applyAlignment="1" applyProtection="1">
      <alignment vertical="center" wrapText="1"/>
      <protection hidden="1"/>
    </xf>
    <xf numFmtId="0" fontId="50" fillId="36" borderId="49" xfId="0" applyFont="1" applyFill="1" applyBorder="1" applyAlignment="1" applyProtection="1">
      <alignment vertical="center" wrapText="1"/>
      <protection hidden="1"/>
    </xf>
    <xf numFmtId="0" fontId="50" fillId="36" borderId="50" xfId="0" applyFont="1" applyFill="1" applyBorder="1" applyAlignment="1" applyProtection="1">
      <alignment vertical="center" wrapText="1"/>
      <protection hidden="1"/>
    </xf>
    <xf numFmtId="0" fontId="50" fillId="36" borderId="0" xfId="0" applyFont="1" applyFill="1" applyBorder="1" applyAlignment="1" applyProtection="1">
      <alignment vertical="center" wrapText="1"/>
      <protection hidden="1"/>
    </xf>
    <xf numFmtId="0" fontId="0" fillId="35" borderId="58" xfId="0" applyFont="1" applyFill="1" applyBorder="1" applyAlignment="1" applyProtection="1">
      <alignment horizontal="left" vertical="center"/>
      <protection hidden="1"/>
    </xf>
    <xf numFmtId="0" fontId="0" fillId="35" borderId="11" xfId="0" applyFill="1" applyBorder="1" applyAlignment="1" applyProtection="1">
      <alignment horizontal="left" vertical="center"/>
      <protection hidden="1"/>
    </xf>
    <xf numFmtId="3" fontId="0" fillId="35" borderId="11" xfId="0" applyNumberFormat="1" applyFill="1" applyBorder="1" applyAlignment="1" applyProtection="1">
      <alignment horizontal="left" vertical="center"/>
      <protection hidden="1"/>
    </xf>
    <xf numFmtId="0" fontId="0" fillId="35" borderId="47" xfId="0" applyFill="1" applyBorder="1" applyAlignment="1" applyProtection="1">
      <alignment horizontal="left" vertical="center"/>
      <protection hidden="1"/>
    </xf>
    <xf numFmtId="3" fontId="0" fillId="35" borderId="46" xfId="0" applyNumberFormat="1" applyFill="1" applyBorder="1" applyAlignment="1" applyProtection="1">
      <alignment horizontal="left" vertical="center"/>
      <protection hidden="1"/>
    </xf>
    <xf numFmtId="4" fontId="0" fillId="35" borderId="11" xfId="0" applyNumberFormat="1" applyFill="1" applyBorder="1" applyAlignment="1" applyProtection="1">
      <alignment horizontal="left" vertical="center"/>
      <protection hidden="1"/>
    </xf>
    <xf numFmtId="2" fontId="0" fillId="35" borderId="11" xfId="0" applyNumberFormat="1" applyFill="1" applyBorder="1" applyAlignment="1" applyProtection="1">
      <alignment horizontal="left" vertical="center"/>
      <protection hidden="1"/>
    </xf>
    <xf numFmtId="2" fontId="0" fillId="35" borderId="47" xfId="0" applyNumberFormat="1" applyFill="1" applyBorder="1" applyAlignment="1" applyProtection="1">
      <alignment horizontal="left" vertical="center"/>
      <protection hidden="1"/>
    </xf>
    <xf numFmtId="2" fontId="0" fillId="35" borderId="0" xfId="0" applyNumberFormat="1" applyFill="1" applyBorder="1" applyAlignment="1" applyProtection="1">
      <alignment horizontal="left" vertical="center"/>
      <protection hidden="1"/>
    </xf>
    <xf numFmtId="166" fontId="0" fillId="35" borderId="39" xfId="0" applyNumberFormat="1" applyFill="1" applyBorder="1" applyAlignment="1" applyProtection="1">
      <alignment horizontal="center" vertical="center"/>
      <protection hidden="1"/>
    </xf>
    <xf numFmtId="0" fontId="0" fillId="35" borderId="54" xfId="0" applyFont="1" applyFill="1" applyBorder="1" applyAlignment="1" applyProtection="1">
      <alignment horizontal="left" vertical="center"/>
      <protection hidden="1"/>
    </xf>
    <xf numFmtId="0" fontId="0" fillId="35" borderId="10" xfId="0" applyFill="1" applyBorder="1" applyAlignment="1" applyProtection="1">
      <alignment horizontal="left" vertical="center"/>
      <protection hidden="1"/>
    </xf>
    <xf numFmtId="3" fontId="0" fillId="35" borderId="10" xfId="0" applyNumberFormat="1" applyFill="1" applyBorder="1" applyAlignment="1" applyProtection="1">
      <alignment horizontal="left" vertical="center"/>
      <protection hidden="1"/>
    </xf>
    <xf numFmtId="0" fontId="0" fillId="35" borderId="17" xfId="0" applyFill="1" applyBorder="1" applyAlignment="1" applyProtection="1">
      <alignment horizontal="left" vertical="center"/>
      <protection hidden="1"/>
    </xf>
    <xf numFmtId="3" fontId="0" fillId="35" borderId="15" xfId="0" applyNumberFormat="1" applyFill="1" applyBorder="1" applyAlignment="1" applyProtection="1">
      <alignment horizontal="left" vertical="center"/>
      <protection hidden="1"/>
    </xf>
    <xf numFmtId="4" fontId="0" fillId="35" borderId="10" xfId="0" applyNumberFormat="1" applyFill="1" applyBorder="1" applyAlignment="1" applyProtection="1">
      <alignment horizontal="left" vertical="center"/>
      <protection hidden="1"/>
    </xf>
    <xf numFmtId="2" fontId="0" fillId="35" borderId="10" xfId="0" applyNumberFormat="1" applyFill="1" applyBorder="1" applyAlignment="1" applyProtection="1">
      <alignment horizontal="left" vertical="center"/>
      <protection hidden="1"/>
    </xf>
    <xf numFmtId="2" fontId="0" fillId="35" borderId="17" xfId="0" applyNumberFormat="1" applyFill="1" applyBorder="1" applyAlignment="1" applyProtection="1">
      <alignment horizontal="left" vertical="center"/>
      <protection hidden="1"/>
    </xf>
    <xf numFmtId="166" fontId="0" fillId="35" borderId="40" xfId="0" applyNumberFormat="1" applyFill="1" applyBorder="1" applyAlignment="1" applyProtection="1">
      <alignment horizontal="center" vertical="center"/>
      <protection hidden="1"/>
    </xf>
    <xf numFmtId="0" fontId="0" fillId="35" borderId="59" xfId="0" applyFont="1" applyFill="1" applyBorder="1" applyAlignment="1" applyProtection="1">
      <alignment horizontal="left" vertical="center"/>
      <protection hidden="1"/>
    </xf>
    <xf numFmtId="0" fontId="0" fillId="35" borderId="20" xfId="0" applyFill="1" applyBorder="1" applyAlignment="1" applyProtection="1">
      <alignment horizontal="left" vertical="center"/>
      <protection hidden="1"/>
    </xf>
    <xf numFmtId="3" fontId="0" fillId="35" borderId="20" xfId="0" applyNumberFormat="1" applyFill="1" applyBorder="1" applyAlignment="1" applyProtection="1">
      <alignment horizontal="left" vertical="center"/>
      <protection hidden="1"/>
    </xf>
    <xf numFmtId="0" fontId="0" fillId="35" borderId="21" xfId="0" applyFill="1" applyBorder="1" applyAlignment="1" applyProtection="1">
      <alignment horizontal="left" vertical="center"/>
      <protection hidden="1"/>
    </xf>
    <xf numFmtId="3" fontId="0" fillId="35" borderId="19" xfId="0" applyNumberFormat="1" applyFill="1" applyBorder="1" applyAlignment="1" applyProtection="1">
      <alignment horizontal="left" vertical="center"/>
      <protection hidden="1"/>
    </xf>
    <xf numFmtId="4" fontId="0" fillId="35" borderId="20" xfId="0" applyNumberFormat="1" applyFill="1" applyBorder="1" applyAlignment="1" applyProtection="1">
      <alignment horizontal="left" vertical="center"/>
      <protection hidden="1"/>
    </xf>
    <xf numFmtId="2" fontId="0" fillId="35" borderId="20" xfId="0" applyNumberFormat="1" applyFill="1" applyBorder="1" applyAlignment="1" applyProtection="1">
      <alignment horizontal="left" vertical="center"/>
      <protection hidden="1"/>
    </xf>
    <xf numFmtId="2" fontId="0" fillId="35" borderId="21" xfId="0" applyNumberFormat="1" applyFill="1" applyBorder="1" applyAlignment="1" applyProtection="1">
      <alignment horizontal="left" vertical="center"/>
      <protection hidden="1"/>
    </xf>
    <xf numFmtId="166" fontId="0" fillId="35" borderId="41" xfId="0" applyNumberFormat="1" applyFill="1" applyBorder="1" applyAlignment="1" applyProtection="1">
      <alignment horizontal="center" vertical="center"/>
      <protection hidden="1"/>
    </xf>
    <xf numFmtId="0" fontId="0" fillId="34" borderId="0" xfId="0" applyFont="1" applyFill="1" applyBorder="1" applyAlignment="1" applyProtection="1">
      <alignment horizontal="left" vertical="center" indent="1"/>
      <protection hidden="1"/>
    </xf>
    <xf numFmtId="164" fontId="1" fillId="34" borderId="0" xfId="1" applyNumberFormat="1" applyFont="1" applyFill="1" applyBorder="1" applyAlignment="1" applyProtection="1">
      <alignment horizontal="left" vertical="center" indent="1"/>
      <protection hidden="1"/>
    </xf>
    <xf numFmtId="0" fontId="0" fillId="34" borderId="0" xfId="0" applyFill="1" applyBorder="1" applyAlignment="1" applyProtection="1">
      <alignment vertical="center"/>
      <protection hidden="1"/>
    </xf>
    <xf numFmtId="0" fontId="47" fillId="34" borderId="0" xfId="0" applyFont="1" applyFill="1" applyBorder="1" applyAlignment="1" applyProtection="1">
      <alignment horizontal="left"/>
      <protection hidden="1"/>
    </xf>
    <xf numFmtId="0" fontId="0" fillId="33" borderId="11"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20" xfId="0" applyFont="1" applyFill="1" applyBorder="1" applyAlignment="1" applyProtection="1">
      <alignment horizontal="left" vertical="center"/>
      <protection locked="0"/>
    </xf>
    <xf numFmtId="0" fontId="0" fillId="33" borderId="20" xfId="0" applyFill="1" applyBorder="1" applyAlignment="1" applyProtection="1">
      <alignment horizontal="center" vertical="center"/>
      <protection locked="0"/>
    </xf>
    <xf numFmtId="0" fontId="0" fillId="33" borderId="47" xfId="0" applyFill="1" applyBorder="1" applyAlignment="1" applyProtection="1">
      <alignment horizontal="left" vertical="center"/>
      <protection locked="0"/>
    </xf>
    <xf numFmtId="0" fontId="0" fillId="33" borderId="46"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21"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9" fontId="0" fillId="33" borderId="47" xfId="1998" applyFont="1" applyFill="1" applyBorder="1" applyAlignment="1" applyProtection="1">
      <alignment horizontal="center" vertical="center"/>
      <protection locked="0"/>
    </xf>
    <xf numFmtId="9" fontId="0" fillId="33" borderId="17" xfId="1998" applyFont="1" applyFill="1" applyBorder="1" applyAlignment="1" applyProtection="1">
      <alignment horizontal="center" vertical="center"/>
      <protection locked="0"/>
    </xf>
    <xf numFmtId="9" fontId="0" fillId="33" borderId="21" xfId="1998" applyFont="1" applyFill="1" applyBorder="1" applyAlignment="1" applyProtection="1">
      <alignment horizontal="center" vertical="center"/>
      <protection locked="0"/>
    </xf>
    <xf numFmtId="0" fontId="50" fillId="36" borderId="43" xfId="0" applyFont="1" applyFill="1" applyBorder="1" applyAlignment="1" applyProtection="1">
      <alignment vertical="center"/>
      <protection hidden="1"/>
    </xf>
    <xf numFmtId="0" fontId="0" fillId="34" borderId="0" xfId="0" applyFill="1" applyAlignment="1" applyProtection="1">
      <alignment vertical="center" wrapText="1"/>
      <protection hidden="1"/>
    </xf>
    <xf numFmtId="0" fontId="50" fillId="36" borderId="43" xfId="0" applyFont="1" applyFill="1" applyBorder="1" applyAlignment="1" applyProtection="1">
      <alignment horizontal="left" vertical="center" wrapText="1"/>
      <protection hidden="1"/>
    </xf>
    <xf numFmtId="0" fontId="50" fillId="36" borderId="48" xfId="0" applyFont="1" applyFill="1" applyBorder="1" applyAlignment="1" applyProtection="1">
      <alignment horizontal="left" vertical="center" wrapText="1"/>
      <protection hidden="1"/>
    </xf>
    <xf numFmtId="0" fontId="50" fillId="36" borderId="57" xfId="0" applyFont="1" applyFill="1" applyBorder="1" applyAlignment="1" applyProtection="1">
      <alignment horizontal="left" vertical="center" wrapText="1"/>
      <protection hidden="1"/>
    </xf>
    <xf numFmtId="0" fontId="50" fillId="36" borderId="49" xfId="0" applyFont="1" applyFill="1" applyBorder="1" applyAlignment="1" applyProtection="1">
      <alignment horizontal="left" vertical="center" wrapText="1"/>
      <protection hidden="1"/>
    </xf>
    <xf numFmtId="0" fontId="50" fillId="36" borderId="68" xfId="0" applyFont="1" applyFill="1" applyBorder="1" applyAlignment="1" applyProtection="1">
      <alignment vertical="center" wrapText="1"/>
      <protection hidden="1"/>
    </xf>
    <xf numFmtId="0" fontId="50" fillId="36" borderId="44" xfId="0" applyFont="1" applyFill="1" applyBorder="1" applyAlignment="1" applyProtection="1">
      <alignment vertical="center" wrapText="1"/>
      <protection hidden="1"/>
    </xf>
    <xf numFmtId="0" fontId="0" fillId="33" borderId="33" xfId="0" applyFont="1" applyFill="1" applyBorder="1" applyAlignment="1" applyProtection="1">
      <alignment horizontal="left" vertical="center"/>
      <protection hidden="1"/>
    </xf>
    <xf numFmtId="0" fontId="0" fillId="35" borderId="11" xfId="0" applyFill="1" applyBorder="1" applyAlignment="1" applyProtection="1">
      <alignment vertical="center"/>
      <protection hidden="1"/>
    </xf>
    <xf numFmtId="3" fontId="0" fillId="35" borderId="12" xfId="0" applyNumberFormat="1" applyFill="1" applyBorder="1" applyAlignment="1" applyProtection="1">
      <alignment vertical="center"/>
      <protection hidden="1"/>
    </xf>
    <xf numFmtId="4" fontId="0" fillId="35" borderId="14" xfId="0" applyNumberFormat="1" applyFill="1" applyBorder="1" applyAlignment="1" applyProtection="1">
      <alignment vertical="center"/>
      <protection hidden="1"/>
    </xf>
    <xf numFmtId="0" fontId="0" fillId="33" borderId="22" xfId="0" applyFill="1" applyBorder="1" applyAlignment="1" applyProtection="1">
      <alignment vertical="center"/>
      <protection hidden="1"/>
    </xf>
    <xf numFmtId="4" fontId="0" fillId="35" borderId="13" xfId="0" applyNumberFormat="1" applyFill="1" applyBorder="1" applyAlignment="1" applyProtection="1">
      <alignment vertical="center"/>
      <protection hidden="1"/>
    </xf>
    <xf numFmtId="4" fontId="0" fillId="35" borderId="0" xfId="0" applyNumberFormat="1" applyFill="1" applyBorder="1" applyAlignment="1" applyProtection="1">
      <alignment vertical="center"/>
      <protection hidden="1"/>
    </xf>
    <xf numFmtId="166" fontId="0" fillId="35" borderId="39" xfId="0" applyNumberFormat="1" applyFill="1" applyBorder="1" applyAlignment="1" applyProtection="1">
      <alignment vertical="center"/>
      <protection hidden="1"/>
    </xf>
    <xf numFmtId="0" fontId="0" fillId="35" borderId="10" xfId="0" applyFill="1" applyBorder="1" applyAlignment="1" applyProtection="1">
      <alignment vertical="center"/>
      <protection hidden="1"/>
    </xf>
    <xf numFmtId="3" fontId="0" fillId="35" borderId="46" xfId="0" applyNumberFormat="1" applyFill="1" applyBorder="1" applyAlignment="1" applyProtection="1">
      <alignment vertical="center"/>
      <protection hidden="1"/>
    </xf>
    <xf numFmtId="4" fontId="0" fillId="35" borderId="47" xfId="0" applyNumberFormat="1" applyFill="1" applyBorder="1" applyAlignment="1" applyProtection="1">
      <alignment vertical="center"/>
      <protection hidden="1"/>
    </xf>
    <xf numFmtId="4" fontId="0" fillId="35" borderId="11" xfId="0" applyNumberFormat="1" applyFill="1" applyBorder="1" applyAlignment="1" applyProtection="1">
      <alignment vertical="center"/>
      <protection hidden="1"/>
    </xf>
    <xf numFmtId="166" fontId="0" fillId="35" borderId="40" xfId="0" applyNumberFormat="1" applyFill="1" applyBorder="1" applyAlignment="1" applyProtection="1">
      <alignment vertical="center"/>
      <protection hidden="1"/>
    </xf>
    <xf numFmtId="0" fontId="0" fillId="33" borderId="70" xfId="0" applyFont="1" applyFill="1" applyBorder="1" applyAlignment="1" applyProtection="1">
      <alignment horizontal="left" vertical="center"/>
      <protection hidden="1"/>
    </xf>
    <xf numFmtId="0" fontId="0" fillId="35" borderId="20" xfId="0" applyFill="1" applyBorder="1" applyAlignment="1" applyProtection="1">
      <alignment vertical="center"/>
      <protection hidden="1"/>
    </xf>
    <xf numFmtId="3" fontId="0" fillId="35" borderId="64" xfId="0" applyNumberFormat="1" applyFill="1" applyBorder="1" applyAlignment="1" applyProtection="1">
      <alignment vertical="center"/>
      <protection hidden="1"/>
    </xf>
    <xf numFmtId="4" fontId="0" fillId="35" borderId="66" xfId="0" applyNumberFormat="1" applyFill="1" applyBorder="1" applyAlignment="1" applyProtection="1">
      <alignment vertical="center"/>
      <protection hidden="1"/>
    </xf>
    <xf numFmtId="0" fontId="0" fillId="33" borderId="74" xfId="0" applyFill="1" applyBorder="1" applyAlignment="1" applyProtection="1">
      <alignment vertical="center"/>
      <protection hidden="1"/>
    </xf>
    <xf numFmtId="4" fontId="0" fillId="35" borderId="65" xfId="0" applyNumberFormat="1" applyFill="1" applyBorder="1" applyAlignment="1" applyProtection="1">
      <alignment vertical="center"/>
      <protection hidden="1"/>
    </xf>
    <xf numFmtId="166" fontId="0" fillId="35" borderId="41" xfId="0" applyNumberFormat="1" applyFill="1" applyBorder="1" applyAlignment="1" applyProtection="1">
      <alignment vertical="center"/>
      <protection hidden="1"/>
    </xf>
    <xf numFmtId="0" fontId="0" fillId="34" borderId="0" xfId="0" applyFont="1" applyFill="1" applyBorder="1" applyAlignment="1" applyProtection="1">
      <alignment horizontal="left" vertical="center"/>
      <protection hidden="1"/>
    </xf>
    <xf numFmtId="0" fontId="0" fillId="33" borderId="46" xfId="0" applyFont="1" applyFill="1" applyBorder="1" applyAlignment="1" applyProtection="1">
      <alignment horizontal="left" vertical="center"/>
      <protection locked="0"/>
    </xf>
    <xf numFmtId="0" fontId="0" fillId="33" borderId="33" xfId="0" applyFont="1" applyFill="1" applyBorder="1" applyAlignment="1" applyProtection="1">
      <alignment horizontal="left" vertical="center"/>
      <protection locked="0"/>
    </xf>
    <xf numFmtId="0" fontId="0" fillId="33" borderId="15" xfId="0" applyFont="1" applyFill="1" applyBorder="1" applyAlignment="1" applyProtection="1">
      <alignment horizontal="left" vertical="center"/>
      <protection locked="0"/>
    </xf>
    <xf numFmtId="0" fontId="0" fillId="33" borderId="19" xfId="0" applyFont="1" applyFill="1" applyBorder="1" applyAlignment="1" applyProtection="1">
      <alignment horizontal="left" vertical="center"/>
      <protection locked="0"/>
    </xf>
    <xf numFmtId="0" fontId="0" fillId="33" borderId="65" xfId="0" applyFont="1" applyFill="1" applyBorder="1" applyAlignment="1" applyProtection="1">
      <alignment horizontal="left" vertical="center"/>
      <protection locked="0"/>
    </xf>
    <xf numFmtId="0" fontId="0" fillId="33" borderId="46" xfId="0" applyFill="1" applyBorder="1" applyAlignment="1" applyProtection="1">
      <alignment vertical="center"/>
      <protection locked="0"/>
    </xf>
    <xf numFmtId="0" fontId="0" fillId="33" borderId="34"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64" xfId="0" applyFill="1" applyBorder="1" applyAlignment="1" applyProtection="1">
      <alignment vertical="center"/>
      <protection locked="0"/>
    </xf>
    <xf numFmtId="0" fontId="0" fillId="33" borderId="67" xfId="0" applyFill="1" applyBorder="1" applyAlignment="1" applyProtection="1">
      <alignment horizontal="center" vertical="center"/>
      <protection locked="0"/>
    </xf>
    <xf numFmtId="0" fontId="0" fillId="33" borderId="47"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0" fillId="33" borderId="21" xfId="0" applyFill="1" applyBorder="1" applyAlignment="1" applyProtection="1">
      <alignment vertical="center"/>
      <protection locked="0"/>
    </xf>
    <xf numFmtId="0" fontId="52" fillId="36" borderId="60" xfId="0" applyFont="1" applyFill="1" applyBorder="1" applyAlignment="1" applyProtection="1">
      <alignment vertical="center"/>
      <protection hidden="1"/>
    </xf>
    <xf numFmtId="0" fontId="52" fillId="36" borderId="56" xfId="0" applyFont="1" applyFill="1" applyBorder="1" applyAlignment="1" applyProtection="1">
      <alignment vertical="center"/>
      <protection hidden="1"/>
    </xf>
    <xf numFmtId="0" fontId="52" fillId="36" borderId="0" xfId="0" applyFont="1" applyFill="1" applyBorder="1" applyAlignment="1" applyProtection="1">
      <alignment horizontal="left" vertical="center"/>
      <protection hidden="1"/>
    </xf>
    <xf numFmtId="0" fontId="50" fillId="36" borderId="43" xfId="0" applyFont="1" applyFill="1" applyBorder="1" applyAlignment="1" applyProtection="1">
      <alignment vertical="center" wrapText="1"/>
      <protection hidden="1"/>
    </xf>
    <xf numFmtId="0" fontId="50" fillId="36" borderId="57" xfId="0" applyFont="1" applyFill="1" applyBorder="1" applyAlignment="1" applyProtection="1">
      <alignment vertical="center" wrapText="1"/>
      <protection hidden="1"/>
    </xf>
    <xf numFmtId="0" fontId="50" fillId="36" borderId="52" xfId="0" applyFont="1" applyFill="1" applyBorder="1" applyAlignment="1" applyProtection="1">
      <alignment vertical="center" wrapText="1"/>
      <protection hidden="1"/>
    </xf>
    <xf numFmtId="0" fontId="50" fillId="36" borderId="61" xfId="0" applyFont="1" applyFill="1" applyBorder="1" applyAlignment="1" applyProtection="1">
      <alignment vertical="center" wrapText="1"/>
      <protection hidden="1"/>
    </xf>
    <xf numFmtId="0" fontId="50" fillId="36" borderId="62" xfId="0" applyFont="1" applyFill="1" applyBorder="1" applyAlignment="1" applyProtection="1">
      <alignment vertical="center" wrapText="1"/>
      <protection hidden="1"/>
    </xf>
    <xf numFmtId="0" fontId="0" fillId="35" borderId="58" xfId="0" applyFont="1" applyFill="1" applyBorder="1" applyAlignment="1" applyProtection="1">
      <alignment vertical="center"/>
      <protection hidden="1"/>
    </xf>
    <xf numFmtId="0" fontId="0" fillId="35" borderId="34" xfId="0" applyFill="1" applyBorder="1" applyAlignment="1" applyProtection="1">
      <alignment vertical="center"/>
      <protection hidden="1"/>
    </xf>
    <xf numFmtId="0" fontId="0" fillId="35" borderId="47" xfId="0" applyFill="1" applyBorder="1" applyAlignment="1" applyProtection="1">
      <alignment vertical="center"/>
      <protection hidden="1"/>
    </xf>
    <xf numFmtId="0" fontId="0" fillId="35" borderId="46" xfId="0" applyFill="1" applyBorder="1" applyAlignment="1" applyProtection="1">
      <alignment vertical="center"/>
      <protection hidden="1"/>
    </xf>
    <xf numFmtId="0" fontId="0" fillId="35" borderId="12" xfId="0" applyFill="1" applyBorder="1" applyAlignment="1" applyProtection="1">
      <alignment vertical="center"/>
      <protection hidden="1"/>
    </xf>
    <xf numFmtId="0" fontId="0" fillId="35" borderId="13" xfId="0" applyFill="1" applyBorder="1" applyAlignment="1" applyProtection="1">
      <alignment vertical="center"/>
      <protection hidden="1"/>
    </xf>
    <xf numFmtId="167" fontId="0" fillId="35" borderId="13" xfId="0" applyNumberFormat="1" applyFill="1" applyBorder="1" applyAlignment="1" applyProtection="1">
      <alignment vertical="center"/>
      <protection hidden="1"/>
    </xf>
    <xf numFmtId="2" fontId="0" fillId="35" borderId="13" xfId="0" applyNumberFormat="1" applyFill="1" applyBorder="1" applyAlignment="1" applyProtection="1">
      <alignment vertical="center"/>
      <protection hidden="1"/>
    </xf>
    <xf numFmtId="3" fontId="0" fillId="35" borderId="13" xfId="0" applyNumberFormat="1" applyFill="1" applyBorder="1" applyAlignment="1" applyProtection="1">
      <alignment vertical="center"/>
      <protection hidden="1"/>
    </xf>
    <xf numFmtId="2" fontId="0" fillId="35" borderId="14" xfId="0" applyNumberFormat="1" applyFill="1" applyBorder="1" applyAlignment="1" applyProtection="1">
      <alignment vertical="center"/>
      <protection hidden="1"/>
    </xf>
    <xf numFmtId="2" fontId="0" fillId="35" borderId="0" xfId="0" applyNumberFormat="1" applyFill="1" applyBorder="1" applyAlignment="1" applyProtection="1">
      <alignment vertical="center"/>
      <protection hidden="1"/>
    </xf>
    <xf numFmtId="0" fontId="0" fillId="35" borderId="54" xfId="0" applyFont="1" applyFill="1" applyBorder="1" applyAlignment="1" applyProtection="1">
      <alignment vertical="center"/>
      <protection hidden="1"/>
    </xf>
    <xf numFmtId="0" fontId="0" fillId="35" borderId="16"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5" xfId="0" applyFill="1" applyBorder="1" applyAlignment="1" applyProtection="1">
      <alignment vertical="center"/>
      <protection hidden="1"/>
    </xf>
    <xf numFmtId="167" fontId="0" fillId="35" borderId="10" xfId="0" applyNumberFormat="1" applyFill="1" applyBorder="1" applyAlignment="1" applyProtection="1">
      <alignment vertical="center"/>
      <protection hidden="1"/>
    </xf>
    <xf numFmtId="2" fontId="0" fillId="35" borderId="10" xfId="0" applyNumberFormat="1" applyFill="1" applyBorder="1" applyAlignment="1" applyProtection="1">
      <alignment vertical="center"/>
      <protection hidden="1"/>
    </xf>
    <xf numFmtId="3" fontId="0" fillId="35" borderId="10" xfId="0" applyNumberFormat="1" applyFill="1" applyBorder="1" applyAlignment="1" applyProtection="1">
      <alignment vertical="center"/>
      <protection hidden="1"/>
    </xf>
    <xf numFmtId="2" fontId="0" fillId="35" borderId="17" xfId="0" applyNumberFormat="1" applyFill="1" applyBorder="1" applyAlignment="1" applyProtection="1">
      <alignment vertical="center"/>
      <protection hidden="1"/>
    </xf>
    <xf numFmtId="0" fontId="0" fillId="35" borderId="59" xfId="0" applyFont="1" applyFill="1" applyBorder="1" applyAlignment="1" applyProtection="1">
      <alignment vertical="center"/>
      <protection hidden="1"/>
    </xf>
    <xf numFmtId="0" fontId="0" fillId="35" borderId="67" xfId="0" applyFill="1" applyBorder="1" applyAlignment="1" applyProtection="1">
      <alignment vertical="center"/>
      <protection hidden="1"/>
    </xf>
    <xf numFmtId="0" fontId="0" fillId="35" borderId="21" xfId="0" applyFill="1" applyBorder="1" applyAlignment="1" applyProtection="1">
      <alignment vertical="center"/>
      <protection hidden="1"/>
    </xf>
    <xf numFmtId="0" fontId="0" fillId="35" borderId="19" xfId="0" applyFill="1" applyBorder="1" applyAlignment="1" applyProtection="1">
      <alignment vertical="center"/>
      <protection hidden="1"/>
    </xf>
    <xf numFmtId="167" fontId="0" fillId="35" borderId="20" xfId="0" applyNumberFormat="1" applyFill="1" applyBorder="1" applyAlignment="1" applyProtection="1">
      <alignment vertical="center"/>
      <protection hidden="1"/>
    </xf>
    <xf numFmtId="2" fontId="0" fillId="35" borderId="20" xfId="0" applyNumberFormat="1" applyFill="1" applyBorder="1" applyAlignment="1" applyProtection="1">
      <alignment vertical="center"/>
      <protection hidden="1"/>
    </xf>
    <xf numFmtId="3" fontId="0" fillId="35" borderId="20" xfId="0" applyNumberFormat="1" applyFill="1" applyBorder="1" applyAlignment="1" applyProtection="1">
      <alignment vertical="center"/>
      <protection hidden="1"/>
    </xf>
    <xf numFmtId="2" fontId="0" fillId="35" borderId="21" xfId="0" applyNumberForma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33" borderId="46" xfId="0" applyFont="1" applyFill="1" applyBorder="1" applyAlignment="1" applyProtection="1">
      <alignment vertical="center"/>
      <protection locked="0"/>
    </xf>
    <xf numFmtId="0" fontId="0" fillId="33" borderId="33" xfId="0"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0" fontId="0" fillId="33" borderId="37"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3" borderId="19" xfId="0" applyFont="1" applyFill="1" applyBorder="1" applyAlignment="1" applyProtection="1">
      <alignment vertical="center"/>
      <protection locked="0"/>
    </xf>
    <xf numFmtId="0" fontId="0" fillId="33" borderId="51" xfId="0" applyFont="1" applyFill="1" applyBorder="1" applyAlignment="1" applyProtection="1">
      <alignment vertical="center"/>
      <protection locked="0"/>
    </xf>
    <xf numFmtId="0" fontId="0" fillId="33" borderId="82" xfId="0" applyFont="1" applyFill="1" applyBorder="1" applyAlignment="1" applyProtection="1">
      <alignment vertical="center"/>
      <protection locked="0"/>
    </xf>
    <xf numFmtId="0" fontId="0" fillId="33" borderId="20"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67" xfId="0" applyFill="1" applyBorder="1" applyAlignment="1" applyProtection="1">
      <alignment vertical="center"/>
      <protection locked="0"/>
    </xf>
    <xf numFmtId="14" fontId="0" fillId="34" borderId="0" xfId="0" applyNumberFormat="1" applyFont="1" applyFill="1" applyBorder="1" applyAlignment="1" applyProtection="1">
      <alignment vertical="center"/>
      <protection hidden="1"/>
    </xf>
    <xf numFmtId="14" fontId="50" fillId="36" borderId="64" xfId="0" applyNumberFormat="1" applyFont="1" applyFill="1" applyBorder="1" applyAlignment="1" applyProtection="1">
      <alignment vertical="center" wrapText="1"/>
      <protection hidden="1"/>
    </xf>
    <xf numFmtId="14" fontId="50" fillId="36" borderId="70" xfId="0" applyNumberFormat="1" applyFont="1" applyFill="1" applyBorder="1" applyAlignment="1" applyProtection="1">
      <alignment vertical="center" wrapText="1"/>
      <protection hidden="1"/>
    </xf>
    <xf numFmtId="14" fontId="50" fillId="36" borderId="65" xfId="0" applyNumberFormat="1" applyFont="1" applyFill="1" applyBorder="1" applyAlignment="1" applyProtection="1">
      <alignment vertical="center" wrapText="1"/>
      <protection hidden="1"/>
    </xf>
    <xf numFmtId="14" fontId="50" fillId="36" borderId="66" xfId="0" applyNumberFormat="1" applyFont="1" applyFill="1" applyBorder="1" applyAlignment="1" applyProtection="1">
      <alignment vertical="center" wrapText="1"/>
      <protection hidden="1"/>
    </xf>
    <xf numFmtId="14" fontId="0" fillId="34" borderId="0" xfId="0" applyNumberFormat="1" applyFont="1" applyFill="1" applyBorder="1" applyAlignment="1" applyProtection="1">
      <alignment vertical="center" wrapText="1"/>
      <protection hidden="1"/>
    </xf>
    <xf numFmtId="0" fontId="0" fillId="35" borderId="58" xfId="0" applyNumberFormat="1" applyFont="1" applyFill="1" applyBorder="1" applyAlignment="1" applyProtection="1">
      <alignment vertical="center"/>
      <protection hidden="1"/>
    </xf>
    <xf numFmtId="0" fontId="0" fillId="35" borderId="33" xfId="0" applyNumberFormat="1" applyFont="1" applyFill="1" applyBorder="1" applyAlignment="1" applyProtection="1">
      <alignment vertical="center"/>
      <protection hidden="1"/>
    </xf>
    <xf numFmtId="0" fontId="0" fillId="35" borderId="11" xfId="0" applyNumberFormat="1" applyFont="1" applyFill="1" applyBorder="1" applyAlignment="1" applyProtection="1">
      <alignment vertical="center"/>
      <protection hidden="1"/>
    </xf>
    <xf numFmtId="3" fontId="0" fillId="35" borderId="11" xfId="0" applyNumberFormat="1" applyFont="1" applyFill="1" applyBorder="1" applyAlignment="1" applyProtection="1">
      <alignment vertical="center"/>
      <protection hidden="1"/>
    </xf>
    <xf numFmtId="4" fontId="0" fillId="35" borderId="47" xfId="0" applyNumberFormat="1" applyFont="1" applyFill="1" applyBorder="1" applyAlignment="1" applyProtection="1">
      <alignment vertical="center"/>
      <protection hidden="1"/>
    </xf>
    <xf numFmtId="2" fontId="0" fillId="34" borderId="0" xfId="0" applyNumberFormat="1" applyFont="1" applyFill="1" applyBorder="1" applyAlignment="1" applyProtection="1">
      <alignment vertical="center"/>
      <protection hidden="1"/>
    </xf>
    <xf numFmtId="166" fontId="0" fillId="35" borderId="47" xfId="0" applyNumberFormat="1" applyFont="1" applyFill="1" applyBorder="1" applyAlignment="1" applyProtection="1">
      <alignment vertical="center"/>
      <protection hidden="1"/>
    </xf>
    <xf numFmtId="0" fontId="0" fillId="35" borderId="54" xfId="0" applyNumberFormat="1" applyFont="1" applyFill="1" applyBorder="1" applyAlignment="1" applyProtection="1">
      <alignment vertical="center"/>
      <protection hidden="1"/>
    </xf>
    <xf numFmtId="0" fontId="0" fillId="35" borderId="18" xfId="0" applyNumberFormat="1" applyFont="1" applyFill="1" applyBorder="1" applyAlignment="1" applyProtection="1">
      <alignment vertical="center"/>
      <protection hidden="1"/>
    </xf>
    <xf numFmtId="0" fontId="0" fillId="35" borderId="10" xfId="0" applyNumberFormat="1" applyFont="1" applyFill="1" applyBorder="1" applyAlignment="1" applyProtection="1">
      <alignment vertical="center"/>
      <protection hidden="1"/>
    </xf>
    <xf numFmtId="3" fontId="0" fillId="35" borderId="10" xfId="0" applyNumberFormat="1" applyFont="1" applyFill="1" applyBorder="1" applyAlignment="1" applyProtection="1">
      <alignment vertical="center"/>
      <protection hidden="1"/>
    </xf>
    <xf numFmtId="4" fontId="0" fillId="35" borderId="17" xfId="0" applyNumberFormat="1" applyFont="1" applyFill="1" applyBorder="1" applyAlignment="1" applyProtection="1">
      <alignment vertical="center"/>
      <protection hidden="1"/>
    </xf>
    <xf numFmtId="166" fontId="0" fillId="35" borderId="17" xfId="0" applyNumberFormat="1" applyFont="1" applyFill="1" applyBorder="1" applyAlignment="1" applyProtection="1">
      <alignment vertical="center"/>
      <protection hidden="1"/>
    </xf>
    <xf numFmtId="0" fontId="0" fillId="35" borderId="59" xfId="0" applyNumberFormat="1" applyFont="1" applyFill="1" applyBorder="1" applyAlignment="1" applyProtection="1">
      <alignment vertical="center"/>
      <protection hidden="1"/>
    </xf>
    <xf numFmtId="0" fontId="0" fillId="35" borderId="51" xfId="0" applyNumberFormat="1" applyFont="1" applyFill="1" applyBorder="1" applyAlignment="1" applyProtection="1">
      <alignment vertical="center"/>
      <protection hidden="1"/>
    </xf>
    <xf numFmtId="0" fontId="0" fillId="35" borderId="20" xfId="0" applyNumberFormat="1" applyFont="1" applyFill="1" applyBorder="1" applyAlignment="1" applyProtection="1">
      <alignment vertical="center"/>
      <protection hidden="1"/>
    </xf>
    <xf numFmtId="3" fontId="0" fillId="35" borderId="20" xfId="0" applyNumberFormat="1" applyFont="1" applyFill="1" applyBorder="1" applyAlignment="1" applyProtection="1">
      <alignment vertical="center"/>
      <protection hidden="1"/>
    </xf>
    <xf numFmtId="4" fontId="0" fillId="35" borderId="21" xfId="0" applyNumberFormat="1" applyFont="1" applyFill="1" applyBorder="1" applyAlignment="1" applyProtection="1">
      <alignment vertical="center"/>
      <protection hidden="1"/>
    </xf>
    <xf numFmtId="166" fontId="0" fillId="35" borderId="21" xfId="0" applyNumberFormat="1" applyFont="1" applyFill="1" applyBorder="1" applyAlignment="1" applyProtection="1">
      <alignment vertical="center"/>
      <protection hidden="1"/>
    </xf>
    <xf numFmtId="0" fontId="52" fillId="36" borderId="63" xfId="0" applyFont="1" applyFill="1" applyBorder="1" applyAlignment="1" applyProtection="1">
      <alignment vertical="center"/>
      <protection hidden="1"/>
    </xf>
    <xf numFmtId="166" fontId="0" fillId="35" borderId="42" xfId="0" applyNumberFormat="1" applyFont="1" applyFill="1" applyBorder="1" applyAlignment="1" applyProtection="1">
      <alignment vertical="center"/>
      <protection hidden="1"/>
    </xf>
    <xf numFmtId="166" fontId="0" fillId="35" borderId="40" xfId="0" applyNumberFormat="1" applyFont="1" applyFill="1" applyBorder="1" applyAlignment="1" applyProtection="1">
      <alignment vertical="center"/>
      <protection hidden="1"/>
    </xf>
    <xf numFmtId="166" fontId="0" fillId="35" borderId="41" xfId="0" applyNumberFormat="1" applyFont="1" applyFill="1" applyBorder="1" applyAlignment="1" applyProtection="1">
      <alignment vertical="center"/>
      <protection hidden="1"/>
    </xf>
    <xf numFmtId="2" fontId="0" fillId="35" borderId="46" xfId="0" applyNumberFormat="1" applyFill="1" applyBorder="1" applyAlignment="1" applyProtection="1">
      <alignment horizontal="left" vertical="center"/>
      <protection hidden="1"/>
    </xf>
    <xf numFmtId="166" fontId="0" fillId="35" borderId="39" xfId="0" applyNumberFormat="1" applyFont="1" applyFill="1" applyBorder="1" applyAlignment="1" applyProtection="1">
      <alignment horizontal="right" vertical="center"/>
      <protection hidden="1"/>
    </xf>
    <xf numFmtId="2" fontId="0" fillId="35" borderId="15" xfId="0" applyNumberFormat="1" applyFill="1" applyBorder="1" applyAlignment="1" applyProtection="1">
      <alignment horizontal="left" vertical="center"/>
      <protection hidden="1"/>
    </xf>
    <xf numFmtId="166" fontId="0" fillId="35" borderId="40" xfId="0" applyNumberFormat="1" applyFont="1" applyFill="1" applyBorder="1" applyAlignment="1" applyProtection="1">
      <alignment horizontal="right" vertical="center"/>
      <protection hidden="1"/>
    </xf>
    <xf numFmtId="2" fontId="0" fillId="35" borderId="19" xfId="0" applyNumberFormat="1" applyFill="1" applyBorder="1" applyAlignment="1" applyProtection="1">
      <alignment horizontal="left" vertical="center"/>
      <protection hidden="1"/>
    </xf>
    <xf numFmtId="166" fontId="0" fillId="35" borderId="41" xfId="0" applyNumberFormat="1" applyFont="1" applyFill="1" applyBorder="1" applyAlignment="1" applyProtection="1">
      <alignment horizontal="right" vertical="center"/>
      <protection hidden="1"/>
    </xf>
    <xf numFmtId="9" fontId="0" fillId="33" borderId="46" xfId="1998" applyFont="1" applyFill="1" applyBorder="1" applyAlignment="1" applyProtection="1">
      <alignment horizontal="left" vertical="center"/>
      <protection locked="0"/>
    </xf>
    <xf numFmtId="9" fontId="0" fillId="33" borderId="15" xfId="1998" applyFont="1" applyFill="1" applyBorder="1" applyAlignment="1" applyProtection="1">
      <alignment horizontal="left" vertical="center"/>
      <protection locked="0"/>
    </xf>
    <xf numFmtId="9" fontId="0" fillId="33" borderId="19" xfId="1998" applyFont="1"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51" xfId="0" applyFill="1" applyBorder="1" applyAlignment="1" applyProtection="1">
      <alignment horizontal="left" vertical="center"/>
      <protection locked="0"/>
    </xf>
    <xf numFmtId="0" fontId="0" fillId="34" borderId="22" xfId="0" applyFont="1" applyFill="1" applyBorder="1" applyProtection="1">
      <protection hidden="1"/>
    </xf>
    <xf numFmtId="165" fontId="0" fillId="34" borderId="22" xfId="0" applyNumberFormat="1" applyFont="1" applyFill="1" applyBorder="1" applyProtection="1">
      <protection hidden="1"/>
    </xf>
    <xf numFmtId="14" fontId="0" fillId="34" borderId="22" xfId="0" applyNumberFormat="1" applyFont="1" applyFill="1" applyBorder="1" applyProtection="1">
      <protection hidden="1"/>
    </xf>
    <xf numFmtId="0" fontId="29" fillId="36" borderId="39" xfId="0" applyFont="1" applyFill="1" applyBorder="1" applyAlignment="1" applyProtection="1">
      <alignment horizontal="left" vertical="center" indent="1"/>
      <protection hidden="1"/>
    </xf>
    <xf numFmtId="0" fontId="29" fillId="36" borderId="40" xfId="0" applyFont="1" applyFill="1" applyBorder="1" applyAlignment="1" applyProtection="1">
      <alignment horizontal="left" vertical="center" indent="1"/>
      <protection hidden="1"/>
    </xf>
    <xf numFmtId="0" fontId="29" fillId="36" borderId="41" xfId="0" applyFont="1" applyFill="1" applyBorder="1" applyAlignment="1" applyProtection="1">
      <alignment horizontal="left" vertical="center" indent="1"/>
      <protection hidden="1"/>
    </xf>
    <xf numFmtId="0" fontId="29" fillId="59" borderId="38" xfId="0" applyFont="1" applyFill="1" applyBorder="1" applyAlignment="1" applyProtection="1">
      <alignment horizontal="left" vertical="center" indent="1"/>
      <protection hidden="1"/>
    </xf>
    <xf numFmtId="164" fontId="29" fillId="59" borderId="79" xfId="1" applyNumberFormat="1" applyFont="1" applyFill="1" applyBorder="1" applyAlignment="1" applyProtection="1">
      <alignment horizontal="left" vertical="center" indent="1"/>
      <protection hidden="1"/>
    </xf>
    <xf numFmtId="0" fontId="29" fillId="59" borderId="61" xfId="0" applyFont="1" applyFill="1" applyBorder="1" applyAlignment="1" applyProtection="1">
      <alignment horizontal="left" vertical="center" indent="1"/>
      <protection hidden="1"/>
    </xf>
    <xf numFmtId="0" fontId="29" fillId="59" borderId="50" xfId="0" applyFont="1" applyFill="1" applyBorder="1" applyAlignment="1" applyProtection="1">
      <alignment vertical="center"/>
      <protection hidden="1"/>
    </xf>
    <xf numFmtId="0" fontId="29" fillId="59" borderId="38" xfId="0" applyFont="1" applyFill="1" applyBorder="1" applyAlignment="1" applyProtection="1">
      <alignment horizontal="center" vertical="center"/>
      <protection hidden="1"/>
    </xf>
    <xf numFmtId="0" fontId="29" fillId="59" borderId="76" xfId="0" applyFont="1" applyFill="1" applyBorder="1" applyAlignment="1" applyProtection="1">
      <alignment horizontal="left" vertical="center" indent="1"/>
      <protection hidden="1"/>
    </xf>
    <xf numFmtId="3" fontId="0" fillId="35" borderId="12" xfId="0" applyNumberFormat="1" applyFill="1" applyBorder="1" applyAlignment="1" applyProtection="1">
      <alignment horizontal="center" vertical="center"/>
      <protection hidden="1"/>
    </xf>
    <xf numFmtId="4" fontId="0" fillId="35" borderId="14" xfId="0" applyNumberFormat="1" applyFill="1" applyBorder="1" applyAlignment="1" applyProtection="1">
      <alignment horizontal="center" vertical="center"/>
      <protection hidden="1"/>
    </xf>
    <xf numFmtId="7" fontId="0" fillId="35" borderId="77" xfId="0" applyNumberFormat="1" applyFill="1" applyBorder="1" applyAlignment="1" applyProtection="1">
      <alignment horizontal="right" vertical="center"/>
      <protection hidden="1"/>
    </xf>
    <xf numFmtId="7" fontId="0" fillId="35" borderId="39" xfId="0" applyNumberFormat="1" applyFill="1" applyBorder="1" applyAlignment="1" applyProtection="1">
      <alignment horizontal="right" vertical="center"/>
      <protection hidden="1"/>
    </xf>
    <xf numFmtId="0" fontId="29" fillId="59" borderId="54" xfId="0" applyFont="1" applyFill="1" applyBorder="1" applyAlignment="1" applyProtection="1">
      <alignment horizontal="left" vertical="center" indent="1"/>
      <protection hidden="1"/>
    </xf>
    <xf numFmtId="3" fontId="0" fillId="35" borderId="15" xfId="0" applyNumberFormat="1" applyFill="1" applyBorder="1" applyAlignment="1" applyProtection="1">
      <alignment horizontal="center" vertical="center"/>
      <protection hidden="1"/>
    </xf>
    <xf numFmtId="4" fontId="0" fillId="35" borderId="17" xfId="0" applyNumberFormat="1" applyFill="1" applyBorder="1" applyAlignment="1" applyProtection="1">
      <alignment horizontal="center" vertical="center"/>
      <protection hidden="1"/>
    </xf>
    <xf numFmtId="7" fontId="0" fillId="35" borderId="78" xfId="0" applyNumberFormat="1" applyFill="1" applyBorder="1" applyAlignment="1" applyProtection="1">
      <alignment horizontal="right" vertical="center"/>
      <protection hidden="1"/>
    </xf>
    <xf numFmtId="7" fontId="0" fillId="35" borderId="42" xfId="0" applyNumberFormat="1" applyFill="1" applyBorder="1" applyAlignment="1" applyProtection="1">
      <alignment horizontal="right" vertical="center"/>
      <protection hidden="1"/>
    </xf>
    <xf numFmtId="0" fontId="29" fillId="59" borderId="59" xfId="0" applyFont="1" applyFill="1" applyBorder="1" applyAlignment="1" applyProtection="1">
      <alignment horizontal="left" vertical="center" indent="1"/>
      <protection hidden="1"/>
    </xf>
    <xf numFmtId="3" fontId="0" fillId="35" borderId="19" xfId="0" applyNumberFormat="1" applyFill="1" applyBorder="1" applyAlignment="1" applyProtection="1">
      <alignment horizontal="center" vertical="center"/>
      <protection hidden="1"/>
    </xf>
    <xf numFmtId="4" fontId="0" fillId="35" borderId="21" xfId="0" applyNumberFormat="1" applyFill="1" applyBorder="1" applyAlignment="1" applyProtection="1">
      <alignment horizontal="center" vertical="center"/>
      <protection hidden="1"/>
    </xf>
    <xf numFmtId="0" fontId="29" fillId="59" borderId="69" xfId="0" applyFont="1" applyFill="1" applyBorder="1" applyAlignment="1" applyProtection="1">
      <alignment horizontal="left" vertical="center" indent="1"/>
      <protection hidden="1"/>
    </xf>
    <xf numFmtId="3" fontId="0" fillId="35" borderId="64" xfId="0" applyNumberFormat="1" applyFill="1" applyBorder="1" applyAlignment="1" applyProtection="1">
      <alignment horizontal="center" vertical="center"/>
      <protection hidden="1"/>
    </xf>
    <xf numFmtId="4" fontId="0" fillId="35" borderId="65" xfId="0" applyNumberFormat="1" applyFill="1" applyBorder="1" applyAlignment="1" applyProtection="1">
      <alignment horizontal="center" vertical="center"/>
      <protection hidden="1"/>
    </xf>
    <xf numFmtId="7" fontId="0" fillId="35" borderId="50" xfId="0" applyNumberFormat="1" applyFill="1" applyBorder="1" applyAlignment="1" applyProtection="1">
      <alignment horizontal="right" vertical="center"/>
      <protection hidden="1"/>
    </xf>
    <xf numFmtId="7" fontId="0" fillId="35" borderId="38" xfId="0" applyNumberFormat="1" applyFill="1" applyBorder="1" applyAlignment="1" applyProtection="1">
      <alignment horizontal="right" vertical="center"/>
      <protection hidden="1"/>
    </xf>
    <xf numFmtId="0" fontId="0" fillId="60" borderId="0" xfId="0" applyFill="1" applyProtection="1">
      <protection hidden="1"/>
    </xf>
    <xf numFmtId="0" fontId="0" fillId="60" borderId="0" xfId="0" applyFont="1" applyFill="1" applyProtection="1">
      <protection hidden="1"/>
    </xf>
    <xf numFmtId="0" fontId="55" fillId="34" borderId="0" xfId="0" applyFont="1" applyFill="1" applyBorder="1" applyAlignment="1" applyProtection="1">
      <protection hidden="1"/>
    </xf>
    <xf numFmtId="0" fontId="54" fillId="34" borderId="0" xfId="0" applyFont="1" applyFill="1" applyBorder="1" applyAlignment="1" applyProtection="1">
      <protection hidden="1"/>
    </xf>
    <xf numFmtId="0" fontId="19" fillId="34" borderId="0" xfId="0" applyFont="1" applyFill="1" applyBorder="1" applyAlignment="1" applyProtection="1">
      <protection hidden="1"/>
    </xf>
    <xf numFmtId="0" fontId="25" fillId="0" borderId="0" xfId="43" applyFont="1" applyBorder="1" applyAlignment="1" applyProtection="1">
      <alignment vertical="center"/>
      <protection hidden="1"/>
    </xf>
    <xf numFmtId="0" fontId="25" fillId="34" borderId="0" xfId="43" applyFont="1" applyFill="1" applyBorder="1" applyAlignment="1" applyProtection="1">
      <alignment vertical="center"/>
      <protection hidden="1"/>
    </xf>
    <xf numFmtId="0" fontId="16" fillId="34" borderId="0" xfId="0" applyFont="1" applyFill="1" applyBorder="1" applyAlignment="1" applyProtection="1">
      <alignment horizontal="left"/>
      <protection hidden="1"/>
    </xf>
    <xf numFmtId="0" fontId="0" fillId="34" borderId="0" xfId="0" applyFill="1" applyAlignment="1" applyProtection="1">
      <protection hidden="1"/>
    </xf>
    <xf numFmtId="0" fontId="50" fillId="34" borderId="0" xfId="0" applyFont="1" applyFill="1" applyBorder="1" applyAlignment="1" applyProtection="1">
      <alignment vertical="center" wrapText="1"/>
      <protection hidden="1"/>
    </xf>
    <xf numFmtId="0" fontId="0" fillId="35" borderId="10" xfId="0" applyFont="1" applyFill="1" applyBorder="1" applyAlignment="1" applyProtection="1">
      <alignment horizontal="left" vertical="center" wrapText="1" indent="1"/>
      <protection hidden="1"/>
    </xf>
    <xf numFmtId="0" fontId="0" fillId="34" borderId="16" xfId="0" applyFont="1" applyFill="1" applyBorder="1" applyAlignment="1" applyProtection="1">
      <alignment vertical="center" wrapText="1"/>
      <protection hidden="1"/>
    </xf>
    <xf numFmtId="0" fontId="0" fillId="34" borderId="18" xfId="0" applyFont="1" applyFill="1" applyBorder="1" applyAlignment="1" applyProtection="1">
      <alignment vertical="center" wrapText="1"/>
      <protection hidden="1"/>
    </xf>
    <xf numFmtId="0" fontId="0" fillId="34" borderId="16" xfId="0" applyFont="1" applyFill="1" applyBorder="1" applyAlignment="1" applyProtection="1">
      <alignment horizontal="left" vertical="center" wrapText="1"/>
      <protection hidden="1"/>
    </xf>
    <xf numFmtId="0" fontId="0" fillId="34" borderId="18" xfId="0" applyFont="1" applyFill="1" applyBorder="1" applyAlignment="1" applyProtection="1">
      <alignment horizontal="left" vertical="center" wrapText="1"/>
      <protection hidden="1"/>
    </xf>
    <xf numFmtId="0" fontId="22" fillId="34" borderId="0" xfId="43" applyFont="1" applyFill="1" applyAlignment="1" applyProtection="1">
      <alignment horizontal="left" vertical="center" wrapText="1"/>
      <protection hidden="1"/>
    </xf>
    <xf numFmtId="0" fontId="22" fillId="34" borderId="0" xfId="43" applyFont="1" applyFill="1" applyAlignment="1" applyProtection="1">
      <alignment vertical="center" wrapText="1"/>
      <protection hidden="1"/>
    </xf>
    <xf numFmtId="0" fontId="0" fillId="33" borderId="10" xfId="0" applyFont="1" applyFill="1" applyBorder="1" applyAlignment="1" applyProtection="1">
      <alignment horizontal="left" vertical="center" indent="1"/>
      <protection hidden="1"/>
    </xf>
    <xf numFmtId="0" fontId="52" fillId="34" borderId="0" xfId="0" applyFont="1" applyFill="1" applyAlignment="1">
      <alignment horizontal="left"/>
    </xf>
    <xf numFmtId="0" fontId="0" fillId="33" borderId="51"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29" fillId="34" borderId="0" xfId="0" applyFont="1" applyFill="1" applyBorder="1" applyAlignment="1" applyProtection="1">
      <alignment horizontal="center" vertical="center" wrapText="1"/>
      <protection hidden="1"/>
    </xf>
    <xf numFmtId="0" fontId="60" fillId="61" borderId="45" xfId="0" applyFont="1" applyFill="1" applyBorder="1" applyAlignment="1">
      <alignment horizontal="center" vertical="center" wrapText="1"/>
    </xf>
    <xf numFmtId="0" fontId="0" fillId="34" borderId="16" xfId="0" applyFont="1" applyFill="1" applyBorder="1" applyAlignment="1" applyProtection="1">
      <alignment vertical="center" wrapText="1"/>
      <protection hidden="1"/>
    </xf>
    <xf numFmtId="0" fontId="0" fillId="34" borderId="18" xfId="0" applyFont="1" applyFill="1" applyBorder="1" applyAlignment="1" applyProtection="1">
      <alignment vertical="center" wrapText="1"/>
      <protection hidden="1"/>
    </xf>
    <xf numFmtId="0" fontId="56" fillId="34" borderId="0" xfId="43" applyFont="1" applyFill="1" applyBorder="1" applyAlignment="1" applyProtection="1">
      <alignment horizontal="left" vertical="center"/>
      <protection hidden="1"/>
    </xf>
    <xf numFmtId="0" fontId="0" fillId="34" borderId="10" xfId="0" applyFont="1" applyFill="1" applyBorder="1" applyAlignment="1" applyProtection="1">
      <alignment vertical="center" wrapText="1"/>
      <protection hidden="1"/>
    </xf>
    <xf numFmtId="0" fontId="0" fillId="34" borderId="16" xfId="0" applyFont="1" applyFill="1" applyBorder="1" applyAlignment="1" applyProtection="1">
      <alignment horizontal="left" vertical="center" wrapText="1"/>
      <protection hidden="1"/>
    </xf>
    <xf numFmtId="0" fontId="0" fillId="34" borderId="18" xfId="0" applyFont="1" applyFill="1" applyBorder="1" applyAlignment="1" applyProtection="1">
      <alignment horizontal="left" vertical="center" wrapText="1"/>
      <protection hidden="1"/>
    </xf>
    <xf numFmtId="0" fontId="22" fillId="34" borderId="0" xfId="43" applyFont="1" applyFill="1" applyAlignment="1" applyProtection="1">
      <alignment horizontal="left" vertical="center" wrapText="1"/>
      <protection hidden="1"/>
    </xf>
    <xf numFmtId="0" fontId="22" fillId="34" borderId="0" xfId="43" applyFont="1" applyFill="1" applyAlignment="1" applyProtection="1">
      <alignment vertical="center" wrapText="1"/>
      <protection hidden="1"/>
    </xf>
    <xf numFmtId="0" fontId="56" fillId="34" borderId="22" xfId="43" applyFont="1" applyFill="1" applyBorder="1" applyAlignment="1" applyProtection="1">
      <alignment horizontal="left" vertical="center"/>
      <protection hidden="1"/>
    </xf>
    <xf numFmtId="0" fontId="0" fillId="33" borderId="10" xfId="0" applyFont="1" applyFill="1" applyBorder="1" applyAlignment="1" applyProtection="1">
      <alignment horizontal="left" vertical="center" indent="1"/>
      <protection hidden="1"/>
    </xf>
    <xf numFmtId="0" fontId="0" fillId="35" borderId="10" xfId="0" applyFont="1" applyFill="1" applyBorder="1" applyAlignment="1" applyProtection="1">
      <alignment horizontal="left" vertical="center" indent="1"/>
      <protection hidden="1"/>
    </xf>
    <xf numFmtId="0" fontId="53" fillId="34" borderId="0" xfId="0" applyFont="1" applyFill="1" applyAlignment="1">
      <alignment horizontal="left" vertical="center" wrapText="1"/>
    </xf>
    <xf numFmtId="0" fontId="52" fillId="34" borderId="0" xfId="0" applyFont="1" applyFill="1" applyAlignment="1">
      <alignment horizontal="left"/>
    </xf>
    <xf numFmtId="0" fontId="0" fillId="33" borderId="51"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0" fillId="33" borderId="54" xfId="0" applyFont="1" applyFill="1" applyBorder="1" applyAlignment="1" applyProtection="1">
      <alignment horizontal="left" vertical="center"/>
      <protection locked="0"/>
    </xf>
    <xf numFmtId="0" fontId="0" fillId="33" borderId="55" xfId="0" applyFont="1" applyFill="1" applyBorder="1" applyAlignment="1" applyProtection="1">
      <alignment horizontal="left" vertical="center"/>
      <protection locked="0"/>
    </xf>
    <xf numFmtId="0" fontId="57" fillId="34" borderId="0" xfId="0" applyFont="1" applyFill="1" applyBorder="1" applyAlignment="1" applyProtection="1">
      <alignment horizontal="left"/>
      <protection hidden="1"/>
    </xf>
    <xf numFmtId="0" fontId="29" fillId="34" borderId="0" xfId="0" applyFont="1" applyFill="1" applyBorder="1" applyAlignment="1" applyProtection="1">
      <alignment horizontal="left" vertical="center" wrapText="1"/>
      <protection hidden="1"/>
    </xf>
    <xf numFmtId="14" fontId="0" fillId="33" borderId="53" xfId="0" applyNumberFormat="1" applyFont="1" applyFill="1" applyBorder="1" applyAlignment="1" applyProtection="1">
      <alignment horizontal="left" vertical="center"/>
      <protection locked="0"/>
    </xf>
    <xf numFmtId="14" fontId="0" fillId="33" borderId="14" xfId="0" applyNumberFormat="1"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0" fillId="33" borderId="17" xfId="0" applyFont="1" applyFill="1" applyBorder="1" applyAlignment="1" applyProtection="1">
      <alignment horizontal="left" vertical="center"/>
      <protection locked="0"/>
    </xf>
    <xf numFmtId="166" fontId="0" fillId="33" borderId="18" xfId="0" applyNumberFormat="1" applyFont="1" applyFill="1" applyBorder="1" applyAlignment="1" applyProtection="1">
      <alignment horizontal="left" vertical="center"/>
      <protection locked="0"/>
    </xf>
    <xf numFmtId="166" fontId="0" fillId="33" borderId="17" xfId="0" applyNumberFormat="1" applyFont="1" applyFill="1" applyBorder="1" applyAlignment="1" applyProtection="1">
      <alignment horizontal="left" vertical="center"/>
      <protection locked="0"/>
    </xf>
    <xf numFmtId="0" fontId="50" fillId="36" borderId="71" xfId="0" applyFont="1" applyFill="1" applyBorder="1" applyAlignment="1" applyProtection="1">
      <alignment horizontal="center" vertical="center" wrapText="1"/>
      <protection hidden="1"/>
    </xf>
    <xf numFmtId="0" fontId="50" fillId="36" borderId="81" xfId="0" applyFont="1" applyFill="1" applyBorder="1" applyAlignment="1" applyProtection="1">
      <alignment horizontal="center" vertical="center" wrapText="1"/>
      <protection hidden="1"/>
    </xf>
    <xf numFmtId="0" fontId="50" fillId="36" borderId="60" xfId="0" applyFont="1" applyFill="1" applyBorder="1" applyAlignment="1" applyProtection="1">
      <alignment horizontal="left" vertical="center"/>
      <protection hidden="1"/>
    </xf>
    <xf numFmtId="0" fontId="50" fillId="36" borderId="56" xfId="0" applyFont="1" applyFill="1" applyBorder="1" applyAlignment="1" applyProtection="1">
      <alignment horizontal="left" vertical="center"/>
      <protection hidden="1"/>
    </xf>
    <xf numFmtId="0" fontId="50" fillId="36" borderId="63" xfId="0" applyFont="1" applyFill="1" applyBorder="1" applyAlignment="1" applyProtection="1">
      <alignment horizontal="left" vertical="center"/>
      <protection hidden="1"/>
    </xf>
    <xf numFmtId="14" fontId="50" fillId="36" borderId="52" xfId="0" applyNumberFormat="1" applyFont="1" applyFill="1" applyBorder="1" applyAlignment="1" applyProtection="1">
      <alignment horizontal="left" vertical="center"/>
      <protection hidden="1"/>
    </xf>
    <xf numFmtId="14" fontId="50" fillId="36" borderId="61" xfId="0" applyNumberFormat="1" applyFont="1" applyFill="1" applyBorder="1" applyAlignment="1" applyProtection="1">
      <alignment horizontal="left" vertical="center"/>
      <protection hidden="1"/>
    </xf>
    <xf numFmtId="14" fontId="50" fillId="36" borderId="62" xfId="0" applyNumberFormat="1" applyFont="1" applyFill="1" applyBorder="1" applyAlignment="1" applyProtection="1">
      <alignment horizontal="left" vertical="center"/>
      <protection hidden="1"/>
    </xf>
    <xf numFmtId="0" fontId="50" fillId="36" borderId="52" xfId="0" applyFont="1" applyFill="1" applyBorder="1" applyAlignment="1" applyProtection="1">
      <alignment horizontal="left" vertical="center"/>
      <protection hidden="1"/>
    </xf>
    <xf numFmtId="0" fontId="50" fillId="36" borderId="61" xfId="0" applyFont="1" applyFill="1" applyBorder="1" applyAlignment="1" applyProtection="1">
      <alignment horizontal="left" vertical="center"/>
      <protection hidden="1"/>
    </xf>
    <xf numFmtId="0" fontId="50" fillId="36" borderId="62" xfId="0" applyFont="1" applyFill="1" applyBorder="1" applyAlignment="1" applyProtection="1">
      <alignment horizontal="left" vertical="center"/>
      <protection hidden="1"/>
    </xf>
    <xf numFmtId="0" fontId="50" fillId="36" borderId="43" xfId="0" applyFont="1" applyFill="1" applyBorder="1" applyAlignment="1" applyProtection="1">
      <alignment horizontal="left" vertical="center"/>
      <protection hidden="1"/>
    </xf>
    <xf numFmtId="0" fontId="50" fillId="36" borderId="44" xfId="0" applyFont="1" applyFill="1" applyBorder="1" applyAlignment="1" applyProtection="1">
      <alignment horizontal="left" vertical="center"/>
      <protection hidden="1"/>
    </xf>
    <xf numFmtId="0" fontId="50" fillId="36" borderId="45" xfId="0" applyFont="1" applyFill="1" applyBorder="1" applyAlignment="1" applyProtection="1">
      <alignment horizontal="left" vertical="center"/>
      <protection hidden="1"/>
    </xf>
    <xf numFmtId="0" fontId="50" fillId="36" borderId="62" xfId="0" applyFont="1" applyFill="1" applyBorder="1" applyAlignment="1" applyProtection="1">
      <alignment horizontal="center" vertical="center" wrapText="1"/>
      <protection hidden="1"/>
    </xf>
    <xf numFmtId="0" fontId="50" fillId="36" borderId="83" xfId="0" applyFont="1" applyFill="1" applyBorder="1" applyAlignment="1" applyProtection="1">
      <alignment horizontal="center" vertical="center" wrapText="1"/>
      <protection hidden="1"/>
    </xf>
    <xf numFmtId="0" fontId="52" fillId="36" borderId="60" xfId="0" applyFont="1" applyFill="1" applyBorder="1" applyAlignment="1" applyProtection="1">
      <alignment horizontal="left" vertical="center"/>
      <protection hidden="1"/>
    </xf>
    <xf numFmtId="0" fontId="52" fillId="36" borderId="63" xfId="0" applyFont="1" applyFill="1" applyBorder="1" applyAlignment="1" applyProtection="1">
      <alignment horizontal="left" vertical="center"/>
      <protection hidden="1"/>
    </xf>
    <xf numFmtId="0" fontId="52" fillId="36" borderId="56" xfId="0" applyFont="1" applyFill="1" applyBorder="1" applyAlignment="1" applyProtection="1">
      <alignment horizontal="left" vertical="center"/>
      <protection hidden="1"/>
    </xf>
    <xf numFmtId="0" fontId="29" fillId="34" borderId="0" xfId="0" applyFont="1" applyFill="1" applyBorder="1" applyAlignment="1" applyProtection="1">
      <alignment horizontal="center" vertical="center" wrapText="1"/>
      <protection hidden="1"/>
    </xf>
    <xf numFmtId="0" fontId="52" fillId="36" borderId="43" xfId="0" applyFont="1" applyFill="1" applyBorder="1" applyAlignment="1" applyProtection="1">
      <alignment horizontal="left" vertical="center"/>
      <protection hidden="1"/>
    </xf>
    <xf numFmtId="0" fontId="52" fillId="36" borderId="44" xfId="0" applyFont="1" applyFill="1" applyBorder="1" applyAlignment="1" applyProtection="1">
      <alignment horizontal="left" vertical="center"/>
      <protection hidden="1"/>
    </xf>
    <xf numFmtId="0" fontId="52" fillId="36" borderId="45" xfId="0" applyFont="1" applyFill="1" applyBorder="1" applyAlignment="1" applyProtection="1">
      <alignment horizontal="left" vertical="center"/>
      <protection hidden="1"/>
    </xf>
    <xf numFmtId="14" fontId="50" fillId="36" borderId="43" xfId="0" applyNumberFormat="1" applyFont="1" applyFill="1" applyBorder="1" applyAlignment="1" applyProtection="1">
      <alignment horizontal="left" vertical="center"/>
      <protection hidden="1"/>
    </xf>
    <xf numFmtId="14" fontId="50" fillId="36" borderId="44" xfId="0" applyNumberFormat="1" applyFont="1" applyFill="1" applyBorder="1" applyAlignment="1" applyProtection="1">
      <alignment horizontal="left" vertical="center"/>
      <protection hidden="1"/>
    </xf>
    <xf numFmtId="14" fontId="50" fillId="36" borderId="45" xfId="0" applyNumberFormat="1" applyFont="1" applyFill="1" applyBorder="1" applyAlignment="1" applyProtection="1">
      <alignment horizontal="left" vertical="center"/>
      <protection hidden="1"/>
    </xf>
    <xf numFmtId="14" fontId="50" fillId="36" borderId="71" xfId="0" applyNumberFormat="1" applyFont="1" applyFill="1" applyBorder="1" applyAlignment="1" applyProtection="1">
      <alignment horizontal="center" vertical="center" wrapText="1"/>
      <protection hidden="1"/>
    </xf>
    <xf numFmtId="14" fontId="50" fillId="36" borderId="72" xfId="0" applyNumberFormat="1" applyFont="1" applyFill="1" applyBorder="1" applyAlignment="1" applyProtection="1">
      <alignment horizontal="center" vertical="center" wrapText="1"/>
      <protection hidden="1"/>
    </xf>
    <xf numFmtId="0" fontId="50" fillId="36" borderId="72" xfId="0" applyFont="1" applyFill="1" applyBorder="1" applyAlignment="1" applyProtection="1">
      <alignment horizontal="center" vertical="center" wrapText="1"/>
      <protection hidden="1"/>
    </xf>
    <xf numFmtId="0" fontId="18" fillId="36" borderId="43" xfId="0" applyFont="1" applyFill="1" applyBorder="1" applyAlignment="1">
      <alignment horizontal="left"/>
    </xf>
    <xf numFmtId="0" fontId="18" fillId="36" borderId="44" xfId="0" applyFont="1" applyFill="1" applyBorder="1" applyAlignment="1">
      <alignment horizontal="left"/>
    </xf>
    <xf numFmtId="0" fontId="18" fillId="36" borderId="45" xfId="0" applyFont="1" applyFill="1" applyBorder="1" applyAlignment="1">
      <alignment horizontal="left"/>
    </xf>
    <xf numFmtId="0" fontId="59" fillId="61" borderId="71" xfId="0" applyFont="1" applyFill="1" applyBorder="1" applyAlignment="1">
      <alignment horizontal="left" vertical="center" wrapText="1"/>
    </xf>
    <xf numFmtId="0" fontId="59" fillId="61" borderId="72" xfId="0" applyFont="1" applyFill="1" applyBorder="1" applyAlignment="1">
      <alignment horizontal="left" vertical="center" wrapText="1"/>
    </xf>
    <xf numFmtId="0" fontId="60" fillId="61" borderId="43" xfId="0" applyFont="1" applyFill="1" applyBorder="1" applyAlignment="1">
      <alignment horizontal="center" vertical="center" wrapText="1"/>
    </xf>
    <xf numFmtId="0" fontId="60" fillId="61" borderId="45" xfId="0" applyFont="1" applyFill="1" applyBorder="1" applyAlignment="1">
      <alignment horizontal="center" vertical="center" wrapText="1"/>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8" fillId="36" borderId="75" xfId="0" applyFont="1" applyFill="1" applyBorder="1" applyAlignment="1">
      <alignment horizontal="center"/>
    </xf>
    <xf numFmtId="0" fontId="18" fillId="36" borderId="0" xfId="0" applyFont="1" applyFill="1" applyBorder="1" applyAlignment="1">
      <alignment horizontal="center"/>
    </xf>
    <xf numFmtId="0" fontId="18" fillId="36" borderId="75" xfId="0" applyFont="1" applyFill="1" applyBorder="1" applyAlignment="1">
      <alignment horizontal="left"/>
    </xf>
    <xf numFmtId="0" fontId="18" fillId="36" borderId="0" xfId="0" applyFont="1" applyFill="1" applyBorder="1" applyAlignment="1">
      <alignment horizontal="left"/>
    </xf>
    <xf numFmtId="0" fontId="18" fillId="36" borderId="43" xfId="0" applyFont="1" applyFill="1" applyBorder="1" applyAlignment="1">
      <alignment horizontal="left" vertical="center"/>
    </xf>
    <xf numFmtId="0" fontId="18" fillId="36" borderId="44" xfId="0" applyFont="1" applyFill="1" applyBorder="1" applyAlignment="1">
      <alignment horizontal="left" vertical="center"/>
    </xf>
    <xf numFmtId="0" fontId="18" fillId="36" borderId="45" xfId="0" applyFont="1" applyFill="1" applyBorder="1" applyAlignment="1">
      <alignment horizontal="left" vertical="center"/>
    </xf>
    <xf numFmtId="0" fontId="18" fillId="36" borderId="48" xfId="0" applyFont="1" applyFill="1" applyBorder="1" applyAlignment="1">
      <alignment horizontal="left"/>
    </xf>
    <xf numFmtId="0" fontId="18" fillId="36" borderId="49" xfId="0" applyFont="1" applyFill="1" applyBorder="1" applyAlignment="1">
      <alignment horizontal="left"/>
    </xf>
    <xf numFmtId="0" fontId="18" fillId="36" borderId="50" xfId="0" applyFont="1" applyFill="1" applyBorder="1" applyAlignment="1">
      <alignment horizontal="left"/>
    </xf>
    <xf numFmtId="0" fontId="18" fillId="0" borderId="0" xfId="0" applyFont="1" applyFill="1" applyBorder="1" applyAlignment="1">
      <alignment horizontal="left"/>
    </xf>
    <xf numFmtId="0" fontId="18" fillId="59" borderId="43" xfId="0" applyFont="1" applyFill="1" applyBorder="1" applyAlignment="1">
      <alignment horizontal="left"/>
    </xf>
    <xf numFmtId="0" fontId="18" fillId="59" borderId="45" xfId="0" applyFont="1" applyFill="1" applyBorder="1" applyAlignment="1">
      <alignment horizontal="left"/>
    </xf>
    <xf numFmtId="0" fontId="26" fillId="34" borderId="0" xfId="43" applyFont="1" applyFill="1" applyBorder="1" applyAlignment="1" applyProtection="1">
      <alignment horizontal="left" vertical="center"/>
      <protection hidden="1"/>
    </xf>
  </cellXfs>
  <cellStyles count="1999">
    <cellStyle name="20% - Accent1" xfId="20" builtinId="30" customBuiltin="1"/>
    <cellStyle name="20% - Accent1 2" xfId="56" xr:uid="{00000000-0005-0000-0000-000001000000}"/>
    <cellStyle name="20% - Accent2" xfId="24" builtinId="34" customBuiltin="1"/>
    <cellStyle name="20% - Accent2 2" xfId="57" xr:uid="{00000000-0005-0000-0000-000003000000}"/>
    <cellStyle name="20% - Accent3" xfId="28" builtinId="38" customBuiltin="1"/>
    <cellStyle name="20% - Accent3 2" xfId="58" xr:uid="{00000000-0005-0000-0000-000005000000}"/>
    <cellStyle name="20% - Accent4" xfId="32" builtinId="42" customBuiltin="1"/>
    <cellStyle name="20% - Accent4 2" xfId="59" xr:uid="{00000000-0005-0000-0000-000007000000}"/>
    <cellStyle name="20% - Accent5" xfId="36" builtinId="46" customBuiltin="1"/>
    <cellStyle name="20% - Accent5 2" xfId="60" xr:uid="{00000000-0005-0000-0000-000009000000}"/>
    <cellStyle name="20% - Accent6" xfId="40" builtinId="50" customBuiltin="1"/>
    <cellStyle name="20% - Accent6 2" xfId="61" xr:uid="{00000000-0005-0000-0000-00000B000000}"/>
    <cellStyle name="40% - Accent1" xfId="21" builtinId="31" customBuiltin="1"/>
    <cellStyle name="40% - Accent1 2" xfId="62" xr:uid="{00000000-0005-0000-0000-00000D000000}"/>
    <cellStyle name="40% - Accent2" xfId="25" builtinId="35" customBuiltin="1"/>
    <cellStyle name="40% - Accent2 2" xfId="63" xr:uid="{00000000-0005-0000-0000-00000F000000}"/>
    <cellStyle name="40% - Accent3" xfId="29" builtinId="39" customBuiltin="1"/>
    <cellStyle name="40% - Accent3 2" xfId="64" xr:uid="{00000000-0005-0000-0000-000011000000}"/>
    <cellStyle name="40% - Accent4" xfId="33" builtinId="43" customBuiltin="1"/>
    <cellStyle name="40% - Accent4 2" xfId="65" xr:uid="{00000000-0005-0000-0000-000013000000}"/>
    <cellStyle name="40% - Accent5" xfId="37" builtinId="47" customBuiltin="1"/>
    <cellStyle name="40% - Accent5 2" xfId="66" xr:uid="{00000000-0005-0000-0000-000015000000}"/>
    <cellStyle name="40% - Accent6" xfId="41" builtinId="51" customBuiltin="1"/>
    <cellStyle name="40% - Accent6 2" xfId="67" xr:uid="{00000000-0005-0000-0000-000017000000}"/>
    <cellStyle name="60% - Accent1" xfId="22" builtinId="32" customBuiltin="1"/>
    <cellStyle name="60% - Accent1 2" xfId="68" xr:uid="{00000000-0005-0000-0000-000019000000}"/>
    <cellStyle name="60% - Accent2" xfId="26" builtinId="36" customBuiltin="1"/>
    <cellStyle name="60% - Accent2 2" xfId="69" xr:uid="{00000000-0005-0000-0000-00001B000000}"/>
    <cellStyle name="60% - Accent3" xfId="30" builtinId="40" customBuiltin="1"/>
    <cellStyle name="60% - Accent3 2" xfId="70" xr:uid="{00000000-0005-0000-0000-00001D000000}"/>
    <cellStyle name="60% - Accent4" xfId="34" builtinId="44" customBuiltin="1"/>
    <cellStyle name="60% - Accent4 2" xfId="71" xr:uid="{00000000-0005-0000-0000-00001F000000}"/>
    <cellStyle name="60% - Accent5" xfId="38" builtinId="48" customBuiltin="1"/>
    <cellStyle name="60% - Accent5 2" xfId="72" xr:uid="{00000000-0005-0000-0000-000021000000}"/>
    <cellStyle name="60% - Accent6" xfId="42" builtinId="52" customBuiltin="1"/>
    <cellStyle name="60% - Accent6 2" xfId="73" xr:uid="{00000000-0005-0000-0000-000023000000}"/>
    <cellStyle name="Accent1" xfId="19" builtinId="29" customBuiltin="1"/>
    <cellStyle name="Accent1 2" xfId="74" xr:uid="{00000000-0005-0000-0000-000025000000}"/>
    <cellStyle name="Accent2" xfId="23" builtinId="33" customBuiltin="1"/>
    <cellStyle name="Accent2 2" xfId="75" xr:uid="{00000000-0005-0000-0000-000027000000}"/>
    <cellStyle name="Accent3" xfId="27" builtinId="37" customBuiltin="1"/>
    <cellStyle name="Accent3 2" xfId="76" xr:uid="{00000000-0005-0000-0000-000029000000}"/>
    <cellStyle name="Accent4" xfId="31" builtinId="41" customBuiltin="1"/>
    <cellStyle name="Accent4 2" xfId="77" xr:uid="{00000000-0005-0000-0000-00002B000000}"/>
    <cellStyle name="Accent5" xfId="35" builtinId="45" customBuiltin="1"/>
    <cellStyle name="Accent5 2" xfId="78" xr:uid="{00000000-0005-0000-0000-00002D000000}"/>
    <cellStyle name="Accent6" xfId="39" builtinId="49" customBuiltin="1"/>
    <cellStyle name="Accent6 2" xfId="79" xr:uid="{00000000-0005-0000-0000-00002F000000}"/>
    <cellStyle name="Bad" xfId="8" builtinId="27" customBuiltin="1"/>
    <cellStyle name="Bad 2" xfId="80" xr:uid="{00000000-0005-0000-0000-000031000000}"/>
    <cellStyle name="Calculation" xfId="12" builtinId="22" customBuiltin="1"/>
    <cellStyle name="Calculation 2" xfId="81" xr:uid="{00000000-0005-0000-0000-000033000000}"/>
    <cellStyle name="Check Cell" xfId="14" builtinId="23" customBuiltin="1"/>
    <cellStyle name="Check Cell 2" xfId="82" xr:uid="{00000000-0005-0000-0000-000035000000}"/>
    <cellStyle name="Comma" xfId="1" builtinId="3"/>
    <cellStyle name="Comma 2" xfId="45" xr:uid="{00000000-0005-0000-0000-000037000000}"/>
    <cellStyle name="Comma 2 2" xfId="46" xr:uid="{00000000-0005-0000-0000-000038000000}"/>
    <cellStyle name="Comma 3" xfId="47" xr:uid="{00000000-0005-0000-0000-000039000000}"/>
    <cellStyle name="Comma 4" xfId="48" xr:uid="{00000000-0005-0000-0000-00003A000000}"/>
    <cellStyle name="Comma 5" xfId="44" xr:uid="{00000000-0005-0000-0000-00003B000000}"/>
    <cellStyle name="Currency 2" xfId="83" xr:uid="{00000000-0005-0000-0000-00003C000000}"/>
    <cellStyle name="Currency 3" xfId="84" xr:uid="{00000000-0005-0000-0000-00003D000000}"/>
    <cellStyle name="Explanatory Text" xfId="17" builtinId="53" customBuiltin="1"/>
    <cellStyle name="Explanatory Text 2" xfId="85" xr:uid="{00000000-0005-0000-0000-00003F000000}"/>
    <cellStyle name="Good" xfId="7" builtinId="26" customBuiltin="1"/>
    <cellStyle name="Good 2" xfId="86" xr:uid="{00000000-0005-0000-0000-000041000000}"/>
    <cellStyle name="Heading 1" xfId="3" builtinId="16" customBuiltin="1"/>
    <cellStyle name="Heading 1 2" xfId="87" xr:uid="{00000000-0005-0000-0000-000043000000}"/>
    <cellStyle name="Heading 2" xfId="4" builtinId="17" customBuiltin="1"/>
    <cellStyle name="Heading 2 2" xfId="88" xr:uid="{00000000-0005-0000-0000-000045000000}"/>
    <cellStyle name="Heading 3" xfId="5" builtinId="18" customBuiltin="1"/>
    <cellStyle name="Heading 3 2" xfId="89" xr:uid="{00000000-0005-0000-0000-000047000000}"/>
    <cellStyle name="Heading 4" xfId="6" builtinId="19" customBuiltin="1"/>
    <cellStyle name="Heading 4 2" xfId="90" xr:uid="{00000000-0005-0000-0000-000049000000}"/>
    <cellStyle name="Input" xfId="10" builtinId="20" customBuiltin="1"/>
    <cellStyle name="Input 2" xfId="91" xr:uid="{00000000-0005-0000-0000-00004B000000}"/>
    <cellStyle name="Linked Cell" xfId="13" builtinId="24" customBuiltin="1"/>
    <cellStyle name="Linked Cell 2" xfId="92" xr:uid="{00000000-0005-0000-0000-00004D000000}"/>
    <cellStyle name="Neutral" xfId="9" builtinId="28" customBuiltin="1"/>
    <cellStyle name="Neutral 2" xfId="93" xr:uid="{00000000-0005-0000-0000-00004F000000}"/>
    <cellStyle name="Normal" xfId="0" builtinId="0"/>
    <cellStyle name="Normal 2" xfId="49" xr:uid="{00000000-0005-0000-0000-000051000000}"/>
    <cellStyle name="Normal 2 10" xfId="94" xr:uid="{00000000-0005-0000-0000-000052000000}"/>
    <cellStyle name="Normal 2 10 10" xfId="95" xr:uid="{00000000-0005-0000-0000-000053000000}"/>
    <cellStyle name="Normal 2 10 11" xfId="96" xr:uid="{00000000-0005-0000-0000-000054000000}"/>
    <cellStyle name="Normal 2 10 12" xfId="97" xr:uid="{00000000-0005-0000-0000-000055000000}"/>
    <cellStyle name="Normal 2 10 13" xfId="98" xr:uid="{00000000-0005-0000-0000-000056000000}"/>
    <cellStyle name="Normal 2 10 14" xfId="99" xr:uid="{00000000-0005-0000-0000-000057000000}"/>
    <cellStyle name="Normal 2 10 15" xfId="100" xr:uid="{00000000-0005-0000-0000-000058000000}"/>
    <cellStyle name="Normal 2 10 16" xfId="101" xr:uid="{00000000-0005-0000-0000-000059000000}"/>
    <cellStyle name="Normal 2 10 17" xfId="102" xr:uid="{00000000-0005-0000-0000-00005A000000}"/>
    <cellStyle name="Normal 2 10 18" xfId="103" xr:uid="{00000000-0005-0000-0000-00005B000000}"/>
    <cellStyle name="Normal 2 10 19" xfId="104" xr:uid="{00000000-0005-0000-0000-00005C000000}"/>
    <cellStyle name="Normal 2 10 2" xfId="105" xr:uid="{00000000-0005-0000-0000-00005D000000}"/>
    <cellStyle name="Normal 2 10 20" xfId="106" xr:uid="{00000000-0005-0000-0000-00005E000000}"/>
    <cellStyle name="Normal 2 10 21" xfId="107" xr:uid="{00000000-0005-0000-0000-00005F000000}"/>
    <cellStyle name="Normal 2 10 22" xfId="108" xr:uid="{00000000-0005-0000-0000-000060000000}"/>
    <cellStyle name="Normal 2 10 23" xfId="109" xr:uid="{00000000-0005-0000-0000-000061000000}"/>
    <cellStyle name="Normal 2 10 3" xfId="110" xr:uid="{00000000-0005-0000-0000-000062000000}"/>
    <cellStyle name="Normal 2 10 4" xfId="111" xr:uid="{00000000-0005-0000-0000-000063000000}"/>
    <cellStyle name="Normal 2 10 5" xfId="112" xr:uid="{00000000-0005-0000-0000-000064000000}"/>
    <cellStyle name="Normal 2 10 6" xfId="113" xr:uid="{00000000-0005-0000-0000-000065000000}"/>
    <cellStyle name="Normal 2 10 7" xfId="114" xr:uid="{00000000-0005-0000-0000-000066000000}"/>
    <cellStyle name="Normal 2 10 8" xfId="115" xr:uid="{00000000-0005-0000-0000-000067000000}"/>
    <cellStyle name="Normal 2 10 9" xfId="116" xr:uid="{00000000-0005-0000-0000-000068000000}"/>
    <cellStyle name="Normal 2 11" xfId="117" xr:uid="{00000000-0005-0000-0000-000069000000}"/>
    <cellStyle name="Normal 2 11 10" xfId="118" xr:uid="{00000000-0005-0000-0000-00006A000000}"/>
    <cellStyle name="Normal 2 11 11" xfId="119" xr:uid="{00000000-0005-0000-0000-00006B000000}"/>
    <cellStyle name="Normal 2 11 12" xfId="120" xr:uid="{00000000-0005-0000-0000-00006C000000}"/>
    <cellStyle name="Normal 2 11 13" xfId="121" xr:uid="{00000000-0005-0000-0000-00006D000000}"/>
    <cellStyle name="Normal 2 11 14" xfId="122" xr:uid="{00000000-0005-0000-0000-00006E000000}"/>
    <cellStyle name="Normal 2 11 15" xfId="123" xr:uid="{00000000-0005-0000-0000-00006F000000}"/>
    <cellStyle name="Normal 2 11 16" xfId="124" xr:uid="{00000000-0005-0000-0000-000070000000}"/>
    <cellStyle name="Normal 2 11 17" xfId="125" xr:uid="{00000000-0005-0000-0000-000071000000}"/>
    <cellStyle name="Normal 2 11 18" xfId="126" xr:uid="{00000000-0005-0000-0000-000072000000}"/>
    <cellStyle name="Normal 2 11 19" xfId="127" xr:uid="{00000000-0005-0000-0000-000073000000}"/>
    <cellStyle name="Normal 2 11 2" xfId="128" xr:uid="{00000000-0005-0000-0000-000074000000}"/>
    <cellStyle name="Normal 2 11 20" xfId="129" xr:uid="{00000000-0005-0000-0000-000075000000}"/>
    <cellStyle name="Normal 2 11 21" xfId="130" xr:uid="{00000000-0005-0000-0000-000076000000}"/>
    <cellStyle name="Normal 2 11 22" xfId="131" xr:uid="{00000000-0005-0000-0000-000077000000}"/>
    <cellStyle name="Normal 2 11 23" xfId="132" xr:uid="{00000000-0005-0000-0000-000078000000}"/>
    <cellStyle name="Normal 2 11 3" xfId="133" xr:uid="{00000000-0005-0000-0000-000079000000}"/>
    <cellStyle name="Normal 2 11 4" xfId="134" xr:uid="{00000000-0005-0000-0000-00007A000000}"/>
    <cellStyle name="Normal 2 11 5" xfId="135" xr:uid="{00000000-0005-0000-0000-00007B000000}"/>
    <cellStyle name="Normal 2 11 6" xfId="136" xr:uid="{00000000-0005-0000-0000-00007C000000}"/>
    <cellStyle name="Normal 2 11 7" xfId="137" xr:uid="{00000000-0005-0000-0000-00007D000000}"/>
    <cellStyle name="Normal 2 11 8" xfId="138" xr:uid="{00000000-0005-0000-0000-00007E000000}"/>
    <cellStyle name="Normal 2 11 9" xfId="139" xr:uid="{00000000-0005-0000-0000-00007F000000}"/>
    <cellStyle name="Normal 2 12" xfId="140" xr:uid="{00000000-0005-0000-0000-000080000000}"/>
    <cellStyle name="Normal 2 12 10" xfId="141" xr:uid="{00000000-0005-0000-0000-000081000000}"/>
    <cellStyle name="Normal 2 12 11" xfId="142" xr:uid="{00000000-0005-0000-0000-000082000000}"/>
    <cellStyle name="Normal 2 12 12" xfId="143" xr:uid="{00000000-0005-0000-0000-000083000000}"/>
    <cellStyle name="Normal 2 12 13" xfId="144" xr:uid="{00000000-0005-0000-0000-000084000000}"/>
    <cellStyle name="Normal 2 12 14" xfId="145" xr:uid="{00000000-0005-0000-0000-000085000000}"/>
    <cellStyle name="Normal 2 12 15" xfId="146" xr:uid="{00000000-0005-0000-0000-000086000000}"/>
    <cellStyle name="Normal 2 12 16" xfId="147" xr:uid="{00000000-0005-0000-0000-000087000000}"/>
    <cellStyle name="Normal 2 12 17" xfId="148" xr:uid="{00000000-0005-0000-0000-000088000000}"/>
    <cellStyle name="Normal 2 12 18" xfId="149" xr:uid="{00000000-0005-0000-0000-000089000000}"/>
    <cellStyle name="Normal 2 12 19" xfId="150" xr:uid="{00000000-0005-0000-0000-00008A000000}"/>
    <cellStyle name="Normal 2 12 2" xfId="151" xr:uid="{00000000-0005-0000-0000-00008B000000}"/>
    <cellStyle name="Normal 2 12 20" xfId="152" xr:uid="{00000000-0005-0000-0000-00008C000000}"/>
    <cellStyle name="Normal 2 12 21" xfId="153" xr:uid="{00000000-0005-0000-0000-00008D000000}"/>
    <cellStyle name="Normal 2 12 22" xfId="154" xr:uid="{00000000-0005-0000-0000-00008E000000}"/>
    <cellStyle name="Normal 2 12 23" xfId="155" xr:uid="{00000000-0005-0000-0000-00008F000000}"/>
    <cellStyle name="Normal 2 12 3" xfId="156" xr:uid="{00000000-0005-0000-0000-000090000000}"/>
    <cellStyle name="Normal 2 12 4" xfId="157" xr:uid="{00000000-0005-0000-0000-000091000000}"/>
    <cellStyle name="Normal 2 12 5" xfId="158" xr:uid="{00000000-0005-0000-0000-000092000000}"/>
    <cellStyle name="Normal 2 12 6" xfId="159" xr:uid="{00000000-0005-0000-0000-000093000000}"/>
    <cellStyle name="Normal 2 12 7" xfId="160" xr:uid="{00000000-0005-0000-0000-000094000000}"/>
    <cellStyle name="Normal 2 12 8" xfId="161" xr:uid="{00000000-0005-0000-0000-000095000000}"/>
    <cellStyle name="Normal 2 12 9" xfId="162" xr:uid="{00000000-0005-0000-0000-000096000000}"/>
    <cellStyle name="Normal 2 13" xfId="163" xr:uid="{00000000-0005-0000-0000-000097000000}"/>
    <cellStyle name="Normal 2 13 10" xfId="164" xr:uid="{00000000-0005-0000-0000-000098000000}"/>
    <cellStyle name="Normal 2 13 11" xfId="165" xr:uid="{00000000-0005-0000-0000-000099000000}"/>
    <cellStyle name="Normal 2 13 12" xfId="166" xr:uid="{00000000-0005-0000-0000-00009A000000}"/>
    <cellStyle name="Normal 2 13 13" xfId="167" xr:uid="{00000000-0005-0000-0000-00009B000000}"/>
    <cellStyle name="Normal 2 13 14" xfId="168" xr:uid="{00000000-0005-0000-0000-00009C000000}"/>
    <cellStyle name="Normal 2 13 15" xfId="169" xr:uid="{00000000-0005-0000-0000-00009D000000}"/>
    <cellStyle name="Normal 2 13 16" xfId="170" xr:uid="{00000000-0005-0000-0000-00009E000000}"/>
    <cellStyle name="Normal 2 13 17" xfId="171" xr:uid="{00000000-0005-0000-0000-00009F000000}"/>
    <cellStyle name="Normal 2 13 18" xfId="172" xr:uid="{00000000-0005-0000-0000-0000A0000000}"/>
    <cellStyle name="Normal 2 13 19" xfId="173" xr:uid="{00000000-0005-0000-0000-0000A1000000}"/>
    <cellStyle name="Normal 2 13 2" xfId="174" xr:uid="{00000000-0005-0000-0000-0000A2000000}"/>
    <cellStyle name="Normal 2 13 20" xfId="175" xr:uid="{00000000-0005-0000-0000-0000A3000000}"/>
    <cellStyle name="Normal 2 13 21" xfId="176" xr:uid="{00000000-0005-0000-0000-0000A4000000}"/>
    <cellStyle name="Normal 2 13 22" xfId="177" xr:uid="{00000000-0005-0000-0000-0000A5000000}"/>
    <cellStyle name="Normal 2 13 23" xfId="178" xr:uid="{00000000-0005-0000-0000-0000A6000000}"/>
    <cellStyle name="Normal 2 13 3" xfId="179" xr:uid="{00000000-0005-0000-0000-0000A7000000}"/>
    <cellStyle name="Normal 2 13 4" xfId="180" xr:uid="{00000000-0005-0000-0000-0000A8000000}"/>
    <cellStyle name="Normal 2 13 5" xfId="181" xr:uid="{00000000-0005-0000-0000-0000A9000000}"/>
    <cellStyle name="Normal 2 13 6" xfId="182" xr:uid="{00000000-0005-0000-0000-0000AA000000}"/>
    <cellStyle name="Normal 2 13 7" xfId="183" xr:uid="{00000000-0005-0000-0000-0000AB000000}"/>
    <cellStyle name="Normal 2 13 8" xfId="184" xr:uid="{00000000-0005-0000-0000-0000AC000000}"/>
    <cellStyle name="Normal 2 13 9" xfId="185" xr:uid="{00000000-0005-0000-0000-0000AD000000}"/>
    <cellStyle name="Normal 2 14" xfId="186" xr:uid="{00000000-0005-0000-0000-0000AE000000}"/>
    <cellStyle name="Normal 2 14 10" xfId="187" xr:uid="{00000000-0005-0000-0000-0000AF000000}"/>
    <cellStyle name="Normal 2 14 11" xfId="188" xr:uid="{00000000-0005-0000-0000-0000B0000000}"/>
    <cellStyle name="Normal 2 14 12" xfId="189" xr:uid="{00000000-0005-0000-0000-0000B1000000}"/>
    <cellStyle name="Normal 2 14 13" xfId="190" xr:uid="{00000000-0005-0000-0000-0000B2000000}"/>
    <cellStyle name="Normal 2 14 14" xfId="191" xr:uid="{00000000-0005-0000-0000-0000B3000000}"/>
    <cellStyle name="Normal 2 14 15" xfId="192" xr:uid="{00000000-0005-0000-0000-0000B4000000}"/>
    <cellStyle name="Normal 2 14 16" xfId="193" xr:uid="{00000000-0005-0000-0000-0000B5000000}"/>
    <cellStyle name="Normal 2 14 17" xfId="194" xr:uid="{00000000-0005-0000-0000-0000B6000000}"/>
    <cellStyle name="Normal 2 14 18" xfId="195" xr:uid="{00000000-0005-0000-0000-0000B7000000}"/>
    <cellStyle name="Normal 2 14 19" xfId="196" xr:uid="{00000000-0005-0000-0000-0000B8000000}"/>
    <cellStyle name="Normal 2 14 2" xfId="197" xr:uid="{00000000-0005-0000-0000-0000B9000000}"/>
    <cellStyle name="Normal 2 14 20" xfId="198" xr:uid="{00000000-0005-0000-0000-0000BA000000}"/>
    <cellStyle name="Normal 2 14 21" xfId="199" xr:uid="{00000000-0005-0000-0000-0000BB000000}"/>
    <cellStyle name="Normal 2 14 22" xfId="200" xr:uid="{00000000-0005-0000-0000-0000BC000000}"/>
    <cellStyle name="Normal 2 14 23" xfId="201" xr:uid="{00000000-0005-0000-0000-0000BD000000}"/>
    <cellStyle name="Normal 2 14 3" xfId="202" xr:uid="{00000000-0005-0000-0000-0000BE000000}"/>
    <cellStyle name="Normal 2 14 4" xfId="203" xr:uid="{00000000-0005-0000-0000-0000BF000000}"/>
    <cellStyle name="Normal 2 14 5" xfId="204" xr:uid="{00000000-0005-0000-0000-0000C0000000}"/>
    <cellStyle name="Normal 2 14 6" xfId="205" xr:uid="{00000000-0005-0000-0000-0000C1000000}"/>
    <cellStyle name="Normal 2 14 7" xfId="206" xr:uid="{00000000-0005-0000-0000-0000C2000000}"/>
    <cellStyle name="Normal 2 14 8" xfId="207" xr:uid="{00000000-0005-0000-0000-0000C3000000}"/>
    <cellStyle name="Normal 2 14 9" xfId="208" xr:uid="{00000000-0005-0000-0000-0000C4000000}"/>
    <cellStyle name="Normal 2 15" xfId="209" xr:uid="{00000000-0005-0000-0000-0000C5000000}"/>
    <cellStyle name="Normal 2 15 10" xfId="210" xr:uid="{00000000-0005-0000-0000-0000C6000000}"/>
    <cellStyle name="Normal 2 15 11" xfId="211" xr:uid="{00000000-0005-0000-0000-0000C7000000}"/>
    <cellStyle name="Normal 2 15 12" xfId="212" xr:uid="{00000000-0005-0000-0000-0000C8000000}"/>
    <cellStyle name="Normal 2 15 13" xfId="213" xr:uid="{00000000-0005-0000-0000-0000C9000000}"/>
    <cellStyle name="Normal 2 15 14" xfId="214" xr:uid="{00000000-0005-0000-0000-0000CA000000}"/>
    <cellStyle name="Normal 2 15 15" xfId="215" xr:uid="{00000000-0005-0000-0000-0000CB000000}"/>
    <cellStyle name="Normal 2 15 16" xfId="216" xr:uid="{00000000-0005-0000-0000-0000CC000000}"/>
    <cellStyle name="Normal 2 15 17" xfId="217" xr:uid="{00000000-0005-0000-0000-0000CD000000}"/>
    <cellStyle name="Normal 2 15 18" xfId="218" xr:uid="{00000000-0005-0000-0000-0000CE000000}"/>
    <cellStyle name="Normal 2 15 19" xfId="219" xr:uid="{00000000-0005-0000-0000-0000CF000000}"/>
    <cellStyle name="Normal 2 15 2" xfId="220" xr:uid="{00000000-0005-0000-0000-0000D0000000}"/>
    <cellStyle name="Normal 2 15 20" xfId="221" xr:uid="{00000000-0005-0000-0000-0000D1000000}"/>
    <cellStyle name="Normal 2 15 21" xfId="222" xr:uid="{00000000-0005-0000-0000-0000D2000000}"/>
    <cellStyle name="Normal 2 15 22" xfId="223" xr:uid="{00000000-0005-0000-0000-0000D3000000}"/>
    <cellStyle name="Normal 2 15 23" xfId="224" xr:uid="{00000000-0005-0000-0000-0000D4000000}"/>
    <cellStyle name="Normal 2 15 3" xfId="225" xr:uid="{00000000-0005-0000-0000-0000D5000000}"/>
    <cellStyle name="Normal 2 15 4" xfId="226" xr:uid="{00000000-0005-0000-0000-0000D6000000}"/>
    <cellStyle name="Normal 2 15 5" xfId="227" xr:uid="{00000000-0005-0000-0000-0000D7000000}"/>
    <cellStyle name="Normal 2 15 6" xfId="228" xr:uid="{00000000-0005-0000-0000-0000D8000000}"/>
    <cellStyle name="Normal 2 15 7" xfId="229" xr:uid="{00000000-0005-0000-0000-0000D9000000}"/>
    <cellStyle name="Normal 2 15 8" xfId="230" xr:uid="{00000000-0005-0000-0000-0000DA000000}"/>
    <cellStyle name="Normal 2 15 9" xfId="231" xr:uid="{00000000-0005-0000-0000-0000DB000000}"/>
    <cellStyle name="Normal 2 16" xfId="232" xr:uid="{00000000-0005-0000-0000-0000DC000000}"/>
    <cellStyle name="Normal 2 16 10" xfId="233" xr:uid="{00000000-0005-0000-0000-0000DD000000}"/>
    <cellStyle name="Normal 2 16 11" xfId="234" xr:uid="{00000000-0005-0000-0000-0000DE000000}"/>
    <cellStyle name="Normal 2 16 12" xfId="235" xr:uid="{00000000-0005-0000-0000-0000DF000000}"/>
    <cellStyle name="Normal 2 16 13" xfId="236" xr:uid="{00000000-0005-0000-0000-0000E0000000}"/>
    <cellStyle name="Normal 2 16 14" xfId="237" xr:uid="{00000000-0005-0000-0000-0000E1000000}"/>
    <cellStyle name="Normal 2 16 15" xfId="238" xr:uid="{00000000-0005-0000-0000-0000E2000000}"/>
    <cellStyle name="Normal 2 16 16" xfId="239" xr:uid="{00000000-0005-0000-0000-0000E3000000}"/>
    <cellStyle name="Normal 2 16 17" xfId="240" xr:uid="{00000000-0005-0000-0000-0000E4000000}"/>
    <cellStyle name="Normal 2 16 18" xfId="241" xr:uid="{00000000-0005-0000-0000-0000E5000000}"/>
    <cellStyle name="Normal 2 16 19" xfId="242" xr:uid="{00000000-0005-0000-0000-0000E6000000}"/>
    <cellStyle name="Normal 2 16 2" xfId="243" xr:uid="{00000000-0005-0000-0000-0000E7000000}"/>
    <cellStyle name="Normal 2 16 20" xfId="244" xr:uid="{00000000-0005-0000-0000-0000E8000000}"/>
    <cellStyle name="Normal 2 16 21" xfId="245" xr:uid="{00000000-0005-0000-0000-0000E9000000}"/>
    <cellStyle name="Normal 2 16 22" xfId="246" xr:uid="{00000000-0005-0000-0000-0000EA000000}"/>
    <cellStyle name="Normal 2 16 23" xfId="247" xr:uid="{00000000-0005-0000-0000-0000EB000000}"/>
    <cellStyle name="Normal 2 16 3" xfId="248" xr:uid="{00000000-0005-0000-0000-0000EC000000}"/>
    <cellStyle name="Normal 2 16 4" xfId="249" xr:uid="{00000000-0005-0000-0000-0000ED000000}"/>
    <cellStyle name="Normal 2 16 5" xfId="250" xr:uid="{00000000-0005-0000-0000-0000EE000000}"/>
    <cellStyle name="Normal 2 16 6" xfId="251" xr:uid="{00000000-0005-0000-0000-0000EF000000}"/>
    <cellStyle name="Normal 2 16 7" xfId="252" xr:uid="{00000000-0005-0000-0000-0000F0000000}"/>
    <cellStyle name="Normal 2 16 8" xfId="253" xr:uid="{00000000-0005-0000-0000-0000F1000000}"/>
    <cellStyle name="Normal 2 16 9" xfId="254" xr:uid="{00000000-0005-0000-0000-0000F2000000}"/>
    <cellStyle name="Normal 2 17" xfId="255" xr:uid="{00000000-0005-0000-0000-0000F3000000}"/>
    <cellStyle name="Normal 2 17 10" xfId="256" xr:uid="{00000000-0005-0000-0000-0000F4000000}"/>
    <cellStyle name="Normal 2 17 11" xfId="257" xr:uid="{00000000-0005-0000-0000-0000F5000000}"/>
    <cellStyle name="Normal 2 17 12" xfId="258" xr:uid="{00000000-0005-0000-0000-0000F6000000}"/>
    <cellStyle name="Normal 2 17 13" xfId="259" xr:uid="{00000000-0005-0000-0000-0000F7000000}"/>
    <cellStyle name="Normal 2 17 14" xfId="260" xr:uid="{00000000-0005-0000-0000-0000F8000000}"/>
    <cellStyle name="Normal 2 17 15" xfId="261" xr:uid="{00000000-0005-0000-0000-0000F9000000}"/>
    <cellStyle name="Normal 2 17 16" xfId="262" xr:uid="{00000000-0005-0000-0000-0000FA000000}"/>
    <cellStyle name="Normal 2 17 17" xfId="263" xr:uid="{00000000-0005-0000-0000-0000FB000000}"/>
    <cellStyle name="Normal 2 17 18" xfId="264" xr:uid="{00000000-0005-0000-0000-0000FC000000}"/>
    <cellStyle name="Normal 2 17 19" xfId="265" xr:uid="{00000000-0005-0000-0000-0000FD000000}"/>
    <cellStyle name="Normal 2 17 2" xfId="266" xr:uid="{00000000-0005-0000-0000-0000FE000000}"/>
    <cellStyle name="Normal 2 17 20" xfId="267" xr:uid="{00000000-0005-0000-0000-0000FF000000}"/>
    <cellStyle name="Normal 2 17 21" xfId="268" xr:uid="{00000000-0005-0000-0000-000000010000}"/>
    <cellStyle name="Normal 2 17 22" xfId="269" xr:uid="{00000000-0005-0000-0000-000001010000}"/>
    <cellStyle name="Normal 2 17 23" xfId="270" xr:uid="{00000000-0005-0000-0000-000002010000}"/>
    <cellStyle name="Normal 2 17 3" xfId="271" xr:uid="{00000000-0005-0000-0000-000003010000}"/>
    <cellStyle name="Normal 2 17 4" xfId="272" xr:uid="{00000000-0005-0000-0000-000004010000}"/>
    <cellStyle name="Normal 2 17 5" xfId="273" xr:uid="{00000000-0005-0000-0000-000005010000}"/>
    <cellStyle name="Normal 2 17 6" xfId="274" xr:uid="{00000000-0005-0000-0000-000006010000}"/>
    <cellStyle name="Normal 2 17 7" xfId="275" xr:uid="{00000000-0005-0000-0000-000007010000}"/>
    <cellStyle name="Normal 2 17 8" xfId="276" xr:uid="{00000000-0005-0000-0000-000008010000}"/>
    <cellStyle name="Normal 2 17 9" xfId="277" xr:uid="{00000000-0005-0000-0000-000009010000}"/>
    <cellStyle name="Normal 2 18" xfId="278" xr:uid="{00000000-0005-0000-0000-00000A010000}"/>
    <cellStyle name="Normal 2 18 10" xfId="279" xr:uid="{00000000-0005-0000-0000-00000B010000}"/>
    <cellStyle name="Normal 2 18 11" xfId="280" xr:uid="{00000000-0005-0000-0000-00000C010000}"/>
    <cellStyle name="Normal 2 18 12" xfId="281" xr:uid="{00000000-0005-0000-0000-00000D010000}"/>
    <cellStyle name="Normal 2 18 13" xfId="282" xr:uid="{00000000-0005-0000-0000-00000E010000}"/>
    <cellStyle name="Normal 2 18 14" xfId="283" xr:uid="{00000000-0005-0000-0000-00000F010000}"/>
    <cellStyle name="Normal 2 18 15" xfId="284" xr:uid="{00000000-0005-0000-0000-000010010000}"/>
    <cellStyle name="Normal 2 18 16" xfId="285" xr:uid="{00000000-0005-0000-0000-000011010000}"/>
    <cellStyle name="Normal 2 18 17" xfId="286" xr:uid="{00000000-0005-0000-0000-000012010000}"/>
    <cellStyle name="Normal 2 18 18" xfId="287" xr:uid="{00000000-0005-0000-0000-000013010000}"/>
    <cellStyle name="Normal 2 18 19" xfId="288" xr:uid="{00000000-0005-0000-0000-000014010000}"/>
    <cellStyle name="Normal 2 18 2" xfId="289" xr:uid="{00000000-0005-0000-0000-000015010000}"/>
    <cellStyle name="Normal 2 18 20" xfId="290" xr:uid="{00000000-0005-0000-0000-000016010000}"/>
    <cellStyle name="Normal 2 18 21" xfId="291" xr:uid="{00000000-0005-0000-0000-000017010000}"/>
    <cellStyle name="Normal 2 18 22" xfId="292" xr:uid="{00000000-0005-0000-0000-000018010000}"/>
    <cellStyle name="Normal 2 18 23" xfId="293" xr:uid="{00000000-0005-0000-0000-000019010000}"/>
    <cellStyle name="Normal 2 18 3" xfId="294" xr:uid="{00000000-0005-0000-0000-00001A010000}"/>
    <cellStyle name="Normal 2 18 4" xfId="295" xr:uid="{00000000-0005-0000-0000-00001B010000}"/>
    <cellStyle name="Normal 2 18 5" xfId="296" xr:uid="{00000000-0005-0000-0000-00001C010000}"/>
    <cellStyle name="Normal 2 18 6" xfId="297" xr:uid="{00000000-0005-0000-0000-00001D010000}"/>
    <cellStyle name="Normal 2 18 7" xfId="298" xr:uid="{00000000-0005-0000-0000-00001E010000}"/>
    <cellStyle name="Normal 2 18 8" xfId="299" xr:uid="{00000000-0005-0000-0000-00001F010000}"/>
    <cellStyle name="Normal 2 18 9" xfId="300" xr:uid="{00000000-0005-0000-0000-000020010000}"/>
    <cellStyle name="Normal 2 19" xfId="301" xr:uid="{00000000-0005-0000-0000-000021010000}"/>
    <cellStyle name="Normal 2 19 10" xfId="302" xr:uid="{00000000-0005-0000-0000-000022010000}"/>
    <cellStyle name="Normal 2 19 11" xfId="303" xr:uid="{00000000-0005-0000-0000-000023010000}"/>
    <cellStyle name="Normal 2 19 12" xfId="304" xr:uid="{00000000-0005-0000-0000-000024010000}"/>
    <cellStyle name="Normal 2 19 13" xfId="305" xr:uid="{00000000-0005-0000-0000-000025010000}"/>
    <cellStyle name="Normal 2 19 14" xfId="306" xr:uid="{00000000-0005-0000-0000-000026010000}"/>
    <cellStyle name="Normal 2 19 15" xfId="307" xr:uid="{00000000-0005-0000-0000-000027010000}"/>
    <cellStyle name="Normal 2 19 16" xfId="308" xr:uid="{00000000-0005-0000-0000-000028010000}"/>
    <cellStyle name="Normal 2 19 17" xfId="309" xr:uid="{00000000-0005-0000-0000-000029010000}"/>
    <cellStyle name="Normal 2 19 18" xfId="310" xr:uid="{00000000-0005-0000-0000-00002A010000}"/>
    <cellStyle name="Normal 2 19 19" xfId="311" xr:uid="{00000000-0005-0000-0000-00002B010000}"/>
    <cellStyle name="Normal 2 19 2" xfId="312" xr:uid="{00000000-0005-0000-0000-00002C010000}"/>
    <cellStyle name="Normal 2 19 20" xfId="313" xr:uid="{00000000-0005-0000-0000-00002D010000}"/>
    <cellStyle name="Normal 2 19 21" xfId="314" xr:uid="{00000000-0005-0000-0000-00002E010000}"/>
    <cellStyle name="Normal 2 19 22" xfId="315" xr:uid="{00000000-0005-0000-0000-00002F010000}"/>
    <cellStyle name="Normal 2 19 23" xfId="316" xr:uid="{00000000-0005-0000-0000-000030010000}"/>
    <cellStyle name="Normal 2 19 3" xfId="317" xr:uid="{00000000-0005-0000-0000-000031010000}"/>
    <cellStyle name="Normal 2 19 4" xfId="318" xr:uid="{00000000-0005-0000-0000-000032010000}"/>
    <cellStyle name="Normal 2 19 5" xfId="319" xr:uid="{00000000-0005-0000-0000-000033010000}"/>
    <cellStyle name="Normal 2 19 6" xfId="320" xr:uid="{00000000-0005-0000-0000-000034010000}"/>
    <cellStyle name="Normal 2 19 7" xfId="321" xr:uid="{00000000-0005-0000-0000-000035010000}"/>
    <cellStyle name="Normal 2 19 8" xfId="322" xr:uid="{00000000-0005-0000-0000-000036010000}"/>
    <cellStyle name="Normal 2 19 9" xfId="323" xr:uid="{00000000-0005-0000-0000-000037010000}"/>
    <cellStyle name="Normal 2 2" xfId="50" xr:uid="{00000000-0005-0000-0000-000038010000}"/>
    <cellStyle name="Normal 2 2 2" xfId="324" xr:uid="{00000000-0005-0000-0000-000039010000}"/>
    <cellStyle name="Normal 2 20" xfId="325" xr:uid="{00000000-0005-0000-0000-00003A010000}"/>
    <cellStyle name="Normal 2 20 10" xfId="326" xr:uid="{00000000-0005-0000-0000-00003B010000}"/>
    <cellStyle name="Normal 2 20 11" xfId="327" xr:uid="{00000000-0005-0000-0000-00003C010000}"/>
    <cellStyle name="Normal 2 20 12" xfId="328" xr:uid="{00000000-0005-0000-0000-00003D010000}"/>
    <cellStyle name="Normal 2 20 13" xfId="329" xr:uid="{00000000-0005-0000-0000-00003E010000}"/>
    <cellStyle name="Normal 2 20 14" xfId="330" xr:uid="{00000000-0005-0000-0000-00003F010000}"/>
    <cellStyle name="Normal 2 20 15" xfId="331" xr:uid="{00000000-0005-0000-0000-000040010000}"/>
    <cellStyle name="Normal 2 20 16" xfId="332" xr:uid="{00000000-0005-0000-0000-000041010000}"/>
    <cellStyle name="Normal 2 20 17" xfId="333" xr:uid="{00000000-0005-0000-0000-000042010000}"/>
    <cellStyle name="Normal 2 20 18" xfId="334" xr:uid="{00000000-0005-0000-0000-000043010000}"/>
    <cellStyle name="Normal 2 20 19" xfId="335" xr:uid="{00000000-0005-0000-0000-000044010000}"/>
    <cellStyle name="Normal 2 20 2" xfId="336" xr:uid="{00000000-0005-0000-0000-000045010000}"/>
    <cellStyle name="Normal 2 20 20" xfId="337" xr:uid="{00000000-0005-0000-0000-000046010000}"/>
    <cellStyle name="Normal 2 20 21" xfId="338" xr:uid="{00000000-0005-0000-0000-000047010000}"/>
    <cellStyle name="Normal 2 20 22" xfId="339" xr:uid="{00000000-0005-0000-0000-000048010000}"/>
    <cellStyle name="Normal 2 20 23" xfId="340" xr:uid="{00000000-0005-0000-0000-000049010000}"/>
    <cellStyle name="Normal 2 20 3" xfId="341" xr:uid="{00000000-0005-0000-0000-00004A010000}"/>
    <cellStyle name="Normal 2 20 4" xfId="342" xr:uid="{00000000-0005-0000-0000-00004B010000}"/>
    <cellStyle name="Normal 2 20 5" xfId="343" xr:uid="{00000000-0005-0000-0000-00004C010000}"/>
    <cellStyle name="Normal 2 20 6" xfId="344" xr:uid="{00000000-0005-0000-0000-00004D010000}"/>
    <cellStyle name="Normal 2 20 7" xfId="345" xr:uid="{00000000-0005-0000-0000-00004E010000}"/>
    <cellStyle name="Normal 2 20 8" xfId="346" xr:uid="{00000000-0005-0000-0000-00004F010000}"/>
    <cellStyle name="Normal 2 20 9" xfId="347" xr:uid="{00000000-0005-0000-0000-000050010000}"/>
    <cellStyle name="Normal 2 21" xfId="348" xr:uid="{00000000-0005-0000-0000-000051010000}"/>
    <cellStyle name="Normal 2 21 10" xfId="349" xr:uid="{00000000-0005-0000-0000-000052010000}"/>
    <cellStyle name="Normal 2 21 11" xfId="350" xr:uid="{00000000-0005-0000-0000-000053010000}"/>
    <cellStyle name="Normal 2 21 12" xfId="351" xr:uid="{00000000-0005-0000-0000-000054010000}"/>
    <cellStyle name="Normal 2 21 13" xfId="352" xr:uid="{00000000-0005-0000-0000-000055010000}"/>
    <cellStyle name="Normal 2 21 14" xfId="353" xr:uid="{00000000-0005-0000-0000-000056010000}"/>
    <cellStyle name="Normal 2 21 15" xfId="354" xr:uid="{00000000-0005-0000-0000-000057010000}"/>
    <cellStyle name="Normal 2 21 16" xfId="355" xr:uid="{00000000-0005-0000-0000-000058010000}"/>
    <cellStyle name="Normal 2 21 17" xfId="356" xr:uid="{00000000-0005-0000-0000-000059010000}"/>
    <cellStyle name="Normal 2 21 18" xfId="357" xr:uid="{00000000-0005-0000-0000-00005A010000}"/>
    <cellStyle name="Normal 2 21 19" xfId="358" xr:uid="{00000000-0005-0000-0000-00005B010000}"/>
    <cellStyle name="Normal 2 21 2" xfId="359" xr:uid="{00000000-0005-0000-0000-00005C010000}"/>
    <cellStyle name="Normal 2 21 20" xfId="360" xr:uid="{00000000-0005-0000-0000-00005D010000}"/>
    <cellStyle name="Normal 2 21 21" xfId="361" xr:uid="{00000000-0005-0000-0000-00005E010000}"/>
    <cellStyle name="Normal 2 21 22" xfId="362" xr:uid="{00000000-0005-0000-0000-00005F010000}"/>
    <cellStyle name="Normal 2 21 23" xfId="363" xr:uid="{00000000-0005-0000-0000-000060010000}"/>
    <cellStyle name="Normal 2 21 3" xfId="364" xr:uid="{00000000-0005-0000-0000-000061010000}"/>
    <cellStyle name="Normal 2 21 4" xfId="365" xr:uid="{00000000-0005-0000-0000-000062010000}"/>
    <cellStyle name="Normal 2 21 5" xfId="366" xr:uid="{00000000-0005-0000-0000-000063010000}"/>
    <cellStyle name="Normal 2 21 6" xfId="367" xr:uid="{00000000-0005-0000-0000-000064010000}"/>
    <cellStyle name="Normal 2 21 7" xfId="368" xr:uid="{00000000-0005-0000-0000-000065010000}"/>
    <cellStyle name="Normal 2 21 8" xfId="369" xr:uid="{00000000-0005-0000-0000-000066010000}"/>
    <cellStyle name="Normal 2 21 9" xfId="370" xr:uid="{00000000-0005-0000-0000-000067010000}"/>
    <cellStyle name="Normal 2 22" xfId="371" xr:uid="{00000000-0005-0000-0000-000068010000}"/>
    <cellStyle name="Normal 2 22 10" xfId="372" xr:uid="{00000000-0005-0000-0000-000069010000}"/>
    <cellStyle name="Normal 2 22 11" xfId="373" xr:uid="{00000000-0005-0000-0000-00006A010000}"/>
    <cellStyle name="Normal 2 22 12" xfId="374" xr:uid="{00000000-0005-0000-0000-00006B010000}"/>
    <cellStyle name="Normal 2 22 13" xfId="375" xr:uid="{00000000-0005-0000-0000-00006C010000}"/>
    <cellStyle name="Normal 2 22 14" xfId="376" xr:uid="{00000000-0005-0000-0000-00006D010000}"/>
    <cellStyle name="Normal 2 22 15" xfId="377" xr:uid="{00000000-0005-0000-0000-00006E010000}"/>
    <cellStyle name="Normal 2 22 16" xfId="378" xr:uid="{00000000-0005-0000-0000-00006F010000}"/>
    <cellStyle name="Normal 2 22 17" xfId="379" xr:uid="{00000000-0005-0000-0000-000070010000}"/>
    <cellStyle name="Normal 2 22 18" xfId="380" xr:uid="{00000000-0005-0000-0000-000071010000}"/>
    <cellStyle name="Normal 2 22 19" xfId="381" xr:uid="{00000000-0005-0000-0000-000072010000}"/>
    <cellStyle name="Normal 2 22 2" xfId="382" xr:uid="{00000000-0005-0000-0000-000073010000}"/>
    <cellStyle name="Normal 2 22 20" xfId="383" xr:uid="{00000000-0005-0000-0000-000074010000}"/>
    <cellStyle name="Normal 2 22 21" xfId="384" xr:uid="{00000000-0005-0000-0000-000075010000}"/>
    <cellStyle name="Normal 2 22 22" xfId="385" xr:uid="{00000000-0005-0000-0000-000076010000}"/>
    <cellStyle name="Normal 2 22 23" xfId="386" xr:uid="{00000000-0005-0000-0000-000077010000}"/>
    <cellStyle name="Normal 2 22 3" xfId="387" xr:uid="{00000000-0005-0000-0000-000078010000}"/>
    <cellStyle name="Normal 2 22 4" xfId="388" xr:uid="{00000000-0005-0000-0000-000079010000}"/>
    <cellStyle name="Normal 2 22 5" xfId="389" xr:uid="{00000000-0005-0000-0000-00007A010000}"/>
    <cellStyle name="Normal 2 22 6" xfId="390" xr:uid="{00000000-0005-0000-0000-00007B010000}"/>
    <cellStyle name="Normal 2 22 7" xfId="391" xr:uid="{00000000-0005-0000-0000-00007C010000}"/>
    <cellStyle name="Normal 2 22 8" xfId="392" xr:uid="{00000000-0005-0000-0000-00007D010000}"/>
    <cellStyle name="Normal 2 22 9" xfId="393" xr:uid="{00000000-0005-0000-0000-00007E010000}"/>
    <cellStyle name="Normal 2 23" xfId="394" xr:uid="{00000000-0005-0000-0000-00007F010000}"/>
    <cellStyle name="Normal 2 23 10" xfId="395" xr:uid="{00000000-0005-0000-0000-000080010000}"/>
    <cellStyle name="Normal 2 23 11" xfId="396" xr:uid="{00000000-0005-0000-0000-000081010000}"/>
    <cellStyle name="Normal 2 23 12" xfId="397" xr:uid="{00000000-0005-0000-0000-000082010000}"/>
    <cellStyle name="Normal 2 23 13" xfId="398" xr:uid="{00000000-0005-0000-0000-000083010000}"/>
    <cellStyle name="Normal 2 23 14" xfId="399" xr:uid="{00000000-0005-0000-0000-000084010000}"/>
    <cellStyle name="Normal 2 23 15" xfId="400" xr:uid="{00000000-0005-0000-0000-000085010000}"/>
    <cellStyle name="Normal 2 23 16" xfId="401" xr:uid="{00000000-0005-0000-0000-000086010000}"/>
    <cellStyle name="Normal 2 23 17" xfId="402" xr:uid="{00000000-0005-0000-0000-000087010000}"/>
    <cellStyle name="Normal 2 23 18" xfId="403" xr:uid="{00000000-0005-0000-0000-000088010000}"/>
    <cellStyle name="Normal 2 23 19" xfId="404" xr:uid="{00000000-0005-0000-0000-000089010000}"/>
    <cellStyle name="Normal 2 23 2" xfId="405" xr:uid="{00000000-0005-0000-0000-00008A010000}"/>
    <cellStyle name="Normal 2 23 20" xfId="406" xr:uid="{00000000-0005-0000-0000-00008B010000}"/>
    <cellStyle name="Normal 2 23 21" xfId="407" xr:uid="{00000000-0005-0000-0000-00008C010000}"/>
    <cellStyle name="Normal 2 23 22" xfId="408" xr:uid="{00000000-0005-0000-0000-00008D010000}"/>
    <cellStyle name="Normal 2 23 23" xfId="409" xr:uid="{00000000-0005-0000-0000-00008E010000}"/>
    <cellStyle name="Normal 2 23 3" xfId="410" xr:uid="{00000000-0005-0000-0000-00008F010000}"/>
    <cellStyle name="Normal 2 23 4" xfId="411" xr:uid="{00000000-0005-0000-0000-000090010000}"/>
    <cellStyle name="Normal 2 23 5" xfId="412" xr:uid="{00000000-0005-0000-0000-000091010000}"/>
    <cellStyle name="Normal 2 23 6" xfId="413" xr:uid="{00000000-0005-0000-0000-000092010000}"/>
    <cellStyle name="Normal 2 23 7" xfId="414" xr:uid="{00000000-0005-0000-0000-000093010000}"/>
    <cellStyle name="Normal 2 23 8" xfId="415" xr:uid="{00000000-0005-0000-0000-000094010000}"/>
    <cellStyle name="Normal 2 23 9" xfId="416" xr:uid="{00000000-0005-0000-0000-000095010000}"/>
    <cellStyle name="Normal 2 24" xfId="417" xr:uid="{00000000-0005-0000-0000-000096010000}"/>
    <cellStyle name="Normal 2 24 10" xfId="418" xr:uid="{00000000-0005-0000-0000-000097010000}"/>
    <cellStyle name="Normal 2 24 11" xfId="419" xr:uid="{00000000-0005-0000-0000-000098010000}"/>
    <cellStyle name="Normal 2 24 12" xfId="420" xr:uid="{00000000-0005-0000-0000-000099010000}"/>
    <cellStyle name="Normal 2 24 13" xfId="421" xr:uid="{00000000-0005-0000-0000-00009A010000}"/>
    <cellStyle name="Normal 2 24 14" xfId="422" xr:uid="{00000000-0005-0000-0000-00009B010000}"/>
    <cellStyle name="Normal 2 24 15" xfId="423" xr:uid="{00000000-0005-0000-0000-00009C010000}"/>
    <cellStyle name="Normal 2 24 16" xfId="424" xr:uid="{00000000-0005-0000-0000-00009D010000}"/>
    <cellStyle name="Normal 2 24 17" xfId="425" xr:uid="{00000000-0005-0000-0000-00009E010000}"/>
    <cellStyle name="Normal 2 24 18" xfId="426" xr:uid="{00000000-0005-0000-0000-00009F010000}"/>
    <cellStyle name="Normal 2 24 19" xfId="427" xr:uid="{00000000-0005-0000-0000-0000A0010000}"/>
    <cellStyle name="Normal 2 24 2" xfId="428" xr:uid="{00000000-0005-0000-0000-0000A1010000}"/>
    <cellStyle name="Normal 2 24 20" xfId="429" xr:uid="{00000000-0005-0000-0000-0000A2010000}"/>
    <cellStyle name="Normal 2 24 21" xfId="430" xr:uid="{00000000-0005-0000-0000-0000A3010000}"/>
    <cellStyle name="Normal 2 24 22" xfId="431" xr:uid="{00000000-0005-0000-0000-0000A4010000}"/>
    <cellStyle name="Normal 2 24 23" xfId="432" xr:uid="{00000000-0005-0000-0000-0000A5010000}"/>
    <cellStyle name="Normal 2 24 3" xfId="433" xr:uid="{00000000-0005-0000-0000-0000A6010000}"/>
    <cellStyle name="Normal 2 24 4" xfId="434" xr:uid="{00000000-0005-0000-0000-0000A7010000}"/>
    <cellStyle name="Normal 2 24 5" xfId="435" xr:uid="{00000000-0005-0000-0000-0000A8010000}"/>
    <cellStyle name="Normal 2 24 6" xfId="436" xr:uid="{00000000-0005-0000-0000-0000A9010000}"/>
    <cellStyle name="Normal 2 24 7" xfId="437" xr:uid="{00000000-0005-0000-0000-0000AA010000}"/>
    <cellStyle name="Normal 2 24 8" xfId="438" xr:uid="{00000000-0005-0000-0000-0000AB010000}"/>
    <cellStyle name="Normal 2 24 9" xfId="439" xr:uid="{00000000-0005-0000-0000-0000AC010000}"/>
    <cellStyle name="Normal 2 25" xfId="440" xr:uid="{00000000-0005-0000-0000-0000AD010000}"/>
    <cellStyle name="Normal 2 25 10" xfId="441" xr:uid="{00000000-0005-0000-0000-0000AE010000}"/>
    <cellStyle name="Normal 2 25 11" xfId="442" xr:uid="{00000000-0005-0000-0000-0000AF010000}"/>
    <cellStyle name="Normal 2 25 12" xfId="443" xr:uid="{00000000-0005-0000-0000-0000B0010000}"/>
    <cellStyle name="Normal 2 25 13" xfId="444" xr:uid="{00000000-0005-0000-0000-0000B1010000}"/>
    <cellStyle name="Normal 2 25 14" xfId="445" xr:uid="{00000000-0005-0000-0000-0000B2010000}"/>
    <cellStyle name="Normal 2 25 15" xfId="446" xr:uid="{00000000-0005-0000-0000-0000B3010000}"/>
    <cellStyle name="Normal 2 25 16" xfId="447" xr:uid="{00000000-0005-0000-0000-0000B4010000}"/>
    <cellStyle name="Normal 2 25 17" xfId="448" xr:uid="{00000000-0005-0000-0000-0000B5010000}"/>
    <cellStyle name="Normal 2 25 18" xfId="449" xr:uid="{00000000-0005-0000-0000-0000B6010000}"/>
    <cellStyle name="Normal 2 25 19" xfId="450" xr:uid="{00000000-0005-0000-0000-0000B7010000}"/>
    <cellStyle name="Normal 2 25 2" xfId="451" xr:uid="{00000000-0005-0000-0000-0000B8010000}"/>
    <cellStyle name="Normal 2 25 20" xfId="452" xr:uid="{00000000-0005-0000-0000-0000B9010000}"/>
    <cellStyle name="Normal 2 25 21" xfId="453" xr:uid="{00000000-0005-0000-0000-0000BA010000}"/>
    <cellStyle name="Normal 2 25 22" xfId="454" xr:uid="{00000000-0005-0000-0000-0000BB010000}"/>
    <cellStyle name="Normal 2 25 23" xfId="455" xr:uid="{00000000-0005-0000-0000-0000BC010000}"/>
    <cellStyle name="Normal 2 25 3" xfId="456" xr:uid="{00000000-0005-0000-0000-0000BD010000}"/>
    <cellStyle name="Normal 2 25 4" xfId="457" xr:uid="{00000000-0005-0000-0000-0000BE010000}"/>
    <cellStyle name="Normal 2 25 5" xfId="458" xr:uid="{00000000-0005-0000-0000-0000BF010000}"/>
    <cellStyle name="Normal 2 25 6" xfId="459" xr:uid="{00000000-0005-0000-0000-0000C0010000}"/>
    <cellStyle name="Normal 2 25 7" xfId="460" xr:uid="{00000000-0005-0000-0000-0000C1010000}"/>
    <cellStyle name="Normal 2 25 8" xfId="461" xr:uid="{00000000-0005-0000-0000-0000C2010000}"/>
    <cellStyle name="Normal 2 25 9" xfId="462" xr:uid="{00000000-0005-0000-0000-0000C3010000}"/>
    <cellStyle name="Normal 2 26" xfId="463" xr:uid="{00000000-0005-0000-0000-0000C4010000}"/>
    <cellStyle name="Normal 2 26 10" xfId="464" xr:uid="{00000000-0005-0000-0000-0000C5010000}"/>
    <cellStyle name="Normal 2 26 11" xfId="465" xr:uid="{00000000-0005-0000-0000-0000C6010000}"/>
    <cellStyle name="Normal 2 26 12" xfId="466" xr:uid="{00000000-0005-0000-0000-0000C7010000}"/>
    <cellStyle name="Normal 2 26 13" xfId="467" xr:uid="{00000000-0005-0000-0000-0000C8010000}"/>
    <cellStyle name="Normal 2 26 14" xfId="468" xr:uid="{00000000-0005-0000-0000-0000C9010000}"/>
    <cellStyle name="Normal 2 26 15" xfId="469" xr:uid="{00000000-0005-0000-0000-0000CA010000}"/>
    <cellStyle name="Normal 2 26 16" xfId="470" xr:uid="{00000000-0005-0000-0000-0000CB010000}"/>
    <cellStyle name="Normal 2 26 17" xfId="471" xr:uid="{00000000-0005-0000-0000-0000CC010000}"/>
    <cellStyle name="Normal 2 26 18" xfId="472" xr:uid="{00000000-0005-0000-0000-0000CD010000}"/>
    <cellStyle name="Normal 2 26 19" xfId="473" xr:uid="{00000000-0005-0000-0000-0000CE010000}"/>
    <cellStyle name="Normal 2 26 2" xfId="474" xr:uid="{00000000-0005-0000-0000-0000CF010000}"/>
    <cellStyle name="Normal 2 26 20" xfId="475" xr:uid="{00000000-0005-0000-0000-0000D0010000}"/>
    <cellStyle name="Normal 2 26 21" xfId="476" xr:uid="{00000000-0005-0000-0000-0000D1010000}"/>
    <cellStyle name="Normal 2 26 22" xfId="477" xr:uid="{00000000-0005-0000-0000-0000D2010000}"/>
    <cellStyle name="Normal 2 26 23" xfId="478" xr:uid="{00000000-0005-0000-0000-0000D3010000}"/>
    <cellStyle name="Normal 2 26 3" xfId="479" xr:uid="{00000000-0005-0000-0000-0000D4010000}"/>
    <cellStyle name="Normal 2 26 4" xfId="480" xr:uid="{00000000-0005-0000-0000-0000D5010000}"/>
    <cellStyle name="Normal 2 26 5" xfId="481" xr:uid="{00000000-0005-0000-0000-0000D6010000}"/>
    <cellStyle name="Normal 2 26 6" xfId="482" xr:uid="{00000000-0005-0000-0000-0000D7010000}"/>
    <cellStyle name="Normal 2 26 7" xfId="483" xr:uid="{00000000-0005-0000-0000-0000D8010000}"/>
    <cellStyle name="Normal 2 26 8" xfId="484" xr:uid="{00000000-0005-0000-0000-0000D9010000}"/>
    <cellStyle name="Normal 2 26 9" xfId="485" xr:uid="{00000000-0005-0000-0000-0000DA010000}"/>
    <cellStyle name="Normal 2 27" xfId="486" xr:uid="{00000000-0005-0000-0000-0000DB010000}"/>
    <cellStyle name="Normal 2 27 10" xfId="487" xr:uid="{00000000-0005-0000-0000-0000DC010000}"/>
    <cellStyle name="Normal 2 27 11" xfId="488" xr:uid="{00000000-0005-0000-0000-0000DD010000}"/>
    <cellStyle name="Normal 2 27 12" xfId="489" xr:uid="{00000000-0005-0000-0000-0000DE010000}"/>
    <cellStyle name="Normal 2 27 13" xfId="490" xr:uid="{00000000-0005-0000-0000-0000DF010000}"/>
    <cellStyle name="Normal 2 27 14" xfId="491" xr:uid="{00000000-0005-0000-0000-0000E0010000}"/>
    <cellStyle name="Normal 2 27 15" xfId="492" xr:uid="{00000000-0005-0000-0000-0000E1010000}"/>
    <cellStyle name="Normal 2 27 16" xfId="493" xr:uid="{00000000-0005-0000-0000-0000E2010000}"/>
    <cellStyle name="Normal 2 27 17" xfId="494" xr:uid="{00000000-0005-0000-0000-0000E3010000}"/>
    <cellStyle name="Normal 2 27 18" xfId="495" xr:uid="{00000000-0005-0000-0000-0000E4010000}"/>
    <cellStyle name="Normal 2 27 19" xfId="496" xr:uid="{00000000-0005-0000-0000-0000E5010000}"/>
    <cellStyle name="Normal 2 27 2" xfId="497" xr:uid="{00000000-0005-0000-0000-0000E6010000}"/>
    <cellStyle name="Normal 2 27 20" xfId="498" xr:uid="{00000000-0005-0000-0000-0000E7010000}"/>
    <cellStyle name="Normal 2 27 21" xfId="499" xr:uid="{00000000-0005-0000-0000-0000E8010000}"/>
    <cellStyle name="Normal 2 27 22" xfId="500" xr:uid="{00000000-0005-0000-0000-0000E9010000}"/>
    <cellStyle name="Normal 2 27 23" xfId="501" xr:uid="{00000000-0005-0000-0000-0000EA010000}"/>
    <cellStyle name="Normal 2 27 3" xfId="502" xr:uid="{00000000-0005-0000-0000-0000EB010000}"/>
    <cellStyle name="Normal 2 27 4" xfId="503" xr:uid="{00000000-0005-0000-0000-0000EC010000}"/>
    <cellStyle name="Normal 2 27 5" xfId="504" xr:uid="{00000000-0005-0000-0000-0000ED010000}"/>
    <cellStyle name="Normal 2 27 6" xfId="505" xr:uid="{00000000-0005-0000-0000-0000EE010000}"/>
    <cellStyle name="Normal 2 27 7" xfId="506" xr:uid="{00000000-0005-0000-0000-0000EF010000}"/>
    <cellStyle name="Normal 2 27 8" xfId="507" xr:uid="{00000000-0005-0000-0000-0000F0010000}"/>
    <cellStyle name="Normal 2 27 9" xfId="508" xr:uid="{00000000-0005-0000-0000-0000F1010000}"/>
    <cellStyle name="Normal 2 28" xfId="509" xr:uid="{00000000-0005-0000-0000-0000F2010000}"/>
    <cellStyle name="Normal 2 28 10" xfId="510" xr:uid="{00000000-0005-0000-0000-0000F3010000}"/>
    <cellStyle name="Normal 2 28 11" xfId="511" xr:uid="{00000000-0005-0000-0000-0000F4010000}"/>
    <cellStyle name="Normal 2 28 12" xfId="512" xr:uid="{00000000-0005-0000-0000-0000F5010000}"/>
    <cellStyle name="Normal 2 28 13" xfId="513" xr:uid="{00000000-0005-0000-0000-0000F6010000}"/>
    <cellStyle name="Normal 2 28 14" xfId="514" xr:uid="{00000000-0005-0000-0000-0000F7010000}"/>
    <cellStyle name="Normal 2 28 15" xfId="515" xr:uid="{00000000-0005-0000-0000-0000F8010000}"/>
    <cellStyle name="Normal 2 28 16" xfId="516" xr:uid="{00000000-0005-0000-0000-0000F9010000}"/>
    <cellStyle name="Normal 2 28 17" xfId="517" xr:uid="{00000000-0005-0000-0000-0000FA010000}"/>
    <cellStyle name="Normal 2 28 18" xfId="518" xr:uid="{00000000-0005-0000-0000-0000FB010000}"/>
    <cellStyle name="Normal 2 28 19" xfId="519" xr:uid="{00000000-0005-0000-0000-0000FC010000}"/>
    <cellStyle name="Normal 2 28 2" xfId="520" xr:uid="{00000000-0005-0000-0000-0000FD010000}"/>
    <cellStyle name="Normal 2 28 20" xfId="521" xr:uid="{00000000-0005-0000-0000-0000FE010000}"/>
    <cellStyle name="Normal 2 28 21" xfId="522" xr:uid="{00000000-0005-0000-0000-0000FF010000}"/>
    <cellStyle name="Normal 2 28 22" xfId="523" xr:uid="{00000000-0005-0000-0000-000000020000}"/>
    <cellStyle name="Normal 2 28 23" xfId="524" xr:uid="{00000000-0005-0000-0000-000001020000}"/>
    <cellStyle name="Normal 2 28 3" xfId="525" xr:uid="{00000000-0005-0000-0000-000002020000}"/>
    <cellStyle name="Normal 2 28 4" xfId="526" xr:uid="{00000000-0005-0000-0000-000003020000}"/>
    <cellStyle name="Normal 2 28 5" xfId="527" xr:uid="{00000000-0005-0000-0000-000004020000}"/>
    <cellStyle name="Normal 2 28 6" xfId="528" xr:uid="{00000000-0005-0000-0000-000005020000}"/>
    <cellStyle name="Normal 2 28 7" xfId="529" xr:uid="{00000000-0005-0000-0000-000006020000}"/>
    <cellStyle name="Normal 2 28 8" xfId="530" xr:uid="{00000000-0005-0000-0000-000007020000}"/>
    <cellStyle name="Normal 2 28 9" xfId="531" xr:uid="{00000000-0005-0000-0000-000008020000}"/>
    <cellStyle name="Normal 2 29" xfId="532" xr:uid="{00000000-0005-0000-0000-000009020000}"/>
    <cellStyle name="Normal 2 29 10" xfId="533" xr:uid="{00000000-0005-0000-0000-00000A020000}"/>
    <cellStyle name="Normal 2 29 11" xfId="534" xr:uid="{00000000-0005-0000-0000-00000B020000}"/>
    <cellStyle name="Normal 2 29 12" xfId="535" xr:uid="{00000000-0005-0000-0000-00000C020000}"/>
    <cellStyle name="Normal 2 29 13" xfId="536" xr:uid="{00000000-0005-0000-0000-00000D020000}"/>
    <cellStyle name="Normal 2 29 14" xfId="537" xr:uid="{00000000-0005-0000-0000-00000E020000}"/>
    <cellStyle name="Normal 2 29 15" xfId="538" xr:uid="{00000000-0005-0000-0000-00000F020000}"/>
    <cellStyle name="Normal 2 29 16" xfId="539" xr:uid="{00000000-0005-0000-0000-000010020000}"/>
    <cellStyle name="Normal 2 29 17" xfId="540" xr:uid="{00000000-0005-0000-0000-000011020000}"/>
    <cellStyle name="Normal 2 29 18" xfId="541" xr:uid="{00000000-0005-0000-0000-000012020000}"/>
    <cellStyle name="Normal 2 29 19" xfId="542" xr:uid="{00000000-0005-0000-0000-000013020000}"/>
    <cellStyle name="Normal 2 29 2" xfId="543" xr:uid="{00000000-0005-0000-0000-000014020000}"/>
    <cellStyle name="Normal 2 29 20" xfId="544" xr:uid="{00000000-0005-0000-0000-000015020000}"/>
    <cellStyle name="Normal 2 29 21" xfId="545" xr:uid="{00000000-0005-0000-0000-000016020000}"/>
    <cellStyle name="Normal 2 29 22" xfId="546" xr:uid="{00000000-0005-0000-0000-000017020000}"/>
    <cellStyle name="Normal 2 29 23" xfId="547" xr:uid="{00000000-0005-0000-0000-000018020000}"/>
    <cellStyle name="Normal 2 29 3" xfId="548" xr:uid="{00000000-0005-0000-0000-000019020000}"/>
    <cellStyle name="Normal 2 29 4" xfId="549" xr:uid="{00000000-0005-0000-0000-00001A020000}"/>
    <cellStyle name="Normal 2 29 5" xfId="550" xr:uid="{00000000-0005-0000-0000-00001B020000}"/>
    <cellStyle name="Normal 2 29 6" xfId="551" xr:uid="{00000000-0005-0000-0000-00001C020000}"/>
    <cellStyle name="Normal 2 29 7" xfId="552" xr:uid="{00000000-0005-0000-0000-00001D020000}"/>
    <cellStyle name="Normal 2 29 8" xfId="553" xr:uid="{00000000-0005-0000-0000-00001E020000}"/>
    <cellStyle name="Normal 2 29 9" xfId="554" xr:uid="{00000000-0005-0000-0000-00001F020000}"/>
    <cellStyle name="Normal 2 3" xfId="555" xr:uid="{00000000-0005-0000-0000-000020020000}"/>
    <cellStyle name="Normal 2 30" xfId="556" xr:uid="{00000000-0005-0000-0000-000021020000}"/>
    <cellStyle name="Normal 2 30 10" xfId="557" xr:uid="{00000000-0005-0000-0000-000022020000}"/>
    <cellStyle name="Normal 2 30 11" xfId="558" xr:uid="{00000000-0005-0000-0000-000023020000}"/>
    <cellStyle name="Normal 2 30 12" xfId="559" xr:uid="{00000000-0005-0000-0000-000024020000}"/>
    <cellStyle name="Normal 2 30 13" xfId="560" xr:uid="{00000000-0005-0000-0000-000025020000}"/>
    <cellStyle name="Normal 2 30 14" xfId="561" xr:uid="{00000000-0005-0000-0000-000026020000}"/>
    <cellStyle name="Normal 2 30 15" xfId="562" xr:uid="{00000000-0005-0000-0000-000027020000}"/>
    <cellStyle name="Normal 2 30 16" xfId="563" xr:uid="{00000000-0005-0000-0000-000028020000}"/>
    <cellStyle name="Normal 2 30 17" xfId="564" xr:uid="{00000000-0005-0000-0000-000029020000}"/>
    <cellStyle name="Normal 2 30 18" xfId="565" xr:uid="{00000000-0005-0000-0000-00002A020000}"/>
    <cellStyle name="Normal 2 30 19" xfId="566" xr:uid="{00000000-0005-0000-0000-00002B020000}"/>
    <cellStyle name="Normal 2 30 2" xfId="567" xr:uid="{00000000-0005-0000-0000-00002C020000}"/>
    <cellStyle name="Normal 2 30 20" xfId="568" xr:uid="{00000000-0005-0000-0000-00002D020000}"/>
    <cellStyle name="Normal 2 30 21" xfId="569" xr:uid="{00000000-0005-0000-0000-00002E020000}"/>
    <cellStyle name="Normal 2 30 22" xfId="570" xr:uid="{00000000-0005-0000-0000-00002F020000}"/>
    <cellStyle name="Normal 2 30 23" xfId="571" xr:uid="{00000000-0005-0000-0000-000030020000}"/>
    <cellStyle name="Normal 2 30 3" xfId="572" xr:uid="{00000000-0005-0000-0000-000031020000}"/>
    <cellStyle name="Normal 2 30 4" xfId="573" xr:uid="{00000000-0005-0000-0000-000032020000}"/>
    <cellStyle name="Normal 2 30 5" xfId="574" xr:uid="{00000000-0005-0000-0000-000033020000}"/>
    <cellStyle name="Normal 2 30 6" xfId="575" xr:uid="{00000000-0005-0000-0000-000034020000}"/>
    <cellStyle name="Normal 2 30 7" xfId="576" xr:uid="{00000000-0005-0000-0000-000035020000}"/>
    <cellStyle name="Normal 2 30 8" xfId="577" xr:uid="{00000000-0005-0000-0000-000036020000}"/>
    <cellStyle name="Normal 2 30 9" xfId="578" xr:uid="{00000000-0005-0000-0000-000037020000}"/>
    <cellStyle name="Normal 2 31" xfId="579" xr:uid="{00000000-0005-0000-0000-000038020000}"/>
    <cellStyle name="Normal 2 31 10" xfId="580" xr:uid="{00000000-0005-0000-0000-000039020000}"/>
    <cellStyle name="Normal 2 31 11" xfId="581" xr:uid="{00000000-0005-0000-0000-00003A020000}"/>
    <cellStyle name="Normal 2 31 12" xfId="582" xr:uid="{00000000-0005-0000-0000-00003B020000}"/>
    <cellStyle name="Normal 2 31 13" xfId="583" xr:uid="{00000000-0005-0000-0000-00003C020000}"/>
    <cellStyle name="Normal 2 31 14" xfId="584" xr:uid="{00000000-0005-0000-0000-00003D020000}"/>
    <cellStyle name="Normal 2 31 15" xfId="585" xr:uid="{00000000-0005-0000-0000-00003E020000}"/>
    <cellStyle name="Normal 2 31 16" xfId="586" xr:uid="{00000000-0005-0000-0000-00003F020000}"/>
    <cellStyle name="Normal 2 31 17" xfId="587" xr:uid="{00000000-0005-0000-0000-000040020000}"/>
    <cellStyle name="Normal 2 31 18" xfId="588" xr:uid="{00000000-0005-0000-0000-000041020000}"/>
    <cellStyle name="Normal 2 31 19" xfId="589" xr:uid="{00000000-0005-0000-0000-000042020000}"/>
    <cellStyle name="Normal 2 31 2" xfId="590" xr:uid="{00000000-0005-0000-0000-000043020000}"/>
    <cellStyle name="Normal 2 31 20" xfId="591" xr:uid="{00000000-0005-0000-0000-000044020000}"/>
    <cellStyle name="Normal 2 31 21" xfId="592" xr:uid="{00000000-0005-0000-0000-000045020000}"/>
    <cellStyle name="Normal 2 31 22" xfId="593" xr:uid="{00000000-0005-0000-0000-000046020000}"/>
    <cellStyle name="Normal 2 31 23" xfId="594" xr:uid="{00000000-0005-0000-0000-000047020000}"/>
    <cellStyle name="Normal 2 31 3" xfId="595" xr:uid="{00000000-0005-0000-0000-000048020000}"/>
    <cellStyle name="Normal 2 31 4" xfId="596" xr:uid="{00000000-0005-0000-0000-000049020000}"/>
    <cellStyle name="Normal 2 31 5" xfId="597" xr:uid="{00000000-0005-0000-0000-00004A020000}"/>
    <cellStyle name="Normal 2 31 6" xfId="598" xr:uid="{00000000-0005-0000-0000-00004B020000}"/>
    <cellStyle name="Normal 2 31 7" xfId="599" xr:uid="{00000000-0005-0000-0000-00004C020000}"/>
    <cellStyle name="Normal 2 31 8" xfId="600" xr:uid="{00000000-0005-0000-0000-00004D020000}"/>
    <cellStyle name="Normal 2 31 9" xfId="601" xr:uid="{00000000-0005-0000-0000-00004E020000}"/>
    <cellStyle name="Normal 2 32" xfId="602" xr:uid="{00000000-0005-0000-0000-00004F020000}"/>
    <cellStyle name="Normal 2 32 10" xfId="603" xr:uid="{00000000-0005-0000-0000-000050020000}"/>
    <cellStyle name="Normal 2 32 11" xfId="604" xr:uid="{00000000-0005-0000-0000-000051020000}"/>
    <cellStyle name="Normal 2 32 12" xfId="605" xr:uid="{00000000-0005-0000-0000-000052020000}"/>
    <cellStyle name="Normal 2 32 13" xfId="606" xr:uid="{00000000-0005-0000-0000-000053020000}"/>
    <cellStyle name="Normal 2 32 14" xfId="607" xr:uid="{00000000-0005-0000-0000-000054020000}"/>
    <cellStyle name="Normal 2 32 15" xfId="608" xr:uid="{00000000-0005-0000-0000-000055020000}"/>
    <cellStyle name="Normal 2 32 16" xfId="609" xr:uid="{00000000-0005-0000-0000-000056020000}"/>
    <cellStyle name="Normal 2 32 17" xfId="610" xr:uid="{00000000-0005-0000-0000-000057020000}"/>
    <cellStyle name="Normal 2 32 18" xfId="611" xr:uid="{00000000-0005-0000-0000-000058020000}"/>
    <cellStyle name="Normal 2 32 19" xfId="612" xr:uid="{00000000-0005-0000-0000-000059020000}"/>
    <cellStyle name="Normal 2 32 2" xfId="613" xr:uid="{00000000-0005-0000-0000-00005A020000}"/>
    <cellStyle name="Normal 2 32 20" xfId="614" xr:uid="{00000000-0005-0000-0000-00005B020000}"/>
    <cellStyle name="Normal 2 32 21" xfId="615" xr:uid="{00000000-0005-0000-0000-00005C020000}"/>
    <cellStyle name="Normal 2 32 22" xfId="616" xr:uid="{00000000-0005-0000-0000-00005D020000}"/>
    <cellStyle name="Normal 2 32 23" xfId="617" xr:uid="{00000000-0005-0000-0000-00005E020000}"/>
    <cellStyle name="Normal 2 32 3" xfId="618" xr:uid="{00000000-0005-0000-0000-00005F020000}"/>
    <cellStyle name="Normal 2 32 4" xfId="619" xr:uid="{00000000-0005-0000-0000-000060020000}"/>
    <cellStyle name="Normal 2 32 5" xfId="620" xr:uid="{00000000-0005-0000-0000-000061020000}"/>
    <cellStyle name="Normal 2 32 6" xfId="621" xr:uid="{00000000-0005-0000-0000-000062020000}"/>
    <cellStyle name="Normal 2 32 7" xfId="622" xr:uid="{00000000-0005-0000-0000-000063020000}"/>
    <cellStyle name="Normal 2 32 8" xfId="623" xr:uid="{00000000-0005-0000-0000-000064020000}"/>
    <cellStyle name="Normal 2 32 9" xfId="624" xr:uid="{00000000-0005-0000-0000-000065020000}"/>
    <cellStyle name="Normal 2 33" xfId="625" xr:uid="{00000000-0005-0000-0000-000066020000}"/>
    <cellStyle name="Normal 2 33 10" xfId="626" xr:uid="{00000000-0005-0000-0000-000067020000}"/>
    <cellStyle name="Normal 2 33 11" xfId="627" xr:uid="{00000000-0005-0000-0000-000068020000}"/>
    <cellStyle name="Normal 2 33 12" xfId="628" xr:uid="{00000000-0005-0000-0000-000069020000}"/>
    <cellStyle name="Normal 2 33 13" xfId="629" xr:uid="{00000000-0005-0000-0000-00006A020000}"/>
    <cellStyle name="Normal 2 33 14" xfId="630" xr:uid="{00000000-0005-0000-0000-00006B020000}"/>
    <cellStyle name="Normal 2 33 15" xfId="631" xr:uid="{00000000-0005-0000-0000-00006C020000}"/>
    <cellStyle name="Normal 2 33 16" xfId="632" xr:uid="{00000000-0005-0000-0000-00006D020000}"/>
    <cellStyle name="Normal 2 33 17" xfId="633" xr:uid="{00000000-0005-0000-0000-00006E020000}"/>
    <cellStyle name="Normal 2 33 18" xfId="634" xr:uid="{00000000-0005-0000-0000-00006F020000}"/>
    <cellStyle name="Normal 2 33 19" xfId="635" xr:uid="{00000000-0005-0000-0000-000070020000}"/>
    <cellStyle name="Normal 2 33 2" xfId="636" xr:uid="{00000000-0005-0000-0000-000071020000}"/>
    <cellStyle name="Normal 2 33 20" xfId="637" xr:uid="{00000000-0005-0000-0000-000072020000}"/>
    <cellStyle name="Normal 2 33 21" xfId="638" xr:uid="{00000000-0005-0000-0000-000073020000}"/>
    <cellStyle name="Normal 2 33 22" xfId="639" xr:uid="{00000000-0005-0000-0000-000074020000}"/>
    <cellStyle name="Normal 2 33 23" xfId="640" xr:uid="{00000000-0005-0000-0000-000075020000}"/>
    <cellStyle name="Normal 2 33 3" xfId="641" xr:uid="{00000000-0005-0000-0000-000076020000}"/>
    <cellStyle name="Normal 2 33 4" xfId="642" xr:uid="{00000000-0005-0000-0000-000077020000}"/>
    <cellStyle name="Normal 2 33 5" xfId="643" xr:uid="{00000000-0005-0000-0000-000078020000}"/>
    <cellStyle name="Normal 2 33 6" xfId="644" xr:uid="{00000000-0005-0000-0000-000079020000}"/>
    <cellStyle name="Normal 2 33 7" xfId="645" xr:uid="{00000000-0005-0000-0000-00007A020000}"/>
    <cellStyle name="Normal 2 33 8" xfId="646" xr:uid="{00000000-0005-0000-0000-00007B020000}"/>
    <cellStyle name="Normal 2 33 9" xfId="647" xr:uid="{00000000-0005-0000-0000-00007C020000}"/>
    <cellStyle name="Normal 2 34" xfId="648" xr:uid="{00000000-0005-0000-0000-00007D020000}"/>
    <cellStyle name="Normal 2 34 10" xfId="649" xr:uid="{00000000-0005-0000-0000-00007E020000}"/>
    <cellStyle name="Normal 2 34 11" xfId="650" xr:uid="{00000000-0005-0000-0000-00007F020000}"/>
    <cellStyle name="Normal 2 34 12" xfId="651" xr:uid="{00000000-0005-0000-0000-000080020000}"/>
    <cellStyle name="Normal 2 34 13" xfId="652" xr:uid="{00000000-0005-0000-0000-000081020000}"/>
    <cellStyle name="Normal 2 34 14" xfId="653" xr:uid="{00000000-0005-0000-0000-000082020000}"/>
    <cellStyle name="Normal 2 34 15" xfId="654" xr:uid="{00000000-0005-0000-0000-000083020000}"/>
    <cellStyle name="Normal 2 34 16" xfId="655" xr:uid="{00000000-0005-0000-0000-000084020000}"/>
    <cellStyle name="Normal 2 34 17" xfId="656" xr:uid="{00000000-0005-0000-0000-000085020000}"/>
    <cellStyle name="Normal 2 34 18" xfId="657" xr:uid="{00000000-0005-0000-0000-000086020000}"/>
    <cellStyle name="Normal 2 34 19" xfId="658" xr:uid="{00000000-0005-0000-0000-000087020000}"/>
    <cellStyle name="Normal 2 34 2" xfId="659" xr:uid="{00000000-0005-0000-0000-000088020000}"/>
    <cellStyle name="Normal 2 34 20" xfId="660" xr:uid="{00000000-0005-0000-0000-000089020000}"/>
    <cellStyle name="Normal 2 34 21" xfId="661" xr:uid="{00000000-0005-0000-0000-00008A020000}"/>
    <cellStyle name="Normal 2 34 22" xfId="662" xr:uid="{00000000-0005-0000-0000-00008B020000}"/>
    <cellStyle name="Normal 2 34 23" xfId="663" xr:uid="{00000000-0005-0000-0000-00008C020000}"/>
    <cellStyle name="Normal 2 34 3" xfId="664" xr:uid="{00000000-0005-0000-0000-00008D020000}"/>
    <cellStyle name="Normal 2 34 4" xfId="665" xr:uid="{00000000-0005-0000-0000-00008E020000}"/>
    <cellStyle name="Normal 2 34 5" xfId="666" xr:uid="{00000000-0005-0000-0000-00008F020000}"/>
    <cellStyle name="Normal 2 34 6" xfId="667" xr:uid="{00000000-0005-0000-0000-000090020000}"/>
    <cellStyle name="Normal 2 34 7" xfId="668" xr:uid="{00000000-0005-0000-0000-000091020000}"/>
    <cellStyle name="Normal 2 34 8" xfId="669" xr:uid="{00000000-0005-0000-0000-000092020000}"/>
    <cellStyle name="Normal 2 34 9" xfId="670" xr:uid="{00000000-0005-0000-0000-000093020000}"/>
    <cellStyle name="Normal 2 35" xfId="671" xr:uid="{00000000-0005-0000-0000-000094020000}"/>
    <cellStyle name="Normal 2 35 10" xfId="672" xr:uid="{00000000-0005-0000-0000-000095020000}"/>
    <cellStyle name="Normal 2 35 11" xfId="673" xr:uid="{00000000-0005-0000-0000-000096020000}"/>
    <cellStyle name="Normal 2 35 12" xfId="674" xr:uid="{00000000-0005-0000-0000-000097020000}"/>
    <cellStyle name="Normal 2 35 13" xfId="675" xr:uid="{00000000-0005-0000-0000-000098020000}"/>
    <cellStyle name="Normal 2 35 14" xfId="676" xr:uid="{00000000-0005-0000-0000-000099020000}"/>
    <cellStyle name="Normal 2 35 15" xfId="677" xr:uid="{00000000-0005-0000-0000-00009A020000}"/>
    <cellStyle name="Normal 2 35 16" xfId="678" xr:uid="{00000000-0005-0000-0000-00009B020000}"/>
    <cellStyle name="Normal 2 35 17" xfId="679" xr:uid="{00000000-0005-0000-0000-00009C020000}"/>
    <cellStyle name="Normal 2 35 18" xfId="680" xr:uid="{00000000-0005-0000-0000-00009D020000}"/>
    <cellStyle name="Normal 2 35 19" xfId="681" xr:uid="{00000000-0005-0000-0000-00009E020000}"/>
    <cellStyle name="Normal 2 35 2" xfId="682" xr:uid="{00000000-0005-0000-0000-00009F020000}"/>
    <cellStyle name="Normal 2 35 20" xfId="683" xr:uid="{00000000-0005-0000-0000-0000A0020000}"/>
    <cellStyle name="Normal 2 35 21" xfId="684" xr:uid="{00000000-0005-0000-0000-0000A1020000}"/>
    <cellStyle name="Normal 2 35 22" xfId="685" xr:uid="{00000000-0005-0000-0000-0000A2020000}"/>
    <cellStyle name="Normal 2 35 23" xfId="686" xr:uid="{00000000-0005-0000-0000-0000A3020000}"/>
    <cellStyle name="Normal 2 35 3" xfId="687" xr:uid="{00000000-0005-0000-0000-0000A4020000}"/>
    <cellStyle name="Normal 2 35 4" xfId="688" xr:uid="{00000000-0005-0000-0000-0000A5020000}"/>
    <cellStyle name="Normal 2 35 5" xfId="689" xr:uid="{00000000-0005-0000-0000-0000A6020000}"/>
    <cellStyle name="Normal 2 35 6" xfId="690" xr:uid="{00000000-0005-0000-0000-0000A7020000}"/>
    <cellStyle name="Normal 2 35 7" xfId="691" xr:uid="{00000000-0005-0000-0000-0000A8020000}"/>
    <cellStyle name="Normal 2 35 8" xfId="692" xr:uid="{00000000-0005-0000-0000-0000A9020000}"/>
    <cellStyle name="Normal 2 35 9" xfId="693" xr:uid="{00000000-0005-0000-0000-0000AA020000}"/>
    <cellStyle name="Normal 2 36" xfId="694" xr:uid="{00000000-0005-0000-0000-0000AB020000}"/>
    <cellStyle name="Normal 2 36 10" xfId="695" xr:uid="{00000000-0005-0000-0000-0000AC020000}"/>
    <cellStyle name="Normal 2 36 11" xfId="696" xr:uid="{00000000-0005-0000-0000-0000AD020000}"/>
    <cellStyle name="Normal 2 36 12" xfId="697" xr:uid="{00000000-0005-0000-0000-0000AE020000}"/>
    <cellStyle name="Normal 2 36 13" xfId="698" xr:uid="{00000000-0005-0000-0000-0000AF020000}"/>
    <cellStyle name="Normal 2 36 14" xfId="699" xr:uid="{00000000-0005-0000-0000-0000B0020000}"/>
    <cellStyle name="Normal 2 36 15" xfId="700" xr:uid="{00000000-0005-0000-0000-0000B1020000}"/>
    <cellStyle name="Normal 2 36 16" xfId="701" xr:uid="{00000000-0005-0000-0000-0000B2020000}"/>
    <cellStyle name="Normal 2 36 17" xfId="702" xr:uid="{00000000-0005-0000-0000-0000B3020000}"/>
    <cellStyle name="Normal 2 36 18" xfId="703" xr:uid="{00000000-0005-0000-0000-0000B4020000}"/>
    <cellStyle name="Normal 2 36 19" xfId="704" xr:uid="{00000000-0005-0000-0000-0000B5020000}"/>
    <cellStyle name="Normal 2 36 2" xfId="705" xr:uid="{00000000-0005-0000-0000-0000B6020000}"/>
    <cellStyle name="Normal 2 36 20" xfId="706" xr:uid="{00000000-0005-0000-0000-0000B7020000}"/>
    <cellStyle name="Normal 2 36 21" xfId="707" xr:uid="{00000000-0005-0000-0000-0000B8020000}"/>
    <cellStyle name="Normal 2 36 22" xfId="708" xr:uid="{00000000-0005-0000-0000-0000B9020000}"/>
    <cellStyle name="Normal 2 36 23" xfId="709" xr:uid="{00000000-0005-0000-0000-0000BA020000}"/>
    <cellStyle name="Normal 2 36 3" xfId="710" xr:uid="{00000000-0005-0000-0000-0000BB020000}"/>
    <cellStyle name="Normal 2 36 4" xfId="711" xr:uid="{00000000-0005-0000-0000-0000BC020000}"/>
    <cellStyle name="Normal 2 36 5" xfId="712" xr:uid="{00000000-0005-0000-0000-0000BD020000}"/>
    <cellStyle name="Normal 2 36 6" xfId="713" xr:uid="{00000000-0005-0000-0000-0000BE020000}"/>
    <cellStyle name="Normal 2 36 7" xfId="714" xr:uid="{00000000-0005-0000-0000-0000BF020000}"/>
    <cellStyle name="Normal 2 36 8" xfId="715" xr:uid="{00000000-0005-0000-0000-0000C0020000}"/>
    <cellStyle name="Normal 2 36 9" xfId="716" xr:uid="{00000000-0005-0000-0000-0000C1020000}"/>
    <cellStyle name="Normal 2 37" xfId="717" xr:uid="{00000000-0005-0000-0000-0000C2020000}"/>
    <cellStyle name="Normal 2 37 10" xfId="718" xr:uid="{00000000-0005-0000-0000-0000C3020000}"/>
    <cellStyle name="Normal 2 37 11" xfId="719" xr:uid="{00000000-0005-0000-0000-0000C4020000}"/>
    <cellStyle name="Normal 2 37 12" xfId="720" xr:uid="{00000000-0005-0000-0000-0000C5020000}"/>
    <cellStyle name="Normal 2 37 13" xfId="721" xr:uid="{00000000-0005-0000-0000-0000C6020000}"/>
    <cellStyle name="Normal 2 37 14" xfId="722" xr:uid="{00000000-0005-0000-0000-0000C7020000}"/>
    <cellStyle name="Normal 2 37 15" xfId="723" xr:uid="{00000000-0005-0000-0000-0000C8020000}"/>
    <cellStyle name="Normal 2 37 16" xfId="724" xr:uid="{00000000-0005-0000-0000-0000C9020000}"/>
    <cellStyle name="Normal 2 37 17" xfId="725" xr:uid="{00000000-0005-0000-0000-0000CA020000}"/>
    <cellStyle name="Normal 2 37 18" xfId="726" xr:uid="{00000000-0005-0000-0000-0000CB020000}"/>
    <cellStyle name="Normal 2 37 19" xfId="727" xr:uid="{00000000-0005-0000-0000-0000CC020000}"/>
    <cellStyle name="Normal 2 37 2" xfId="728" xr:uid="{00000000-0005-0000-0000-0000CD020000}"/>
    <cellStyle name="Normal 2 37 20" xfId="729" xr:uid="{00000000-0005-0000-0000-0000CE020000}"/>
    <cellStyle name="Normal 2 37 21" xfId="730" xr:uid="{00000000-0005-0000-0000-0000CF020000}"/>
    <cellStyle name="Normal 2 37 22" xfId="731" xr:uid="{00000000-0005-0000-0000-0000D0020000}"/>
    <cellStyle name="Normal 2 37 23" xfId="732" xr:uid="{00000000-0005-0000-0000-0000D1020000}"/>
    <cellStyle name="Normal 2 37 3" xfId="733" xr:uid="{00000000-0005-0000-0000-0000D2020000}"/>
    <cellStyle name="Normal 2 37 4" xfId="734" xr:uid="{00000000-0005-0000-0000-0000D3020000}"/>
    <cellStyle name="Normal 2 37 5" xfId="735" xr:uid="{00000000-0005-0000-0000-0000D4020000}"/>
    <cellStyle name="Normal 2 37 6" xfId="736" xr:uid="{00000000-0005-0000-0000-0000D5020000}"/>
    <cellStyle name="Normal 2 37 7" xfId="737" xr:uid="{00000000-0005-0000-0000-0000D6020000}"/>
    <cellStyle name="Normal 2 37 8" xfId="738" xr:uid="{00000000-0005-0000-0000-0000D7020000}"/>
    <cellStyle name="Normal 2 37 9" xfId="739" xr:uid="{00000000-0005-0000-0000-0000D8020000}"/>
    <cellStyle name="Normal 2 38" xfId="740" xr:uid="{00000000-0005-0000-0000-0000D9020000}"/>
    <cellStyle name="Normal 2 38 10" xfId="741" xr:uid="{00000000-0005-0000-0000-0000DA020000}"/>
    <cellStyle name="Normal 2 38 11" xfId="742" xr:uid="{00000000-0005-0000-0000-0000DB020000}"/>
    <cellStyle name="Normal 2 38 12" xfId="743" xr:uid="{00000000-0005-0000-0000-0000DC020000}"/>
    <cellStyle name="Normal 2 38 13" xfId="744" xr:uid="{00000000-0005-0000-0000-0000DD020000}"/>
    <cellStyle name="Normal 2 38 14" xfId="745" xr:uid="{00000000-0005-0000-0000-0000DE020000}"/>
    <cellStyle name="Normal 2 38 15" xfId="746" xr:uid="{00000000-0005-0000-0000-0000DF020000}"/>
    <cellStyle name="Normal 2 38 16" xfId="747" xr:uid="{00000000-0005-0000-0000-0000E0020000}"/>
    <cellStyle name="Normal 2 38 17" xfId="748" xr:uid="{00000000-0005-0000-0000-0000E1020000}"/>
    <cellStyle name="Normal 2 38 18" xfId="749" xr:uid="{00000000-0005-0000-0000-0000E2020000}"/>
    <cellStyle name="Normal 2 38 19" xfId="750" xr:uid="{00000000-0005-0000-0000-0000E3020000}"/>
    <cellStyle name="Normal 2 38 2" xfId="751" xr:uid="{00000000-0005-0000-0000-0000E4020000}"/>
    <cellStyle name="Normal 2 38 20" xfId="752" xr:uid="{00000000-0005-0000-0000-0000E5020000}"/>
    <cellStyle name="Normal 2 38 21" xfId="753" xr:uid="{00000000-0005-0000-0000-0000E6020000}"/>
    <cellStyle name="Normal 2 38 22" xfId="754" xr:uid="{00000000-0005-0000-0000-0000E7020000}"/>
    <cellStyle name="Normal 2 38 23" xfId="755" xr:uid="{00000000-0005-0000-0000-0000E8020000}"/>
    <cellStyle name="Normal 2 38 3" xfId="756" xr:uid="{00000000-0005-0000-0000-0000E9020000}"/>
    <cellStyle name="Normal 2 38 4" xfId="757" xr:uid="{00000000-0005-0000-0000-0000EA020000}"/>
    <cellStyle name="Normal 2 38 5" xfId="758" xr:uid="{00000000-0005-0000-0000-0000EB020000}"/>
    <cellStyle name="Normal 2 38 6" xfId="759" xr:uid="{00000000-0005-0000-0000-0000EC020000}"/>
    <cellStyle name="Normal 2 38 7" xfId="760" xr:uid="{00000000-0005-0000-0000-0000ED020000}"/>
    <cellStyle name="Normal 2 38 8" xfId="761" xr:uid="{00000000-0005-0000-0000-0000EE020000}"/>
    <cellStyle name="Normal 2 38 9" xfId="762" xr:uid="{00000000-0005-0000-0000-0000EF020000}"/>
    <cellStyle name="Normal 2 39" xfId="763" xr:uid="{00000000-0005-0000-0000-0000F0020000}"/>
    <cellStyle name="Normal 2 39 10" xfId="764" xr:uid="{00000000-0005-0000-0000-0000F1020000}"/>
    <cellStyle name="Normal 2 39 11" xfId="765" xr:uid="{00000000-0005-0000-0000-0000F2020000}"/>
    <cellStyle name="Normal 2 39 12" xfId="766" xr:uid="{00000000-0005-0000-0000-0000F3020000}"/>
    <cellStyle name="Normal 2 39 13" xfId="767" xr:uid="{00000000-0005-0000-0000-0000F4020000}"/>
    <cellStyle name="Normal 2 39 14" xfId="768" xr:uid="{00000000-0005-0000-0000-0000F5020000}"/>
    <cellStyle name="Normal 2 39 15" xfId="769" xr:uid="{00000000-0005-0000-0000-0000F6020000}"/>
    <cellStyle name="Normal 2 39 16" xfId="770" xr:uid="{00000000-0005-0000-0000-0000F7020000}"/>
    <cellStyle name="Normal 2 39 17" xfId="771" xr:uid="{00000000-0005-0000-0000-0000F8020000}"/>
    <cellStyle name="Normal 2 39 18" xfId="772" xr:uid="{00000000-0005-0000-0000-0000F9020000}"/>
    <cellStyle name="Normal 2 39 19" xfId="773" xr:uid="{00000000-0005-0000-0000-0000FA020000}"/>
    <cellStyle name="Normal 2 39 2" xfId="774" xr:uid="{00000000-0005-0000-0000-0000FB020000}"/>
    <cellStyle name="Normal 2 39 20" xfId="775" xr:uid="{00000000-0005-0000-0000-0000FC020000}"/>
    <cellStyle name="Normal 2 39 21" xfId="776" xr:uid="{00000000-0005-0000-0000-0000FD020000}"/>
    <cellStyle name="Normal 2 39 22" xfId="777" xr:uid="{00000000-0005-0000-0000-0000FE020000}"/>
    <cellStyle name="Normal 2 39 23" xfId="778" xr:uid="{00000000-0005-0000-0000-0000FF020000}"/>
    <cellStyle name="Normal 2 39 3" xfId="779" xr:uid="{00000000-0005-0000-0000-000000030000}"/>
    <cellStyle name="Normal 2 39 4" xfId="780" xr:uid="{00000000-0005-0000-0000-000001030000}"/>
    <cellStyle name="Normal 2 39 5" xfId="781" xr:uid="{00000000-0005-0000-0000-000002030000}"/>
    <cellStyle name="Normal 2 39 6" xfId="782" xr:uid="{00000000-0005-0000-0000-000003030000}"/>
    <cellStyle name="Normal 2 39 7" xfId="783" xr:uid="{00000000-0005-0000-0000-000004030000}"/>
    <cellStyle name="Normal 2 39 8" xfId="784" xr:uid="{00000000-0005-0000-0000-000005030000}"/>
    <cellStyle name="Normal 2 39 9" xfId="785" xr:uid="{00000000-0005-0000-0000-000006030000}"/>
    <cellStyle name="Normal 2 4" xfId="786" xr:uid="{00000000-0005-0000-0000-000007030000}"/>
    <cellStyle name="Normal 2 40" xfId="787" xr:uid="{00000000-0005-0000-0000-000008030000}"/>
    <cellStyle name="Normal 2 41" xfId="788" xr:uid="{00000000-0005-0000-0000-000009030000}"/>
    <cellStyle name="Normal 2 42" xfId="789" xr:uid="{00000000-0005-0000-0000-00000A030000}"/>
    <cellStyle name="Normal 2 43" xfId="790" xr:uid="{00000000-0005-0000-0000-00000B030000}"/>
    <cellStyle name="Normal 2 44" xfId="791" xr:uid="{00000000-0005-0000-0000-00000C030000}"/>
    <cellStyle name="Normal 2 45" xfId="792" xr:uid="{00000000-0005-0000-0000-00000D030000}"/>
    <cellStyle name="Normal 2 46" xfId="793" xr:uid="{00000000-0005-0000-0000-00000E030000}"/>
    <cellStyle name="Normal 2 47" xfId="794" xr:uid="{00000000-0005-0000-0000-00000F030000}"/>
    <cellStyle name="Normal 2 48" xfId="795" xr:uid="{00000000-0005-0000-0000-000010030000}"/>
    <cellStyle name="Normal 2 49" xfId="796" xr:uid="{00000000-0005-0000-0000-000011030000}"/>
    <cellStyle name="Normal 2 5" xfId="797" xr:uid="{00000000-0005-0000-0000-000012030000}"/>
    <cellStyle name="Normal 2 5 10" xfId="798" xr:uid="{00000000-0005-0000-0000-000013030000}"/>
    <cellStyle name="Normal 2 5 11" xfId="799" xr:uid="{00000000-0005-0000-0000-000014030000}"/>
    <cellStyle name="Normal 2 5 12" xfId="800" xr:uid="{00000000-0005-0000-0000-000015030000}"/>
    <cellStyle name="Normal 2 5 13" xfId="801" xr:uid="{00000000-0005-0000-0000-000016030000}"/>
    <cellStyle name="Normal 2 5 14" xfId="802" xr:uid="{00000000-0005-0000-0000-000017030000}"/>
    <cellStyle name="Normal 2 5 15" xfId="803" xr:uid="{00000000-0005-0000-0000-000018030000}"/>
    <cellStyle name="Normal 2 5 16" xfId="804" xr:uid="{00000000-0005-0000-0000-000019030000}"/>
    <cellStyle name="Normal 2 5 17" xfId="805" xr:uid="{00000000-0005-0000-0000-00001A030000}"/>
    <cellStyle name="Normal 2 5 18" xfId="806" xr:uid="{00000000-0005-0000-0000-00001B030000}"/>
    <cellStyle name="Normal 2 5 19" xfId="807" xr:uid="{00000000-0005-0000-0000-00001C030000}"/>
    <cellStyle name="Normal 2 5 2" xfId="808" xr:uid="{00000000-0005-0000-0000-00001D030000}"/>
    <cellStyle name="Normal 2 5 2 10" xfId="809" xr:uid="{00000000-0005-0000-0000-00001E030000}"/>
    <cellStyle name="Normal 2 5 2 11" xfId="810" xr:uid="{00000000-0005-0000-0000-00001F030000}"/>
    <cellStyle name="Normal 2 5 2 12" xfId="811" xr:uid="{00000000-0005-0000-0000-000020030000}"/>
    <cellStyle name="Normal 2 5 2 13" xfId="812" xr:uid="{00000000-0005-0000-0000-000021030000}"/>
    <cellStyle name="Normal 2 5 2 14" xfId="813" xr:uid="{00000000-0005-0000-0000-000022030000}"/>
    <cellStyle name="Normal 2 5 2 15" xfId="814" xr:uid="{00000000-0005-0000-0000-000023030000}"/>
    <cellStyle name="Normal 2 5 2 16" xfId="815" xr:uid="{00000000-0005-0000-0000-000024030000}"/>
    <cellStyle name="Normal 2 5 2 17" xfId="816" xr:uid="{00000000-0005-0000-0000-000025030000}"/>
    <cellStyle name="Normal 2 5 2 18" xfId="817" xr:uid="{00000000-0005-0000-0000-000026030000}"/>
    <cellStyle name="Normal 2 5 2 19" xfId="818" xr:uid="{00000000-0005-0000-0000-000027030000}"/>
    <cellStyle name="Normal 2 5 2 2" xfId="819" xr:uid="{00000000-0005-0000-0000-000028030000}"/>
    <cellStyle name="Normal 2 5 2 2 10" xfId="820" xr:uid="{00000000-0005-0000-0000-000029030000}"/>
    <cellStyle name="Normal 2 5 2 2 11" xfId="821" xr:uid="{00000000-0005-0000-0000-00002A030000}"/>
    <cellStyle name="Normal 2 5 2 2 12" xfId="822" xr:uid="{00000000-0005-0000-0000-00002B030000}"/>
    <cellStyle name="Normal 2 5 2 2 13" xfId="823" xr:uid="{00000000-0005-0000-0000-00002C030000}"/>
    <cellStyle name="Normal 2 5 2 2 14" xfId="824" xr:uid="{00000000-0005-0000-0000-00002D030000}"/>
    <cellStyle name="Normal 2 5 2 2 15" xfId="825" xr:uid="{00000000-0005-0000-0000-00002E030000}"/>
    <cellStyle name="Normal 2 5 2 2 16" xfId="826" xr:uid="{00000000-0005-0000-0000-00002F030000}"/>
    <cellStyle name="Normal 2 5 2 2 17" xfId="827" xr:uid="{00000000-0005-0000-0000-000030030000}"/>
    <cellStyle name="Normal 2 5 2 2 18" xfId="828" xr:uid="{00000000-0005-0000-0000-000031030000}"/>
    <cellStyle name="Normal 2 5 2 2 19" xfId="829" xr:uid="{00000000-0005-0000-0000-000032030000}"/>
    <cellStyle name="Normal 2 5 2 2 2" xfId="830" xr:uid="{00000000-0005-0000-0000-000033030000}"/>
    <cellStyle name="Normal 2 5 2 2 20" xfId="831" xr:uid="{00000000-0005-0000-0000-000034030000}"/>
    <cellStyle name="Normal 2 5 2 2 21" xfId="832" xr:uid="{00000000-0005-0000-0000-000035030000}"/>
    <cellStyle name="Normal 2 5 2 2 22" xfId="833" xr:uid="{00000000-0005-0000-0000-000036030000}"/>
    <cellStyle name="Normal 2 5 2 2 23" xfId="834" xr:uid="{00000000-0005-0000-0000-000037030000}"/>
    <cellStyle name="Normal 2 5 2 2 24" xfId="835" xr:uid="{00000000-0005-0000-0000-000038030000}"/>
    <cellStyle name="Normal 2 5 2 2 25" xfId="836" xr:uid="{00000000-0005-0000-0000-000039030000}"/>
    <cellStyle name="Normal 2 5 2 2 26" xfId="837" xr:uid="{00000000-0005-0000-0000-00003A030000}"/>
    <cellStyle name="Normal 2 5 2 2 27" xfId="838" xr:uid="{00000000-0005-0000-0000-00003B030000}"/>
    <cellStyle name="Normal 2 5 2 2 28" xfId="839" xr:uid="{00000000-0005-0000-0000-00003C030000}"/>
    <cellStyle name="Normal 2 5 2 2 29" xfId="840" xr:uid="{00000000-0005-0000-0000-00003D030000}"/>
    <cellStyle name="Normal 2 5 2 2 3" xfId="841" xr:uid="{00000000-0005-0000-0000-00003E030000}"/>
    <cellStyle name="Normal 2 5 2 2 30" xfId="842" xr:uid="{00000000-0005-0000-0000-00003F030000}"/>
    <cellStyle name="Normal 2 5 2 2 31" xfId="843" xr:uid="{00000000-0005-0000-0000-000040030000}"/>
    <cellStyle name="Normal 2 5 2 2 32" xfId="844" xr:uid="{00000000-0005-0000-0000-000041030000}"/>
    <cellStyle name="Normal 2 5 2 2 33" xfId="845" xr:uid="{00000000-0005-0000-0000-000042030000}"/>
    <cellStyle name="Normal 2 5 2 2 34" xfId="846" xr:uid="{00000000-0005-0000-0000-000043030000}"/>
    <cellStyle name="Normal 2 5 2 2 35" xfId="847" xr:uid="{00000000-0005-0000-0000-000044030000}"/>
    <cellStyle name="Normal 2 5 2 2 36" xfId="848" xr:uid="{00000000-0005-0000-0000-000045030000}"/>
    <cellStyle name="Normal 2 5 2 2 37" xfId="849" xr:uid="{00000000-0005-0000-0000-000046030000}"/>
    <cellStyle name="Normal 2 5 2 2 38" xfId="850" xr:uid="{00000000-0005-0000-0000-000047030000}"/>
    <cellStyle name="Normal 2 5 2 2 39" xfId="851" xr:uid="{00000000-0005-0000-0000-000048030000}"/>
    <cellStyle name="Normal 2 5 2 2 4" xfId="852" xr:uid="{00000000-0005-0000-0000-000049030000}"/>
    <cellStyle name="Normal 2 5 2 2 40" xfId="853" xr:uid="{00000000-0005-0000-0000-00004A030000}"/>
    <cellStyle name="Normal 2 5 2 2 41" xfId="854" xr:uid="{00000000-0005-0000-0000-00004B030000}"/>
    <cellStyle name="Normal 2 5 2 2 42" xfId="855" xr:uid="{00000000-0005-0000-0000-00004C030000}"/>
    <cellStyle name="Normal 2 5 2 2 43" xfId="856" xr:uid="{00000000-0005-0000-0000-00004D030000}"/>
    <cellStyle name="Normal 2 5 2 2 44" xfId="857" xr:uid="{00000000-0005-0000-0000-00004E030000}"/>
    <cellStyle name="Normal 2 5 2 2 45" xfId="858" xr:uid="{00000000-0005-0000-0000-00004F030000}"/>
    <cellStyle name="Normal 2 5 2 2 46" xfId="859" xr:uid="{00000000-0005-0000-0000-000050030000}"/>
    <cellStyle name="Normal 2 5 2 2 47" xfId="860" xr:uid="{00000000-0005-0000-0000-000051030000}"/>
    <cellStyle name="Normal 2 5 2 2 48" xfId="861" xr:uid="{00000000-0005-0000-0000-000052030000}"/>
    <cellStyle name="Normal 2 5 2 2 49" xfId="862" xr:uid="{00000000-0005-0000-0000-000053030000}"/>
    <cellStyle name="Normal 2 5 2 2 5" xfId="863" xr:uid="{00000000-0005-0000-0000-000054030000}"/>
    <cellStyle name="Normal 2 5 2 2 50" xfId="864" xr:uid="{00000000-0005-0000-0000-000055030000}"/>
    <cellStyle name="Normal 2 5 2 2 51" xfId="865" xr:uid="{00000000-0005-0000-0000-000056030000}"/>
    <cellStyle name="Normal 2 5 2 2 52" xfId="866" xr:uid="{00000000-0005-0000-0000-000057030000}"/>
    <cellStyle name="Normal 2 5 2 2 53" xfId="867" xr:uid="{00000000-0005-0000-0000-000058030000}"/>
    <cellStyle name="Normal 2 5 2 2 54" xfId="868" xr:uid="{00000000-0005-0000-0000-000059030000}"/>
    <cellStyle name="Normal 2 5 2 2 55" xfId="869" xr:uid="{00000000-0005-0000-0000-00005A030000}"/>
    <cellStyle name="Normal 2 5 2 2 6" xfId="870" xr:uid="{00000000-0005-0000-0000-00005B030000}"/>
    <cellStyle name="Normal 2 5 2 2 7" xfId="871" xr:uid="{00000000-0005-0000-0000-00005C030000}"/>
    <cellStyle name="Normal 2 5 2 2 8" xfId="872" xr:uid="{00000000-0005-0000-0000-00005D030000}"/>
    <cellStyle name="Normal 2 5 2 2 9" xfId="873" xr:uid="{00000000-0005-0000-0000-00005E030000}"/>
    <cellStyle name="Normal 2 5 2 20" xfId="874" xr:uid="{00000000-0005-0000-0000-00005F030000}"/>
    <cellStyle name="Normal 2 5 2 21" xfId="875" xr:uid="{00000000-0005-0000-0000-000060030000}"/>
    <cellStyle name="Normal 2 5 2 22" xfId="876" xr:uid="{00000000-0005-0000-0000-000061030000}"/>
    <cellStyle name="Normal 2 5 2 23" xfId="877" xr:uid="{00000000-0005-0000-0000-000062030000}"/>
    <cellStyle name="Normal 2 5 2 24" xfId="878" xr:uid="{00000000-0005-0000-0000-000063030000}"/>
    <cellStyle name="Normal 2 5 2 25" xfId="879" xr:uid="{00000000-0005-0000-0000-000064030000}"/>
    <cellStyle name="Normal 2 5 2 26" xfId="880" xr:uid="{00000000-0005-0000-0000-000065030000}"/>
    <cellStyle name="Normal 2 5 2 27" xfId="881" xr:uid="{00000000-0005-0000-0000-000066030000}"/>
    <cellStyle name="Normal 2 5 2 28" xfId="882" xr:uid="{00000000-0005-0000-0000-000067030000}"/>
    <cellStyle name="Normal 2 5 2 29" xfId="883" xr:uid="{00000000-0005-0000-0000-000068030000}"/>
    <cellStyle name="Normal 2 5 2 3" xfId="884" xr:uid="{00000000-0005-0000-0000-000069030000}"/>
    <cellStyle name="Normal 2 5 2 30" xfId="885" xr:uid="{00000000-0005-0000-0000-00006A030000}"/>
    <cellStyle name="Normal 2 5 2 31" xfId="886" xr:uid="{00000000-0005-0000-0000-00006B030000}"/>
    <cellStyle name="Normal 2 5 2 32" xfId="887" xr:uid="{00000000-0005-0000-0000-00006C030000}"/>
    <cellStyle name="Normal 2 5 2 33" xfId="888" xr:uid="{00000000-0005-0000-0000-00006D030000}"/>
    <cellStyle name="Normal 2 5 2 4" xfId="889" xr:uid="{00000000-0005-0000-0000-00006E030000}"/>
    <cellStyle name="Normal 2 5 2 5" xfId="890" xr:uid="{00000000-0005-0000-0000-00006F030000}"/>
    <cellStyle name="Normal 2 5 2 6" xfId="891" xr:uid="{00000000-0005-0000-0000-000070030000}"/>
    <cellStyle name="Normal 2 5 2 7" xfId="892" xr:uid="{00000000-0005-0000-0000-000071030000}"/>
    <cellStyle name="Normal 2 5 2 8" xfId="893" xr:uid="{00000000-0005-0000-0000-000072030000}"/>
    <cellStyle name="Normal 2 5 2 9" xfId="894" xr:uid="{00000000-0005-0000-0000-000073030000}"/>
    <cellStyle name="Normal 2 5 20" xfId="895" xr:uid="{00000000-0005-0000-0000-000074030000}"/>
    <cellStyle name="Normal 2 5 21" xfId="896" xr:uid="{00000000-0005-0000-0000-000075030000}"/>
    <cellStyle name="Normal 2 5 22" xfId="897" xr:uid="{00000000-0005-0000-0000-000076030000}"/>
    <cellStyle name="Normal 2 5 23" xfId="898" xr:uid="{00000000-0005-0000-0000-000077030000}"/>
    <cellStyle name="Normal 2 5 24" xfId="899" xr:uid="{00000000-0005-0000-0000-000078030000}"/>
    <cellStyle name="Normal 2 5 25" xfId="900" xr:uid="{00000000-0005-0000-0000-000079030000}"/>
    <cellStyle name="Normal 2 5 26" xfId="901" xr:uid="{00000000-0005-0000-0000-00007A030000}"/>
    <cellStyle name="Normal 2 5 27" xfId="902" xr:uid="{00000000-0005-0000-0000-00007B030000}"/>
    <cellStyle name="Normal 2 5 28" xfId="903" xr:uid="{00000000-0005-0000-0000-00007C030000}"/>
    <cellStyle name="Normal 2 5 29" xfId="904" xr:uid="{00000000-0005-0000-0000-00007D030000}"/>
    <cellStyle name="Normal 2 5 3" xfId="905" xr:uid="{00000000-0005-0000-0000-00007E030000}"/>
    <cellStyle name="Normal 2 5 30" xfId="906" xr:uid="{00000000-0005-0000-0000-00007F030000}"/>
    <cellStyle name="Normal 2 5 31" xfId="907" xr:uid="{00000000-0005-0000-0000-000080030000}"/>
    <cellStyle name="Normal 2 5 32" xfId="908" xr:uid="{00000000-0005-0000-0000-000081030000}"/>
    <cellStyle name="Normal 2 5 33" xfId="909" xr:uid="{00000000-0005-0000-0000-000082030000}"/>
    <cellStyle name="Normal 2 5 34" xfId="910" xr:uid="{00000000-0005-0000-0000-000083030000}"/>
    <cellStyle name="Normal 2 5 35" xfId="911" xr:uid="{00000000-0005-0000-0000-000084030000}"/>
    <cellStyle name="Normal 2 5 36" xfId="912" xr:uid="{00000000-0005-0000-0000-000085030000}"/>
    <cellStyle name="Normal 2 5 37" xfId="913" xr:uid="{00000000-0005-0000-0000-000086030000}"/>
    <cellStyle name="Normal 2 5 38" xfId="914" xr:uid="{00000000-0005-0000-0000-000087030000}"/>
    <cellStyle name="Normal 2 5 39" xfId="915" xr:uid="{00000000-0005-0000-0000-000088030000}"/>
    <cellStyle name="Normal 2 5 4" xfId="916" xr:uid="{00000000-0005-0000-0000-000089030000}"/>
    <cellStyle name="Normal 2 5 40" xfId="917" xr:uid="{00000000-0005-0000-0000-00008A030000}"/>
    <cellStyle name="Normal 2 5 41" xfId="918" xr:uid="{00000000-0005-0000-0000-00008B030000}"/>
    <cellStyle name="Normal 2 5 42" xfId="919" xr:uid="{00000000-0005-0000-0000-00008C030000}"/>
    <cellStyle name="Normal 2 5 43" xfId="920" xr:uid="{00000000-0005-0000-0000-00008D030000}"/>
    <cellStyle name="Normal 2 5 44" xfId="921" xr:uid="{00000000-0005-0000-0000-00008E030000}"/>
    <cellStyle name="Normal 2 5 45" xfId="922" xr:uid="{00000000-0005-0000-0000-00008F030000}"/>
    <cellStyle name="Normal 2 5 46" xfId="923" xr:uid="{00000000-0005-0000-0000-000090030000}"/>
    <cellStyle name="Normal 2 5 47" xfId="924" xr:uid="{00000000-0005-0000-0000-000091030000}"/>
    <cellStyle name="Normal 2 5 48" xfId="925" xr:uid="{00000000-0005-0000-0000-000092030000}"/>
    <cellStyle name="Normal 2 5 49" xfId="926" xr:uid="{00000000-0005-0000-0000-000093030000}"/>
    <cellStyle name="Normal 2 5 5" xfId="927" xr:uid="{00000000-0005-0000-0000-000094030000}"/>
    <cellStyle name="Normal 2 5 50" xfId="928" xr:uid="{00000000-0005-0000-0000-000095030000}"/>
    <cellStyle name="Normal 2 5 51" xfId="929" xr:uid="{00000000-0005-0000-0000-000096030000}"/>
    <cellStyle name="Normal 2 5 52" xfId="930" xr:uid="{00000000-0005-0000-0000-000097030000}"/>
    <cellStyle name="Normal 2 5 53" xfId="931" xr:uid="{00000000-0005-0000-0000-000098030000}"/>
    <cellStyle name="Normal 2 5 54" xfId="932" xr:uid="{00000000-0005-0000-0000-000099030000}"/>
    <cellStyle name="Normal 2 5 55" xfId="933" xr:uid="{00000000-0005-0000-0000-00009A030000}"/>
    <cellStyle name="Normal 2 5 56" xfId="934" xr:uid="{00000000-0005-0000-0000-00009B030000}"/>
    <cellStyle name="Normal 2 5 57" xfId="935" xr:uid="{00000000-0005-0000-0000-00009C030000}"/>
    <cellStyle name="Normal 2 5 58" xfId="936" xr:uid="{00000000-0005-0000-0000-00009D030000}"/>
    <cellStyle name="Normal 2 5 59" xfId="937" xr:uid="{00000000-0005-0000-0000-00009E030000}"/>
    <cellStyle name="Normal 2 5 6" xfId="938" xr:uid="{00000000-0005-0000-0000-00009F030000}"/>
    <cellStyle name="Normal 2 5 60" xfId="939" xr:uid="{00000000-0005-0000-0000-0000A0030000}"/>
    <cellStyle name="Normal 2 5 61" xfId="940" xr:uid="{00000000-0005-0000-0000-0000A1030000}"/>
    <cellStyle name="Normal 2 5 62" xfId="941" xr:uid="{00000000-0005-0000-0000-0000A2030000}"/>
    <cellStyle name="Normal 2 5 63" xfId="942" xr:uid="{00000000-0005-0000-0000-0000A3030000}"/>
    <cellStyle name="Normal 2 5 64" xfId="943" xr:uid="{00000000-0005-0000-0000-0000A4030000}"/>
    <cellStyle name="Normal 2 5 65" xfId="944" xr:uid="{00000000-0005-0000-0000-0000A5030000}"/>
    <cellStyle name="Normal 2 5 66" xfId="945" xr:uid="{00000000-0005-0000-0000-0000A6030000}"/>
    <cellStyle name="Normal 2 5 67" xfId="946" xr:uid="{00000000-0005-0000-0000-0000A7030000}"/>
    <cellStyle name="Normal 2 5 68" xfId="947" xr:uid="{00000000-0005-0000-0000-0000A8030000}"/>
    <cellStyle name="Normal 2 5 69" xfId="948" xr:uid="{00000000-0005-0000-0000-0000A9030000}"/>
    <cellStyle name="Normal 2 5 7" xfId="949" xr:uid="{00000000-0005-0000-0000-0000AA030000}"/>
    <cellStyle name="Normal 2 5 70" xfId="950" xr:uid="{00000000-0005-0000-0000-0000AB030000}"/>
    <cellStyle name="Normal 2 5 71" xfId="951" xr:uid="{00000000-0005-0000-0000-0000AC030000}"/>
    <cellStyle name="Normal 2 5 72" xfId="952" xr:uid="{00000000-0005-0000-0000-0000AD030000}"/>
    <cellStyle name="Normal 2 5 73" xfId="953" xr:uid="{00000000-0005-0000-0000-0000AE030000}"/>
    <cellStyle name="Normal 2 5 74" xfId="954" xr:uid="{00000000-0005-0000-0000-0000AF030000}"/>
    <cellStyle name="Normal 2 5 75" xfId="955" xr:uid="{00000000-0005-0000-0000-0000B0030000}"/>
    <cellStyle name="Normal 2 5 76" xfId="956" xr:uid="{00000000-0005-0000-0000-0000B1030000}"/>
    <cellStyle name="Normal 2 5 77" xfId="957" xr:uid="{00000000-0005-0000-0000-0000B2030000}"/>
    <cellStyle name="Normal 2 5 78" xfId="958" xr:uid="{00000000-0005-0000-0000-0000B3030000}"/>
    <cellStyle name="Normal 2 5 79" xfId="959" xr:uid="{00000000-0005-0000-0000-0000B4030000}"/>
    <cellStyle name="Normal 2 5 8" xfId="960" xr:uid="{00000000-0005-0000-0000-0000B5030000}"/>
    <cellStyle name="Normal 2 5 80" xfId="961" xr:uid="{00000000-0005-0000-0000-0000B6030000}"/>
    <cellStyle name="Normal 2 5 81" xfId="962" xr:uid="{00000000-0005-0000-0000-0000B7030000}"/>
    <cellStyle name="Normal 2 5 82" xfId="963" xr:uid="{00000000-0005-0000-0000-0000B8030000}"/>
    <cellStyle name="Normal 2 5 83" xfId="964" xr:uid="{00000000-0005-0000-0000-0000B9030000}"/>
    <cellStyle name="Normal 2 5 84" xfId="965" xr:uid="{00000000-0005-0000-0000-0000BA030000}"/>
    <cellStyle name="Normal 2 5 85" xfId="966" xr:uid="{00000000-0005-0000-0000-0000BB030000}"/>
    <cellStyle name="Normal 2 5 86" xfId="967" xr:uid="{00000000-0005-0000-0000-0000BC030000}"/>
    <cellStyle name="Normal 2 5 87" xfId="968" xr:uid="{00000000-0005-0000-0000-0000BD030000}"/>
    <cellStyle name="Normal 2 5 9" xfId="969" xr:uid="{00000000-0005-0000-0000-0000BE030000}"/>
    <cellStyle name="Normal 2 5_DEER 032008 Cost Summary Delivery - Rev 4 (2)" xfId="970" xr:uid="{00000000-0005-0000-0000-0000BF030000}"/>
    <cellStyle name="Normal 2 50" xfId="971" xr:uid="{00000000-0005-0000-0000-0000C0030000}"/>
    <cellStyle name="Normal 2 51" xfId="972" xr:uid="{00000000-0005-0000-0000-0000C1030000}"/>
    <cellStyle name="Normal 2 52" xfId="973" xr:uid="{00000000-0005-0000-0000-0000C2030000}"/>
    <cellStyle name="Normal 2 53" xfId="974" xr:uid="{00000000-0005-0000-0000-0000C3030000}"/>
    <cellStyle name="Normal 2 54" xfId="975" xr:uid="{00000000-0005-0000-0000-0000C4030000}"/>
    <cellStyle name="Normal 2 55" xfId="976" xr:uid="{00000000-0005-0000-0000-0000C5030000}"/>
    <cellStyle name="Normal 2 56" xfId="977" xr:uid="{00000000-0005-0000-0000-0000C6030000}"/>
    <cellStyle name="Normal 2 57" xfId="978" xr:uid="{00000000-0005-0000-0000-0000C7030000}"/>
    <cellStyle name="Normal 2 58" xfId="979" xr:uid="{00000000-0005-0000-0000-0000C8030000}"/>
    <cellStyle name="Normal 2 59" xfId="980" xr:uid="{00000000-0005-0000-0000-0000C9030000}"/>
    <cellStyle name="Normal 2 6" xfId="981" xr:uid="{00000000-0005-0000-0000-0000CA030000}"/>
    <cellStyle name="Normal 2 60" xfId="982" xr:uid="{00000000-0005-0000-0000-0000CB030000}"/>
    <cellStyle name="Normal 2 61" xfId="983" xr:uid="{00000000-0005-0000-0000-0000CC030000}"/>
    <cellStyle name="Normal 2 62" xfId="984" xr:uid="{00000000-0005-0000-0000-0000CD030000}"/>
    <cellStyle name="Normal 2 63" xfId="985" xr:uid="{00000000-0005-0000-0000-0000CE030000}"/>
    <cellStyle name="Normal 2 64" xfId="986" xr:uid="{00000000-0005-0000-0000-0000CF030000}"/>
    <cellStyle name="Normal 2 65" xfId="987" xr:uid="{00000000-0005-0000-0000-0000D0030000}"/>
    <cellStyle name="Normal 2 66" xfId="988" xr:uid="{00000000-0005-0000-0000-0000D1030000}"/>
    <cellStyle name="Normal 2 67" xfId="989" xr:uid="{00000000-0005-0000-0000-0000D2030000}"/>
    <cellStyle name="Normal 2 68" xfId="990" xr:uid="{00000000-0005-0000-0000-0000D3030000}"/>
    <cellStyle name="Normal 2 69" xfId="991" xr:uid="{00000000-0005-0000-0000-0000D4030000}"/>
    <cellStyle name="Normal 2 7" xfId="992" xr:uid="{00000000-0005-0000-0000-0000D5030000}"/>
    <cellStyle name="Normal 2 70" xfId="993" xr:uid="{00000000-0005-0000-0000-0000D6030000}"/>
    <cellStyle name="Normal 2 71" xfId="994" xr:uid="{00000000-0005-0000-0000-0000D7030000}"/>
    <cellStyle name="Normal 2 72" xfId="995" xr:uid="{00000000-0005-0000-0000-0000D8030000}"/>
    <cellStyle name="Normal 2 73" xfId="996" xr:uid="{00000000-0005-0000-0000-0000D9030000}"/>
    <cellStyle name="Normal 2 74" xfId="997" xr:uid="{00000000-0005-0000-0000-0000DA030000}"/>
    <cellStyle name="Normal 2 75" xfId="998" xr:uid="{00000000-0005-0000-0000-0000DB030000}"/>
    <cellStyle name="Normal 2 76" xfId="999" xr:uid="{00000000-0005-0000-0000-0000DC030000}"/>
    <cellStyle name="Normal 2 77" xfId="1000" xr:uid="{00000000-0005-0000-0000-0000DD030000}"/>
    <cellStyle name="Normal 2 78" xfId="1001" xr:uid="{00000000-0005-0000-0000-0000DE030000}"/>
    <cellStyle name="Normal 2 79" xfId="1002" xr:uid="{00000000-0005-0000-0000-0000DF030000}"/>
    <cellStyle name="Normal 2 8" xfId="1003" xr:uid="{00000000-0005-0000-0000-0000E0030000}"/>
    <cellStyle name="Normal 2 8 10" xfId="1004" xr:uid="{00000000-0005-0000-0000-0000E1030000}"/>
    <cellStyle name="Normal 2 8 11" xfId="1005" xr:uid="{00000000-0005-0000-0000-0000E2030000}"/>
    <cellStyle name="Normal 2 8 12" xfId="1006" xr:uid="{00000000-0005-0000-0000-0000E3030000}"/>
    <cellStyle name="Normal 2 8 13" xfId="1007" xr:uid="{00000000-0005-0000-0000-0000E4030000}"/>
    <cellStyle name="Normal 2 8 14" xfId="1008" xr:uid="{00000000-0005-0000-0000-0000E5030000}"/>
    <cellStyle name="Normal 2 8 15" xfId="1009" xr:uid="{00000000-0005-0000-0000-0000E6030000}"/>
    <cellStyle name="Normal 2 8 16" xfId="1010" xr:uid="{00000000-0005-0000-0000-0000E7030000}"/>
    <cellStyle name="Normal 2 8 17" xfId="1011" xr:uid="{00000000-0005-0000-0000-0000E8030000}"/>
    <cellStyle name="Normal 2 8 18" xfId="1012" xr:uid="{00000000-0005-0000-0000-0000E9030000}"/>
    <cellStyle name="Normal 2 8 19" xfId="1013" xr:uid="{00000000-0005-0000-0000-0000EA030000}"/>
    <cellStyle name="Normal 2 8 2" xfId="1014" xr:uid="{00000000-0005-0000-0000-0000EB030000}"/>
    <cellStyle name="Normal 2 8 20" xfId="1015" xr:uid="{00000000-0005-0000-0000-0000EC030000}"/>
    <cellStyle name="Normal 2 8 21" xfId="1016" xr:uid="{00000000-0005-0000-0000-0000ED030000}"/>
    <cellStyle name="Normal 2 8 22" xfId="1017" xr:uid="{00000000-0005-0000-0000-0000EE030000}"/>
    <cellStyle name="Normal 2 8 23" xfId="1018" xr:uid="{00000000-0005-0000-0000-0000EF030000}"/>
    <cellStyle name="Normal 2 8 3" xfId="1019" xr:uid="{00000000-0005-0000-0000-0000F0030000}"/>
    <cellStyle name="Normal 2 8 4" xfId="1020" xr:uid="{00000000-0005-0000-0000-0000F1030000}"/>
    <cellStyle name="Normal 2 8 5" xfId="1021" xr:uid="{00000000-0005-0000-0000-0000F2030000}"/>
    <cellStyle name="Normal 2 8 6" xfId="1022" xr:uid="{00000000-0005-0000-0000-0000F3030000}"/>
    <cellStyle name="Normal 2 8 7" xfId="1023" xr:uid="{00000000-0005-0000-0000-0000F4030000}"/>
    <cellStyle name="Normal 2 8 8" xfId="1024" xr:uid="{00000000-0005-0000-0000-0000F5030000}"/>
    <cellStyle name="Normal 2 8 9" xfId="1025" xr:uid="{00000000-0005-0000-0000-0000F6030000}"/>
    <cellStyle name="Normal 2 80" xfId="1026" xr:uid="{00000000-0005-0000-0000-0000F7030000}"/>
    <cellStyle name="Normal 2 81" xfId="1027" xr:uid="{00000000-0005-0000-0000-0000F8030000}"/>
    <cellStyle name="Normal 2 82" xfId="1028" xr:uid="{00000000-0005-0000-0000-0000F9030000}"/>
    <cellStyle name="Normal 2 83" xfId="1029" xr:uid="{00000000-0005-0000-0000-0000FA030000}"/>
    <cellStyle name="Normal 2 84" xfId="1030" xr:uid="{00000000-0005-0000-0000-0000FB030000}"/>
    <cellStyle name="Normal 2 85" xfId="1031" xr:uid="{00000000-0005-0000-0000-0000FC030000}"/>
    <cellStyle name="Normal 2 86" xfId="1032" xr:uid="{00000000-0005-0000-0000-0000FD030000}"/>
    <cellStyle name="Normal 2 87" xfId="1033" xr:uid="{00000000-0005-0000-0000-0000FE030000}"/>
    <cellStyle name="Normal 2 88" xfId="1034" xr:uid="{00000000-0005-0000-0000-0000FF030000}"/>
    <cellStyle name="Normal 2 89" xfId="1035" xr:uid="{00000000-0005-0000-0000-000000040000}"/>
    <cellStyle name="Normal 2 9" xfId="1036" xr:uid="{00000000-0005-0000-0000-000001040000}"/>
    <cellStyle name="Normal 2 9 10" xfId="1037" xr:uid="{00000000-0005-0000-0000-000002040000}"/>
    <cellStyle name="Normal 2 9 11" xfId="1038" xr:uid="{00000000-0005-0000-0000-000003040000}"/>
    <cellStyle name="Normal 2 9 12" xfId="1039" xr:uid="{00000000-0005-0000-0000-000004040000}"/>
    <cellStyle name="Normal 2 9 13" xfId="1040" xr:uid="{00000000-0005-0000-0000-000005040000}"/>
    <cellStyle name="Normal 2 9 14" xfId="1041" xr:uid="{00000000-0005-0000-0000-000006040000}"/>
    <cellStyle name="Normal 2 9 15" xfId="1042" xr:uid="{00000000-0005-0000-0000-000007040000}"/>
    <cellStyle name="Normal 2 9 16" xfId="1043" xr:uid="{00000000-0005-0000-0000-000008040000}"/>
    <cellStyle name="Normal 2 9 17" xfId="1044" xr:uid="{00000000-0005-0000-0000-000009040000}"/>
    <cellStyle name="Normal 2 9 18" xfId="1045" xr:uid="{00000000-0005-0000-0000-00000A040000}"/>
    <cellStyle name="Normal 2 9 19" xfId="1046" xr:uid="{00000000-0005-0000-0000-00000B040000}"/>
    <cellStyle name="Normal 2 9 2" xfId="1047" xr:uid="{00000000-0005-0000-0000-00000C040000}"/>
    <cellStyle name="Normal 2 9 20" xfId="1048" xr:uid="{00000000-0005-0000-0000-00000D040000}"/>
    <cellStyle name="Normal 2 9 21" xfId="1049" xr:uid="{00000000-0005-0000-0000-00000E040000}"/>
    <cellStyle name="Normal 2 9 22" xfId="1050" xr:uid="{00000000-0005-0000-0000-00000F040000}"/>
    <cellStyle name="Normal 2 9 23" xfId="1051" xr:uid="{00000000-0005-0000-0000-000010040000}"/>
    <cellStyle name="Normal 2 9 3" xfId="1052" xr:uid="{00000000-0005-0000-0000-000011040000}"/>
    <cellStyle name="Normal 2 9 4" xfId="1053" xr:uid="{00000000-0005-0000-0000-000012040000}"/>
    <cellStyle name="Normal 2 9 5" xfId="1054" xr:uid="{00000000-0005-0000-0000-000013040000}"/>
    <cellStyle name="Normal 2 9 6" xfId="1055" xr:uid="{00000000-0005-0000-0000-000014040000}"/>
    <cellStyle name="Normal 2 9 7" xfId="1056" xr:uid="{00000000-0005-0000-0000-000015040000}"/>
    <cellStyle name="Normal 2 9 8" xfId="1057" xr:uid="{00000000-0005-0000-0000-000016040000}"/>
    <cellStyle name="Normal 2 9 9" xfId="1058" xr:uid="{00000000-0005-0000-0000-000017040000}"/>
    <cellStyle name="Normal 2 90" xfId="1059" xr:uid="{00000000-0005-0000-0000-000018040000}"/>
    <cellStyle name="Normal 2 91" xfId="1060" xr:uid="{00000000-0005-0000-0000-000019040000}"/>
    <cellStyle name="Normal 2 92" xfId="1061" xr:uid="{00000000-0005-0000-0000-00001A040000}"/>
    <cellStyle name="Normal 2 93" xfId="1062" xr:uid="{00000000-0005-0000-0000-00001B040000}"/>
    <cellStyle name="Normal 2 94" xfId="55" xr:uid="{00000000-0005-0000-0000-00001C040000}"/>
    <cellStyle name="Normal 2_DEER 032008 Cost Summary Delivery - Rev 4 (2)" xfId="1063" xr:uid="{00000000-0005-0000-0000-00001D040000}"/>
    <cellStyle name="Normal 3" xfId="51" xr:uid="{00000000-0005-0000-0000-00001E040000}"/>
    <cellStyle name="Normal 3 10" xfId="1065" xr:uid="{00000000-0005-0000-0000-00001F040000}"/>
    <cellStyle name="Normal 3 10 10" xfId="1066" xr:uid="{00000000-0005-0000-0000-000020040000}"/>
    <cellStyle name="Normal 3 10 11" xfId="1067" xr:uid="{00000000-0005-0000-0000-000021040000}"/>
    <cellStyle name="Normal 3 10 12" xfId="1068" xr:uid="{00000000-0005-0000-0000-000022040000}"/>
    <cellStyle name="Normal 3 10 13" xfId="1069" xr:uid="{00000000-0005-0000-0000-000023040000}"/>
    <cellStyle name="Normal 3 10 14" xfId="1070" xr:uid="{00000000-0005-0000-0000-000024040000}"/>
    <cellStyle name="Normal 3 10 15" xfId="1071" xr:uid="{00000000-0005-0000-0000-000025040000}"/>
    <cellStyle name="Normal 3 10 16" xfId="1072" xr:uid="{00000000-0005-0000-0000-000026040000}"/>
    <cellStyle name="Normal 3 10 17" xfId="1073" xr:uid="{00000000-0005-0000-0000-000027040000}"/>
    <cellStyle name="Normal 3 10 18" xfId="1074" xr:uid="{00000000-0005-0000-0000-000028040000}"/>
    <cellStyle name="Normal 3 10 19" xfId="1075" xr:uid="{00000000-0005-0000-0000-000029040000}"/>
    <cellStyle name="Normal 3 10 2" xfId="1076" xr:uid="{00000000-0005-0000-0000-00002A040000}"/>
    <cellStyle name="Normal 3 10 20" xfId="1077" xr:uid="{00000000-0005-0000-0000-00002B040000}"/>
    <cellStyle name="Normal 3 10 21" xfId="1078" xr:uid="{00000000-0005-0000-0000-00002C040000}"/>
    <cellStyle name="Normal 3 10 22" xfId="1079" xr:uid="{00000000-0005-0000-0000-00002D040000}"/>
    <cellStyle name="Normal 3 10 23" xfId="1080" xr:uid="{00000000-0005-0000-0000-00002E040000}"/>
    <cellStyle name="Normal 3 10 3" xfId="1081" xr:uid="{00000000-0005-0000-0000-00002F040000}"/>
    <cellStyle name="Normal 3 10 4" xfId="1082" xr:uid="{00000000-0005-0000-0000-000030040000}"/>
    <cellStyle name="Normal 3 10 5" xfId="1083" xr:uid="{00000000-0005-0000-0000-000031040000}"/>
    <cellStyle name="Normal 3 10 6" xfId="1084" xr:uid="{00000000-0005-0000-0000-000032040000}"/>
    <cellStyle name="Normal 3 10 7" xfId="1085" xr:uid="{00000000-0005-0000-0000-000033040000}"/>
    <cellStyle name="Normal 3 10 8" xfId="1086" xr:uid="{00000000-0005-0000-0000-000034040000}"/>
    <cellStyle name="Normal 3 10 9" xfId="1087" xr:uid="{00000000-0005-0000-0000-000035040000}"/>
    <cellStyle name="Normal 3 11" xfId="1088" xr:uid="{00000000-0005-0000-0000-000036040000}"/>
    <cellStyle name="Normal 3 11 10" xfId="1089" xr:uid="{00000000-0005-0000-0000-000037040000}"/>
    <cellStyle name="Normal 3 11 11" xfId="1090" xr:uid="{00000000-0005-0000-0000-000038040000}"/>
    <cellStyle name="Normal 3 11 12" xfId="1091" xr:uid="{00000000-0005-0000-0000-000039040000}"/>
    <cellStyle name="Normal 3 11 13" xfId="1092" xr:uid="{00000000-0005-0000-0000-00003A040000}"/>
    <cellStyle name="Normal 3 11 14" xfId="1093" xr:uid="{00000000-0005-0000-0000-00003B040000}"/>
    <cellStyle name="Normal 3 11 15" xfId="1094" xr:uid="{00000000-0005-0000-0000-00003C040000}"/>
    <cellStyle name="Normal 3 11 16" xfId="1095" xr:uid="{00000000-0005-0000-0000-00003D040000}"/>
    <cellStyle name="Normal 3 11 17" xfId="1096" xr:uid="{00000000-0005-0000-0000-00003E040000}"/>
    <cellStyle name="Normal 3 11 18" xfId="1097" xr:uid="{00000000-0005-0000-0000-00003F040000}"/>
    <cellStyle name="Normal 3 11 19" xfId="1098" xr:uid="{00000000-0005-0000-0000-000040040000}"/>
    <cellStyle name="Normal 3 11 2" xfId="1099" xr:uid="{00000000-0005-0000-0000-000041040000}"/>
    <cellStyle name="Normal 3 11 20" xfId="1100" xr:uid="{00000000-0005-0000-0000-000042040000}"/>
    <cellStyle name="Normal 3 11 21" xfId="1101" xr:uid="{00000000-0005-0000-0000-000043040000}"/>
    <cellStyle name="Normal 3 11 22" xfId="1102" xr:uid="{00000000-0005-0000-0000-000044040000}"/>
    <cellStyle name="Normal 3 11 23" xfId="1103" xr:uid="{00000000-0005-0000-0000-000045040000}"/>
    <cellStyle name="Normal 3 11 3" xfId="1104" xr:uid="{00000000-0005-0000-0000-000046040000}"/>
    <cellStyle name="Normal 3 11 4" xfId="1105" xr:uid="{00000000-0005-0000-0000-000047040000}"/>
    <cellStyle name="Normal 3 11 5" xfId="1106" xr:uid="{00000000-0005-0000-0000-000048040000}"/>
    <cellStyle name="Normal 3 11 6" xfId="1107" xr:uid="{00000000-0005-0000-0000-000049040000}"/>
    <cellStyle name="Normal 3 11 7" xfId="1108" xr:uid="{00000000-0005-0000-0000-00004A040000}"/>
    <cellStyle name="Normal 3 11 8" xfId="1109" xr:uid="{00000000-0005-0000-0000-00004B040000}"/>
    <cellStyle name="Normal 3 11 9" xfId="1110" xr:uid="{00000000-0005-0000-0000-00004C040000}"/>
    <cellStyle name="Normal 3 12" xfId="1111" xr:uid="{00000000-0005-0000-0000-00004D040000}"/>
    <cellStyle name="Normal 3 12 10" xfId="1112" xr:uid="{00000000-0005-0000-0000-00004E040000}"/>
    <cellStyle name="Normal 3 12 11" xfId="1113" xr:uid="{00000000-0005-0000-0000-00004F040000}"/>
    <cellStyle name="Normal 3 12 12" xfId="1114" xr:uid="{00000000-0005-0000-0000-000050040000}"/>
    <cellStyle name="Normal 3 12 13" xfId="1115" xr:uid="{00000000-0005-0000-0000-000051040000}"/>
    <cellStyle name="Normal 3 12 14" xfId="1116" xr:uid="{00000000-0005-0000-0000-000052040000}"/>
    <cellStyle name="Normal 3 12 15" xfId="1117" xr:uid="{00000000-0005-0000-0000-000053040000}"/>
    <cellStyle name="Normal 3 12 16" xfId="1118" xr:uid="{00000000-0005-0000-0000-000054040000}"/>
    <cellStyle name="Normal 3 12 17" xfId="1119" xr:uid="{00000000-0005-0000-0000-000055040000}"/>
    <cellStyle name="Normal 3 12 18" xfId="1120" xr:uid="{00000000-0005-0000-0000-000056040000}"/>
    <cellStyle name="Normal 3 12 19" xfId="1121" xr:uid="{00000000-0005-0000-0000-000057040000}"/>
    <cellStyle name="Normal 3 12 2" xfId="1122" xr:uid="{00000000-0005-0000-0000-000058040000}"/>
    <cellStyle name="Normal 3 12 20" xfId="1123" xr:uid="{00000000-0005-0000-0000-000059040000}"/>
    <cellStyle name="Normal 3 12 21" xfId="1124" xr:uid="{00000000-0005-0000-0000-00005A040000}"/>
    <cellStyle name="Normal 3 12 22" xfId="1125" xr:uid="{00000000-0005-0000-0000-00005B040000}"/>
    <cellStyle name="Normal 3 12 23" xfId="1126" xr:uid="{00000000-0005-0000-0000-00005C040000}"/>
    <cellStyle name="Normal 3 12 3" xfId="1127" xr:uid="{00000000-0005-0000-0000-00005D040000}"/>
    <cellStyle name="Normal 3 12 4" xfId="1128" xr:uid="{00000000-0005-0000-0000-00005E040000}"/>
    <cellStyle name="Normal 3 12 5" xfId="1129" xr:uid="{00000000-0005-0000-0000-00005F040000}"/>
    <cellStyle name="Normal 3 12 6" xfId="1130" xr:uid="{00000000-0005-0000-0000-000060040000}"/>
    <cellStyle name="Normal 3 12 7" xfId="1131" xr:uid="{00000000-0005-0000-0000-000061040000}"/>
    <cellStyle name="Normal 3 12 8" xfId="1132" xr:uid="{00000000-0005-0000-0000-000062040000}"/>
    <cellStyle name="Normal 3 12 9" xfId="1133" xr:uid="{00000000-0005-0000-0000-000063040000}"/>
    <cellStyle name="Normal 3 13" xfId="1134" xr:uid="{00000000-0005-0000-0000-000064040000}"/>
    <cellStyle name="Normal 3 13 10" xfId="1135" xr:uid="{00000000-0005-0000-0000-000065040000}"/>
    <cellStyle name="Normal 3 13 11" xfId="1136" xr:uid="{00000000-0005-0000-0000-000066040000}"/>
    <cellStyle name="Normal 3 13 12" xfId="1137" xr:uid="{00000000-0005-0000-0000-000067040000}"/>
    <cellStyle name="Normal 3 13 13" xfId="1138" xr:uid="{00000000-0005-0000-0000-000068040000}"/>
    <cellStyle name="Normal 3 13 14" xfId="1139" xr:uid="{00000000-0005-0000-0000-000069040000}"/>
    <cellStyle name="Normal 3 13 15" xfId="1140" xr:uid="{00000000-0005-0000-0000-00006A040000}"/>
    <cellStyle name="Normal 3 13 16" xfId="1141" xr:uid="{00000000-0005-0000-0000-00006B040000}"/>
    <cellStyle name="Normal 3 13 17" xfId="1142" xr:uid="{00000000-0005-0000-0000-00006C040000}"/>
    <cellStyle name="Normal 3 13 18" xfId="1143" xr:uid="{00000000-0005-0000-0000-00006D040000}"/>
    <cellStyle name="Normal 3 13 19" xfId="1144" xr:uid="{00000000-0005-0000-0000-00006E040000}"/>
    <cellStyle name="Normal 3 13 2" xfId="1145" xr:uid="{00000000-0005-0000-0000-00006F040000}"/>
    <cellStyle name="Normal 3 13 20" xfId="1146" xr:uid="{00000000-0005-0000-0000-000070040000}"/>
    <cellStyle name="Normal 3 13 21" xfId="1147" xr:uid="{00000000-0005-0000-0000-000071040000}"/>
    <cellStyle name="Normal 3 13 22" xfId="1148" xr:uid="{00000000-0005-0000-0000-000072040000}"/>
    <cellStyle name="Normal 3 13 23" xfId="1149" xr:uid="{00000000-0005-0000-0000-000073040000}"/>
    <cellStyle name="Normal 3 13 3" xfId="1150" xr:uid="{00000000-0005-0000-0000-000074040000}"/>
    <cellStyle name="Normal 3 13 4" xfId="1151" xr:uid="{00000000-0005-0000-0000-000075040000}"/>
    <cellStyle name="Normal 3 13 5" xfId="1152" xr:uid="{00000000-0005-0000-0000-000076040000}"/>
    <cellStyle name="Normal 3 13 6" xfId="1153" xr:uid="{00000000-0005-0000-0000-000077040000}"/>
    <cellStyle name="Normal 3 13 7" xfId="1154" xr:uid="{00000000-0005-0000-0000-000078040000}"/>
    <cellStyle name="Normal 3 13 8" xfId="1155" xr:uid="{00000000-0005-0000-0000-000079040000}"/>
    <cellStyle name="Normal 3 13 9" xfId="1156" xr:uid="{00000000-0005-0000-0000-00007A040000}"/>
    <cellStyle name="Normal 3 14" xfId="1157" xr:uid="{00000000-0005-0000-0000-00007B040000}"/>
    <cellStyle name="Normal 3 14 10" xfId="1158" xr:uid="{00000000-0005-0000-0000-00007C040000}"/>
    <cellStyle name="Normal 3 14 11" xfId="1159" xr:uid="{00000000-0005-0000-0000-00007D040000}"/>
    <cellStyle name="Normal 3 14 12" xfId="1160" xr:uid="{00000000-0005-0000-0000-00007E040000}"/>
    <cellStyle name="Normal 3 14 13" xfId="1161" xr:uid="{00000000-0005-0000-0000-00007F040000}"/>
    <cellStyle name="Normal 3 14 14" xfId="1162" xr:uid="{00000000-0005-0000-0000-000080040000}"/>
    <cellStyle name="Normal 3 14 15" xfId="1163" xr:uid="{00000000-0005-0000-0000-000081040000}"/>
    <cellStyle name="Normal 3 14 16" xfId="1164" xr:uid="{00000000-0005-0000-0000-000082040000}"/>
    <cellStyle name="Normal 3 14 17" xfId="1165" xr:uid="{00000000-0005-0000-0000-000083040000}"/>
    <cellStyle name="Normal 3 14 18" xfId="1166" xr:uid="{00000000-0005-0000-0000-000084040000}"/>
    <cellStyle name="Normal 3 14 19" xfId="1167" xr:uid="{00000000-0005-0000-0000-000085040000}"/>
    <cellStyle name="Normal 3 14 2" xfId="1168" xr:uid="{00000000-0005-0000-0000-000086040000}"/>
    <cellStyle name="Normal 3 14 20" xfId="1169" xr:uid="{00000000-0005-0000-0000-000087040000}"/>
    <cellStyle name="Normal 3 14 21" xfId="1170" xr:uid="{00000000-0005-0000-0000-000088040000}"/>
    <cellStyle name="Normal 3 14 22" xfId="1171" xr:uid="{00000000-0005-0000-0000-000089040000}"/>
    <cellStyle name="Normal 3 14 23" xfId="1172" xr:uid="{00000000-0005-0000-0000-00008A040000}"/>
    <cellStyle name="Normal 3 14 3" xfId="1173" xr:uid="{00000000-0005-0000-0000-00008B040000}"/>
    <cellStyle name="Normal 3 14 4" xfId="1174" xr:uid="{00000000-0005-0000-0000-00008C040000}"/>
    <cellStyle name="Normal 3 14 5" xfId="1175" xr:uid="{00000000-0005-0000-0000-00008D040000}"/>
    <cellStyle name="Normal 3 14 6" xfId="1176" xr:uid="{00000000-0005-0000-0000-00008E040000}"/>
    <cellStyle name="Normal 3 14 7" xfId="1177" xr:uid="{00000000-0005-0000-0000-00008F040000}"/>
    <cellStyle name="Normal 3 14 8" xfId="1178" xr:uid="{00000000-0005-0000-0000-000090040000}"/>
    <cellStyle name="Normal 3 14 9" xfId="1179" xr:uid="{00000000-0005-0000-0000-000091040000}"/>
    <cellStyle name="Normal 3 15" xfId="1180" xr:uid="{00000000-0005-0000-0000-000092040000}"/>
    <cellStyle name="Normal 3 15 10" xfId="1181" xr:uid="{00000000-0005-0000-0000-000093040000}"/>
    <cellStyle name="Normal 3 15 11" xfId="1182" xr:uid="{00000000-0005-0000-0000-000094040000}"/>
    <cellStyle name="Normal 3 15 12" xfId="1183" xr:uid="{00000000-0005-0000-0000-000095040000}"/>
    <cellStyle name="Normal 3 15 13" xfId="1184" xr:uid="{00000000-0005-0000-0000-000096040000}"/>
    <cellStyle name="Normal 3 15 14" xfId="1185" xr:uid="{00000000-0005-0000-0000-000097040000}"/>
    <cellStyle name="Normal 3 15 15" xfId="1186" xr:uid="{00000000-0005-0000-0000-000098040000}"/>
    <cellStyle name="Normal 3 15 16" xfId="1187" xr:uid="{00000000-0005-0000-0000-000099040000}"/>
    <cellStyle name="Normal 3 15 17" xfId="1188" xr:uid="{00000000-0005-0000-0000-00009A040000}"/>
    <cellStyle name="Normal 3 15 18" xfId="1189" xr:uid="{00000000-0005-0000-0000-00009B040000}"/>
    <cellStyle name="Normal 3 15 19" xfId="1190" xr:uid="{00000000-0005-0000-0000-00009C040000}"/>
    <cellStyle name="Normal 3 15 2" xfId="1191" xr:uid="{00000000-0005-0000-0000-00009D040000}"/>
    <cellStyle name="Normal 3 15 20" xfId="1192" xr:uid="{00000000-0005-0000-0000-00009E040000}"/>
    <cellStyle name="Normal 3 15 21" xfId="1193" xr:uid="{00000000-0005-0000-0000-00009F040000}"/>
    <cellStyle name="Normal 3 15 22" xfId="1194" xr:uid="{00000000-0005-0000-0000-0000A0040000}"/>
    <cellStyle name="Normal 3 15 23" xfId="1195" xr:uid="{00000000-0005-0000-0000-0000A1040000}"/>
    <cellStyle name="Normal 3 15 3" xfId="1196" xr:uid="{00000000-0005-0000-0000-0000A2040000}"/>
    <cellStyle name="Normal 3 15 4" xfId="1197" xr:uid="{00000000-0005-0000-0000-0000A3040000}"/>
    <cellStyle name="Normal 3 15 5" xfId="1198" xr:uid="{00000000-0005-0000-0000-0000A4040000}"/>
    <cellStyle name="Normal 3 15 6" xfId="1199" xr:uid="{00000000-0005-0000-0000-0000A5040000}"/>
    <cellStyle name="Normal 3 15 7" xfId="1200" xr:uid="{00000000-0005-0000-0000-0000A6040000}"/>
    <cellStyle name="Normal 3 15 8" xfId="1201" xr:uid="{00000000-0005-0000-0000-0000A7040000}"/>
    <cellStyle name="Normal 3 15 9" xfId="1202" xr:uid="{00000000-0005-0000-0000-0000A8040000}"/>
    <cellStyle name="Normal 3 16" xfId="1203" xr:uid="{00000000-0005-0000-0000-0000A9040000}"/>
    <cellStyle name="Normal 3 16 10" xfId="1204" xr:uid="{00000000-0005-0000-0000-0000AA040000}"/>
    <cellStyle name="Normal 3 16 11" xfId="1205" xr:uid="{00000000-0005-0000-0000-0000AB040000}"/>
    <cellStyle name="Normal 3 16 12" xfId="1206" xr:uid="{00000000-0005-0000-0000-0000AC040000}"/>
    <cellStyle name="Normal 3 16 13" xfId="1207" xr:uid="{00000000-0005-0000-0000-0000AD040000}"/>
    <cellStyle name="Normal 3 16 14" xfId="1208" xr:uid="{00000000-0005-0000-0000-0000AE040000}"/>
    <cellStyle name="Normal 3 16 15" xfId="1209" xr:uid="{00000000-0005-0000-0000-0000AF040000}"/>
    <cellStyle name="Normal 3 16 16" xfId="1210" xr:uid="{00000000-0005-0000-0000-0000B0040000}"/>
    <cellStyle name="Normal 3 16 17" xfId="1211" xr:uid="{00000000-0005-0000-0000-0000B1040000}"/>
    <cellStyle name="Normal 3 16 18" xfId="1212" xr:uid="{00000000-0005-0000-0000-0000B2040000}"/>
    <cellStyle name="Normal 3 16 19" xfId="1213" xr:uid="{00000000-0005-0000-0000-0000B3040000}"/>
    <cellStyle name="Normal 3 16 2" xfId="1214" xr:uid="{00000000-0005-0000-0000-0000B4040000}"/>
    <cellStyle name="Normal 3 16 20" xfId="1215" xr:uid="{00000000-0005-0000-0000-0000B5040000}"/>
    <cellStyle name="Normal 3 16 21" xfId="1216" xr:uid="{00000000-0005-0000-0000-0000B6040000}"/>
    <cellStyle name="Normal 3 16 22" xfId="1217" xr:uid="{00000000-0005-0000-0000-0000B7040000}"/>
    <cellStyle name="Normal 3 16 23" xfId="1218" xr:uid="{00000000-0005-0000-0000-0000B8040000}"/>
    <cellStyle name="Normal 3 16 3" xfId="1219" xr:uid="{00000000-0005-0000-0000-0000B9040000}"/>
    <cellStyle name="Normal 3 16 4" xfId="1220" xr:uid="{00000000-0005-0000-0000-0000BA040000}"/>
    <cellStyle name="Normal 3 16 5" xfId="1221" xr:uid="{00000000-0005-0000-0000-0000BB040000}"/>
    <cellStyle name="Normal 3 16 6" xfId="1222" xr:uid="{00000000-0005-0000-0000-0000BC040000}"/>
    <cellStyle name="Normal 3 16 7" xfId="1223" xr:uid="{00000000-0005-0000-0000-0000BD040000}"/>
    <cellStyle name="Normal 3 16 8" xfId="1224" xr:uid="{00000000-0005-0000-0000-0000BE040000}"/>
    <cellStyle name="Normal 3 16 9" xfId="1225" xr:uid="{00000000-0005-0000-0000-0000BF040000}"/>
    <cellStyle name="Normal 3 17" xfId="1226" xr:uid="{00000000-0005-0000-0000-0000C0040000}"/>
    <cellStyle name="Normal 3 17 10" xfId="1227" xr:uid="{00000000-0005-0000-0000-0000C1040000}"/>
    <cellStyle name="Normal 3 17 11" xfId="1228" xr:uid="{00000000-0005-0000-0000-0000C2040000}"/>
    <cellStyle name="Normal 3 17 12" xfId="1229" xr:uid="{00000000-0005-0000-0000-0000C3040000}"/>
    <cellStyle name="Normal 3 17 13" xfId="1230" xr:uid="{00000000-0005-0000-0000-0000C4040000}"/>
    <cellStyle name="Normal 3 17 14" xfId="1231" xr:uid="{00000000-0005-0000-0000-0000C5040000}"/>
    <cellStyle name="Normal 3 17 15" xfId="1232" xr:uid="{00000000-0005-0000-0000-0000C6040000}"/>
    <cellStyle name="Normal 3 17 16" xfId="1233" xr:uid="{00000000-0005-0000-0000-0000C7040000}"/>
    <cellStyle name="Normal 3 17 17" xfId="1234" xr:uid="{00000000-0005-0000-0000-0000C8040000}"/>
    <cellStyle name="Normal 3 17 18" xfId="1235" xr:uid="{00000000-0005-0000-0000-0000C9040000}"/>
    <cellStyle name="Normal 3 17 19" xfId="1236" xr:uid="{00000000-0005-0000-0000-0000CA040000}"/>
    <cellStyle name="Normal 3 17 2" xfId="1237" xr:uid="{00000000-0005-0000-0000-0000CB040000}"/>
    <cellStyle name="Normal 3 17 20" xfId="1238" xr:uid="{00000000-0005-0000-0000-0000CC040000}"/>
    <cellStyle name="Normal 3 17 21" xfId="1239" xr:uid="{00000000-0005-0000-0000-0000CD040000}"/>
    <cellStyle name="Normal 3 17 22" xfId="1240" xr:uid="{00000000-0005-0000-0000-0000CE040000}"/>
    <cellStyle name="Normal 3 17 23" xfId="1241" xr:uid="{00000000-0005-0000-0000-0000CF040000}"/>
    <cellStyle name="Normal 3 17 3" xfId="1242" xr:uid="{00000000-0005-0000-0000-0000D0040000}"/>
    <cellStyle name="Normal 3 17 4" xfId="1243" xr:uid="{00000000-0005-0000-0000-0000D1040000}"/>
    <cellStyle name="Normal 3 17 5" xfId="1244" xr:uid="{00000000-0005-0000-0000-0000D2040000}"/>
    <cellStyle name="Normal 3 17 6" xfId="1245" xr:uid="{00000000-0005-0000-0000-0000D3040000}"/>
    <cellStyle name="Normal 3 17 7" xfId="1246" xr:uid="{00000000-0005-0000-0000-0000D4040000}"/>
    <cellStyle name="Normal 3 17 8" xfId="1247" xr:uid="{00000000-0005-0000-0000-0000D5040000}"/>
    <cellStyle name="Normal 3 17 9" xfId="1248" xr:uid="{00000000-0005-0000-0000-0000D6040000}"/>
    <cellStyle name="Normal 3 18" xfId="1249" xr:uid="{00000000-0005-0000-0000-0000D7040000}"/>
    <cellStyle name="Normal 3 18 10" xfId="1250" xr:uid="{00000000-0005-0000-0000-0000D8040000}"/>
    <cellStyle name="Normal 3 18 11" xfId="1251" xr:uid="{00000000-0005-0000-0000-0000D9040000}"/>
    <cellStyle name="Normal 3 18 12" xfId="1252" xr:uid="{00000000-0005-0000-0000-0000DA040000}"/>
    <cellStyle name="Normal 3 18 13" xfId="1253" xr:uid="{00000000-0005-0000-0000-0000DB040000}"/>
    <cellStyle name="Normal 3 18 14" xfId="1254" xr:uid="{00000000-0005-0000-0000-0000DC040000}"/>
    <cellStyle name="Normal 3 18 15" xfId="1255" xr:uid="{00000000-0005-0000-0000-0000DD040000}"/>
    <cellStyle name="Normal 3 18 16" xfId="1256" xr:uid="{00000000-0005-0000-0000-0000DE040000}"/>
    <cellStyle name="Normal 3 18 17" xfId="1257" xr:uid="{00000000-0005-0000-0000-0000DF040000}"/>
    <cellStyle name="Normal 3 18 18" xfId="1258" xr:uid="{00000000-0005-0000-0000-0000E0040000}"/>
    <cellStyle name="Normal 3 18 19" xfId="1259" xr:uid="{00000000-0005-0000-0000-0000E1040000}"/>
    <cellStyle name="Normal 3 18 2" xfId="1260" xr:uid="{00000000-0005-0000-0000-0000E2040000}"/>
    <cellStyle name="Normal 3 18 20" xfId="1261" xr:uid="{00000000-0005-0000-0000-0000E3040000}"/>
    <cellStyle name="Normal 3 18 21" xfId="1262" xr:uid="{00000000-0005-0000-0000-0000E4040000}"/>
    <cellStyle name="Normal 3 18 22" xfId="1263" xr:uid="{00000000-0005-0000-0000-0000E5040000}"/>
    <cellStyle name="Normal 3 18 23" xfId="1264" xr:uid="{00000000-0005-0000-0000-0000E6040000}"/>
    <cellStyle name="Normal 3 18 3" xfId="1265" xr:uid="{00000000-0005-0000-0000-0000E7040000}"/>
    <cellStyle name="Normal 3 18 4" xfId="1266" xr:uid="{00000000-0005-0000-0000-0000E8040000}"/>
    <cellStyle name="Normal 3 18 5" xfId="1267" xr:uid="{00000000-0005-0000-0000-0000E9040000}"/>
    <cellStyle name="Normal 3 18 6" xfId="1268" xr:uid="{00000000-0005-0000-0000-0000EA040000}"/>
    <cellStyle name="Normal 3 18 7" xfId="1269" xr:uid="{00000000-0005-0000-0000-0000EB040000}"/>
    <cellStyle name="Normal 3 18 8" xfId="1270" xr:uid="{00000000-0005-0000-0000-0000EC040000}"/>
    <cellStyle name="Normal 3 18 9" xfId="1271" xr:uid="{00000000-0005-0000-0000-0000ED040000}"/>
    <cellStyle name="Normal 3 19" xfId="1272" xr:uid="{00000000-0005-0000-0000-0000EE040000}"/>
    <cellStyle name="Normal 3 19 10" xfId="1273" xr:uid="{00000000-0005-0000-0000-0000EF040000}"/>
    <cellStyle name="Normal 3 19 11" xfId="1274" xr:uid="{00000000-0005-0000-0000-0000F0040000}"/>
    <cellStyle name="Normal 3 19 12" xfId="1275" xr:uid="{00000000-0005-0000-0000-0000F1040000}"/>
    <cellStyle name="Normal 3 19 13" xfId="1276" xr:uid="{00000000-0005-0000-0000-0000F2040000}"/>
    <cellStyle name="Normal 3 19 14" xfId="1277" xr:uid="{00000000-0005-0000-0000-0000F3040000}"/>
    <cellStyle name="Normal 3 19 15" xfId="1278" xr:uid="{00000000-0005-0000-0000-0000F4040000}"/>
    <cellStyle name="Normal 3 19 16" xfId="1279" xr:uid="{00000000-0005-0000-0000-0000F5040000}"/>
    <cellStyle name="Normal 3 19 17" xfId="1280" xr:uid="{00000000-0005-0000-0000-0000F6040000}"/>
    <cellStyle name="Normal 3 19 18" xfId="1281" xr:uid="{00000000-0005-0000-0000-0000F7040000}"/>
    <cellStyle name="Normal 3 19 19" xfId="1282" xr:uid="{00000000-0005-0000-0000-0000F8040000}"/>
    <cellStyle name="Normal 3 19 2" xfId="1283" xr:uid="{00000000-0005-0000-0000-0000F9040000}"/>
    <cellStyle name="Normal 3 19 20" xfId="1284" xr:uid="{00000000-0005-0000-0000-0000FA040000}"/>
    <cellStyle name="Normal 3 19 21" xfId="1285" xr:uid="{00000000-0005-0000-0000-0000FB040000}"/>
    <cellStyle name="Normal 3 19 22" xfId="1286" xr:uid="{00000000-0005-0000-0000-0000FC040000}"/>
    <cellStyle name="Normal 3 19 23" xfId="1287" xr:uid="{00000000-0005-0000-0000-0000FD040000}"/>
    <cellStyle name="Normal 3 19 3" xfId="1288" xr:uid="{00000000-0005-0000-0000-0000FE040000}"/>
    <cellStyle name="Normal 3 19 4" xfId="1289" xr:uid="{00000000-0005-0000-0000-0000FF040000}"/>
    <cellStyle name="Normal 3 19 5" xfId="1290" xr:uid="{00000000-0005-0000-0000-000000050000}"/>
    <cellStyle name="Normal 3 19 6" xfId="1291" xr:uid="{00000000-0005-0000-0000-000001050000}"/>
    <cellStyle name="Normal 3 19 7" xfId="1292" xr:uid="{00000000-0005-0000-0000-000002050000}"/>
    <cellStyle name="Normal 3 19 8" xfId="1293" xr:uid="{00000000-0005-0000-0000-000003050000}"/>
    <cellStyle name="Normal 3 19 9" xfId="1294" xr:uid="{00000000-0005-0000-0000-000004050000}"/>
    <cellStyle name="Normal 3 2" xfId="1295" xr:uid="{00000000-0005-0000-0000-000005050000}"/>
    <cellStyle name="Normal 3 2 10" xfId="1296" xr:uid="{00000000-0005-0000-0000-000006050000}"/>
    <cellStyle name="Normal 3 2 11" xfId="1297" xr:uid="{00000000-0005-0000-0000-000007050000}"/>
    <cellStyle name="Normal 3 2 12" xfId="1298" xr:uid="{00000000-0005-0000-0000-000008050000}"/>
    <cellStyle name="Normal 3 2 13" xfId="1299" xr:uid="{00000000-0005-0000-0000-000009050000}"/>
    <cellStyle name="Normal 3 2 14" xfId="1300" xr:uid="{00000000-0005-0000-0000-00000A050000}"/>
    <cellStyle name="Normal 3 2 15" xfId="1301" xr:uid="{00000000-0005-0000-0000-00000B050000}"/>
    <cellStyle name="Normal 3 2 16" xfId="1302" xr:uid="{00000000-0005-0000-0000-00000C050000}"/>
    <cellStyle name="Normal 3 2 17" xfId="1303" xr:uid="{00000000-0005-0000-0000-00000D050000}"/>
    <cellStyle name="Normal 3 2 18" xfId="1304" xr:uid="{00000000-0005-0000-0000-00000E050000}"/>
    <cellStyle name="Normal 3 2 19" xfId="1305" xr:uid="{00000000-0005-0000-0000-00000F050000}"/>
    <cellStyle name="Normal 3 2 2" xfId="1306" xr:uid="{00000000-0005-0000-0000-000010050000}"/>
    <cellStyle name="Normal 3 2 2 10" xfId="1307" xr:uid="{00000000-0005-0000-0000-000011050000}"/>
    <cellStyle name="Normal 3 2 2 11" xfId="1308" xr:uid="{00000000-0005-0000-0000-000012050000}"/>
    <cellStyle name="Normal 3 2 2 12" xfId="1309" xr:uid="{00000000-0005-0000-0000-000013050000}"/>
    <cellStyle name="Normal 3 2 2 13" xfId="1310" xr:uid="{00000000-0005-0000-0000-000014050000}"/>
    <cellStyle name="Normal 3 2 2 14" xfId="1311" xr:uid="{00000000-0005-0000-0000-000015050000}"/>
    <cellStyle name="Normal 3 2 2 15" xfId="1312" xr:uid="{00000000-0005-0000-0000-000016050000}"/>
    <cellStyle name="Normal 3 2 2 16" xfId="1313" xr:uid="{00000000-0005-0000-0000-000017050000}"/>
    <cellStyle name="Normal 3 2 2 17" xfId="1314" xr:uid="{00000000-0005-0000-0000-000018050000}"/>
    <cellStyle name="Normal 3 2 2 18" xfId="1315" xr:uid="{00000000-0005-0000-0000-000019050000}"/>
    <cellStyle name="Normal 3 2 2 19" xfId="1316" xr:uid="{00000000-0005-0000-0000-00001A050000}"/>
    <cellStyle name="Normal 3 2 2 2" xfId="1317" xr:uid="{00000000-0005-0000-0000-00001B050000}"/>
    <cellStyle name="Normal 3 2 2 20" xfId="1318" xr:uid="{00000000-0005-0000-0000-00001C050000}"/>
    <cellStyle name="Normal 3 2 2 21" xfId="1319" xr:uid="{00000000-0005-0000-0000-00001D050000}"/>
    <cellStyle name="Normal 3 2 2 22" xfId="1320" xr:uid="{00000000-0005-0000-0000-00001E050000}"/>
    <cellStyle name="Normal 3 2 2 23" xfId="1321" xr:uid="{00000000-0005-0000-0000-00001F050000}"/>
    <cellStyle name="Normal 3 2 2 24" xfId="1322" xr:uid="{00000000-0005-0000-0000-000020050000}"/>
    <cellStyle name="Normal 3 2 2 25" xfId="1323" xr:uid="{00000000-0005-0000-0000-000021050000}"/>
    <cellStyle name="Normal 3 2 2 26" xfId="1324" xr:uid="{00000000-0005-0000-0000-000022050000}"/>
    <cellStyle name="Normal 3 2 2 27" xfId="1325" xr:uid="{00000000-0005-0000-0000-000023050000}"/>
    <cellStyle name="Normal 3 2 2 28" xfId="1326" xr:uid="{00000000-0005-0000-0000-000024050000}"/>
    <cellStyle name="Normal 3 2 2 29" xfId="1327" xr:uid="{00000000-0005-0000-0000-000025050000}"/>
    <cellStyle name="Normal 3 2 2 3" xfId="1328" xr:uid="{00000000-0005-0000-0000-000026050000}"/>
    <cellStyle name="Normal 3 2 2 30" xfId="1329" xr:uid="{00000000-0005-0000-0000-000027050000}"/>
    <cellStyle name="Normal 3 2 2 31" xfId="1330" xr:uid="{00000000-0005-0000-0000-000028050000}"/>
    <cellStyle name="Normal 3 2 2 32" xfId="1331" xr:uid="{00000000-0005-0000-0000-000029050000}"/>
    <cellStyle name="Normal 3 2 2 33" xfId="1332" xr:uid="{00000000-0005-0000-0000-00002A050000}"/>
    <cellStyle name="Normal 3 2 2 4" xfId="1333" xr:uid="{00000000-0005-0000-0000-00002B050000}"/>
    <cellStyle name="Normal 3 2 2 5" xfId="1334" xr:uid="{00000000-0005-0000-0000-00002C050000}"/>
    <cellStyle name="Normal 3 2 2 6" xfId="1335" xr:uid="{00000000-0005-0000-0000-00002D050000}"/>
    <cellStyle name="Normal 3 2 2 7" xfId="1336" xr:uid="{00000000-0005-0000-0000-00002E050000}"/>
    <cellStyle name="Normal 3 2 2 8" xfId="1337" xr:uid="{00000000-0005-0000-0000-00002F050000}"/>
    <cellStyle name="Normal 3 2 2 9" xfId="1338" xr:uid="{00000000-0005-0000-0000-000030050000}"/>
    <cellStyle name="Normal 3 2 20" xfId="1339" xr:uid="{00000000-0005-0000-0000-000031050000}"/>
    <cellStyle name="Normal 3 2 21" xfId="1340" xr:uid="{00000000-0005-0000-0000-000032050000}"/>
    <cellStyle name="Normal 3 2 22" xfId="1341" xr:uid="{00000000-0005-0000-0000-000033050000}"/>
    <cellStyle name="Normal 3 2 23" xfId="1342" xr:uid="{00000000-0005-0000-0000-000034050000}"/>
    <cellStyle name="Normal 3 2 24" xfId="1343" xr:uid="{00000000-0005-0000-0000-000035050000}"/>
    <cellStyle name="Normal 3 2 25" xfId="1344" xr:uid="{00000000-0005-0000-0000-000036050000}"/>
    <cellStyle name="Normal 3 2 26" xfId="1345" xr:uid="{00000000-0005-0000-0000-000037050000}"/>
    <cellStyle name="Normal 3 2 27" xfId="1346" xr:uid="{00000000-0005-0000-0000-000038050000}"/>
    <cellStyle name="Normal 3 2 28" xfId="1347" xr:uid="{00000000-0005-0000-0000-000039050000}"/>
    <cellStyle name="Normal 3 2 29" xfId="1348" xr:uid="{00000000-0005-0000-0000-00003A050000}"/>
    <cellStyle name="Normal 3 2 3" xfId="1349" xr:uid="{00000000-0005-0000-0000-00003B050000}"/>
    <cellStyle name="Normal 3 2 30" xfId="1350" xr:uid="{00000000-0005-0000-0000-00003C050000}"/>
    <cellStyle name="Normal 3 2 31" xfId="1351" xr:uid="{00000000-0005-0000-0000-00003D050000}"/>
    <cellStyle name="Normal 3 2 32" xfId="1352" xr:uid="{00000000-0005-0000-0000-00003E050000}"/>
    <cellStyle name="Normal 3 2 33" xfId="1353" xr:uid="{00000000-0005-0000-0000-00003F050000}"/>
    <cellStyle name="Normal 3 2 34" xfId="1354" xr:uid="{00000000-0005-0000-0000-000040050000}"/>
    <cellStyle name="Normal 3 2 35" xfId="1355" xr:uid="{00000000-0005-0000-0000-000041050000}"/>
    <cellStyle name="Normal 3 2 36" xfId="1356" xr:uid="{00000000-0005-0000-0000-000042050000}"/>
    <cellStyle name="Normal 3 2 37" xfId="1357" xr:uid="{00000000-0005-0000-0000-000043050000}"/>
    <cellStyle name="Normal 3 2 38" xfId="1358" xr:uid="{00000000-0005-0000-0000-000044050000}"/>
    <cellStyle name="Normal 3 2 39" xfId="1359" xr:uid="{00000000-0005-0000-0000-000045050000}"/>
    <cellStyle name="Normal 3 2 4" xfId="1360" xr:uid="{00000000-0005-0000-0000-000046050000}"/>
    <cellStyle name="Normal 3 2 40" xfId="1361" xr:uid="{00000000-0005-0000-0000-000047050000}"/>
    <cellStyle name="Normal 3 2 41" xfId="1362" xr:uid="{00000000-0005-0000-0000-000048050000}"/>
    <cellStyle name="Normal 3 2 42" xfId="1363" xr:uid="{00000000-0005-0000-0000-000049050000}"/>
    <cellStyle name="Normal 3 2 43" xfId="1364" xr:uid="{00000000-0005-0000-0000-00004A050000}"/>
    <cellStyle name="Normal 3 2 44" xfId="1365" xr:uid="{00000000-0005-0000-0000-00004B050000}"/>
    <cellStyle name="Normal 3 2 45" xfId="1366" xr:uid="{00000000-0005-0000-0000-00004C050000}"/>
    <cellStyle name="Normal 3 2 46" xfId="1367" xr:uid="{00000000-0005-0000-0000-00004D050000}"/>
    <cellStyle name="Normal 3 2 47" xfId="1368" xr:uid="{00000000-0005-0000-0000-00004E050000}"/>
    <cellStyle name="Normal 3 2 48" xfId="1369" xr:uid="{00000000-0005-0000-0000-00004F050000}"/>
    <cellStyle name="Normal 3 2 49" xfId="1370" xr:uid="{00000000-0005-0000-0000-000050050000}"/>
    <cellStyle name="Normal 3 2 5" xfId="1371" xr:uid="{00000000-0005-0000-0000-000051050000}"/>
    <cellStyle name="Normal 3 2 50" xfId="1372" xr:uid="{00000000-0005-0000-0000-000052050000}"/>
    <cellStyle name="Normal 3 2 51" xfId="1373" xr:uid="{00000000-0005-0000-0000-000053050000}"/>
    <cellStyle name="Normal 3 2 52" xfId="1374" xr:uid="{00000000-0005-0000-0000-000054050000}"/>
    <cellStyle name="Normal 3 2 53" xfId="1375" xr:uid="{00000000-0005-0000-0000-000055050000}"/>
    <cellStyle name="Normal 3 2 54" xfId="1376" xr:uid="{00000000-0005-0000-0000-000056050000}"/>
    <cellStyle name="Normal 3 2 55" xfId="1377" xr:uid="{00000000-0005-0000-0000-000057050000}"/>
    <cellStyle name="Normal 3 2 6" xfId="1378" xr:uid="{00000000-0005-0000-0000-000058050000}"/>
    <cellStyle name="Normal 3 2 7" xfId="1379" xr:uid="{00000000-0005-0000-0000-000059050000}"/>
    <cellStyle name="Normal 3 2 8" xfId="1380" xr:uid="{00000000-0005-0000-0000-00005A050000}"/>
    <cellStyle name="Normal 3 2 9" xfId="1381" xr:uid="{00000000-0005-0000-0000-00005B050000}"/>
    <cellStyle name="Normal 3 20" xfId="1382" xr:uid="{00000000-0005-0000-0000-00005C050000}"/>
    <cellStyle name="Normal 3 20 10" xfId="1383" xr:uid="{00000000-0005-0000-0000-00005D050000}"/>
    <cellStyle name="Normal 3 20 11" xfId="1384" xr:uid="{00000000-0005-0000-0000-00005E050000}"/>
    <cellStyle name="Normal 3 20 12" xfId="1385" xr:uid="{00000000-0005-0000-0000-00005F050000}"/>
    <cellStyle name="Normal 3 20 13" xfId="1386" xr:uid="{00000000-0005-0000-0000-000060050000}"/>
    <cellStyle name="Normal 3 20 14" xfId="1387" xr:uid="{00000000-0005-0000-0000-000061050000}"/>
    <cellStyle name="Normal 3 20 15" xfId="1388" xr:uid="{00000000-0005-0000-0000-000062050000}"/>
    <cellStyle name="Normal 3 20 16" xfId="1389" xr:uid="{00000000-0005-0000-0000-000063050000}"/>
    <cellStyle name="Normal 3 20 17" xfId="1390" xr:uid="{00000000-0005-0000-0000-000064050000}"/>
    <cellStyle name="Normal 3 20 18" xfId="1391" xr:uid="{00000000-0005-0000-0000-000065050000}"/>
    <cellStyle name="Normal 3 20 19" xfId="1392" xr:uid="{00000000-0005-0000-0000-000066050000}"/>
    <cellStyle name="Normal 3 20 2" xfId="1393" xr:uid="{00000000-0005-0000-0000-000067050000}"/>
    <cellStyle name="Normal 3 20 20" xfId="1394" xr:uid="{00000000-0005-0000-0000-000068050000}"/>
    <cellStyle name="Normal 3 20 21" xfId="1395" xr:uid="{00000000-0005-0000-0000-000069050000}"/>
    <cellStyle name="Normal 3 20 22" xfId="1396" xr:uid="{00000000-0005-0000-0000-00006A050000}"/>
    <cellStyle name="Normal 3 20 23" xfId="1397" xr:uid="{00000000-0005-0000-0000-00006B050000}"/>
    <cellStyle name="Normal 3 20 3" xfId="1398" xr:uid="{00000000-0005-0000-0000-00006C050000}"/>
    <cellStyle name="Normal 3 20 4" xfId="1399" xr:uid="{00000000-0005-0000-0000-00006D050000}"/>
    <cellStyle name="Normal 3 20 5" xfId="1400" xr:uid="{00000000-0005-0000-0000-00006E050000}"/>
    <cellStyle name="Normal 3 20 6" xfId="1401" xr:uid="{00000000-0005-0000-0000-00006F050000}"/>
    <cellStyle name="Normal 3 20 7" xfId="1402" xr:uid="{00000000-0005-0000-0000-000070050000}"/>
    <cellStyle name="Normal 3 20 8" xfId="1403" xr:uid="{00000000-0005-0000-0000-000071050000}"/>
    <cellStyle name="Normal 3 20 9" xfId="1404" xr:uid="{00000000-0005-0000-0000-000072050000}"/>
    <cellStyle name="Normal 3 21" xfId="1405" xr:uid="{00000000-0005-0000-0000-000073050000}"/>
    <cellStyle name="Normal 3 21 10" xfId="1406" xr:uid="{00000000-0005-0000-0000-000074050000}"/>
    <cellStyle name="Normal 3 21 11" xfId="1407" xr:uid="{00000000-0005-0000-0000-000075050000}"/>
    <cellStyle name="Normal 3 21 12" xfId="1408" xr:uid="{00000000-0005-0000-0000-000076050000}"/>
    <cellStyle name="Normal 3 21 13" xfId="1409" xr:uid="{00000000-0005-0000-0000-000077050000}"/>
    <cellStyle name="Normal 3 21 14" xfId="1410" xr:uid="{00000000-0005-0000-0000-000078050000}"/>
    <cellStyle name="Normal 3 21 15" xfId="1411" xr:uid="{00000000-0005-0000-0000-000079050000}"/>
    <cellStyle name="Normal 3 21 16" xfId="1412" xr:uid="{00000000-0005-0000-0000-00007A050000}"/>
    <cellStyle name="Normal 3 21 17" xfId="1413" xr:uid="{00000000-0005-0000-0000-00007B050000}"/>
    <cellStyle name="Normal 3 21 18" xfId="1414" xr:uid="{00000000-0005-0000-0000-00007C050000}"/>
    <cellStyle name="Normal 3 21 19" xfId="1415" xr:uid="{00000000-0005-0000-0000-00007D050000}"/>
    <cellStyle name="Normal 3 21 2" xfId="1416" xr:uid="{00000000-0005-0000-0000-00007E050000}"/>
    <cellStyle name="Normal 3 21 20" xfId="1417" xr:uid="{00000000-0005-0000-0000-00007F050000}"/>
    <cellStyle name="Normal 3 21 21" xfId="1418" xr:uid="{00000000-0005-0000-0000-000080050000}"/>
    <cellStyle name="Normal 3 21 22" xfId="1419" xr:uid="{00000000-0005-0000-0000-000081050000}"/>
    <cellStyle name="Normal 3 21 23" xfId="1420" xr:uid="{00000000-0005-0000-0000-000082050000}"/>
    <cellStyle name="Normal 3 21 3" xfId="1421" xr:uid="{00000000-0005-0000-0000-000083050000}"/>
    <cellStyle name="Normal 3 21 4" xfId="1422" xr:uid="{00000000-0005-0000-0000-000084050000}"/>
    <cellStyle name="Normal 3 21 5" xfId="1423" xr:uid="{00000000-0005-0000-0000-000085050000}"/>
    <cellStyle name="Normal 3 21 6" xfId="1424" xr:uid="{00000000-0005-0000-0000-000086050000}"/>
    <cellStyle name="Normal 3 21 7" xfId="1425" xr:uid="{00000000-0005-0000-0000-000087050000}"/>
    <cellStyle name="Normal 3 21 8" xfId="1426" xr:uid="{00000000-0005-0000-0000-000088050000}"/>
    <cellStyle name="Normal 3 21 9" xfId="1427" xr:uid="{00000000-0005-0000-0000-000089050000}"/>
    <cellStyle name="Normal 3 22" xfId="1428" xr:uid="{00000000-0005-0000-0000-00008A050000}"/>
    <cellStyle name="Normal 3 22 10" xfId="1429" xr:uid="{00000000-0005-0000-0000-00008B050000}"/>
    <cellStyle name="Normal 3 22 11" xfId="1430" xr:uid="{00000000-0005-0000-0000-00008C050000}"/>
    <cellStyle name="Normal 3 22 12" xfId="1431" xr:uid="{00000000-0005-0000-0000-00008D050000}"/>
    <cellStyle name="Normal 3 22 13" xfId="1432" xr:uid="{00000000-0005-0000-0000-00008E050000}"/>
    <cellStyle name="Normal 3 22 14" xfId="1433" xr:uid="{00000000-0005-0000-0000-00008F050000}"/>
    <cellStyle name="Normal 3 22 15" xfId="1434" xr:uid="{00000000-0005-0000-0000-000090050000}"/>
    <cellStyle name="Normal 3 22 16" xfId="1435" xr:uid="{00000000-0005-0000-0000-000091050000}"/>
    <cellStyle name="Normal 3 22 17" xfId="1436" xr:uid="{00000000-0005-0000-0000-000092050000}"/>
    <cellStyle name="Normal 3 22 18" xfId="1437" xr:uid="{00000000-0005-0000-0000-000093050000}"/>
    <cellStyle name="Normal 3 22 19" xfId="1438" xr:uid="{00000000-0005-0000-0000-000094050000}"/>
    <cellStyle name="Normal 3 22 2" xfId="1439" xr:uid="{00000000-0005-0000-0000-000095050000}"/>
    <cellStyle name="Normal 3 22 20" xfId="1440" xr:uid="{00000000-0005-0000-0000-000096050000}"/>
    <cellStyle name="Normal 3 22 21" xfId="1441" xr:uid="{00000000-0005-0000-0000-000097050000}"/>
    <cellStyle name="Normal 3 22 22" xfId="1442" xr:uid="{00000000-0005-0000-0000-000098050000}"/>
    <cellStyle name="Normal 3 22 23" xfId="1443" xr:uid="{00000000-0005-0000-0000-000099050000}"/>
    <cellStyle name="Normal 3 22 3" xfId="1444" xr:uid="{00000000-0005-0000-0000-00009A050000}"/>
    <cellStyle name="Normal 3 22 4" xfId="1445" xr:uid="{00000000-0005-0000-0000-00009B050000}"/>
    <cellStyle name="Normal 3 22 5" xfId="1446" xr:uid="{00000000-0005-0000-0000-00009C050000}"/>
    <cellStyle name="Normal 3 22 6" xfId="1447" xr:uid="{00000000-0005-0000-0000-00009D050000}"/>
    <cellStyle name="Normal 3 22 7" xfId="1448" xr:uid="{00000000-0005-0000-0000-00009E050000}"/>
    <cellStyle name="Normal 3 22 8" xfId="1449" xr:uid="{00000000-0005-0000-0000-00009F050000}"/>
    <cellStyle name="Normal 3 22 9" xfId="1450" xr:uid="{00000000-0005-0000-0000-0000A0050000}"/>
    <cellStyle name="Normal 3 23" xfId="1451" xr:uid="{00000000-0005-0000-0000-0000A1050000}"/>
    <cellStyle name="Normal 3 23 10" xfId="1452" xr:uid="{00000000-0005-0000-0000-0000A2050000}"/>
    <cellStyle name="Normal 3 23 11" xfId="1453" xr:uid="{00000000-0005-0000-0000-0000A3050000}"/>
    <cellStyle name="Normal 3 23 12" xfId="1454" xr:uid="{00000000-0005-0000-0000-0000A4050000}"/>
    <cellStyle name="Normal 3 23 13" xfId="1455" xr:uid="{00000000-0005-0000-0000-0000A5050000}"/>
    <cellStyle name="Normal 3 23 14" xfId="1456" xr:uid="{00000000-0005-0000-0000-0000A6050000}"/>
    <cellStyle name="Normal 3 23 15" xfId="1457" xr:uid="{00000000-0005-0000-0000-0000A7050000}"/>
    <cellStyle name="Normal 3 23 16" xfId="1458" xr:uid="{00000000-0005-0000-0000-0000A8050000}"/>
    <cellStyle name="Normal 3 23 17" xfId="1459" xr:uid="{00000000-0005-0000-0000-0000A9050000}"/>
    <cellStyle name="Normal 3 23 18" xfId="1460" xr:uid="{00000000-0005-0000-0000-0000AA050000}"/>
    <cellStyle name="Normal 3 23 19" xfId="1461" xr:uid="{00000000-0005-0000-0000-0000AB050000}"/>
    <cellStyle name="Normal 3 23 2" xfId="1462" xr:uid="{00000000-0005-0000-0000-0000AC050000}"/>
    <cellStyle name="Normal 3 23 20" xfId="1463" xr:uid="{00000000-0005-0000-0000-0000AD050000}"/>
    <cellStyle name="Normal 3 23 21" xfId="1464" xr:uid="{00000000-0005-0000-0000-0000AE050000}"/>
    <cellStyle name="Normal 3 23 22" xfId="1465" xr:uid="{00000000-0005-0000-0000-0000AF050000}"/>
    <cellStyle name="Normal 3 23 23" xfId="1466" xr:uid="{00000000-0005-0000-0000-0000B0050000}"/>
    <cellStyle name="Normal 3 23 3" xfId="1467" xr:uid="{00000000-0005-0000-0000-0000B1050000}"/>
    <cellStyle name="Normal 3 23 4" xfId="1468" xr:uid="{00000000-0005-0000-0000-0000B2050000}"/>
    <cellStyle name="Normal 3 23 5" xfId="1469" xr:uid="{00000000-0005-0000-0000-0000B3050000}"/>
    <cellStyle name="Normal 3 23 6" xfId="1470" xr:uid="{00000000-0005-0000-0000-0000B4050000}"/>
    <cellStyle name="Normal 3 23 7" xfId="1471" xr:uid="{00000000-0005-0000-0000-0000B5050000}"/>
    <cellStyle name="Normal 3 23 8" xfId="1472" xr:uid="{00000000-0005-0000-0000-0000B6050000}"/>
    <cellStyle name="Normal 3 23 9" xfId="1473" xr:uid="{00000000-0005-0000-0000-0000B7050000}"/>
    <cellStyle name="Normal 3 24" xfId="1474" xr:uid="{00000000-0005-0000-0000-0000B8050000}"/>
    <cellStyle name="Normal 3 24 10" xfId="1475" xr:uid="{00000000-0005-0000-0000-0000B9050000}"/>
    <cellStyle name="Normal 3 24 11" xfId="1476" xr:uid="{00000000-0005-0000-0000-0000BA050000}"/>
    <cellStyle name="Normal 3 24 12" xfId="1477" xr:uid="{00000000-0005-0000-0000-0000BB050000}"/>
    <cellStyle name="Normal 3 24 13" xfId="1478" xr:uid="{00000000-0005-0000-0000-0000BC050000}"/>
    <cellStyle name="Normal 3 24 14" xfId="1479" xr:uid="{00000000-0005-0000-0000-0000BD050000}"/>
    <cellStyle name="Normal 3 24 15" xfId="1480" xr:uid="{00000000-0005-0000-0000-0000BE050000}"/>
    <cellStyle name="Normal 3 24 16" xfId="1481" xr:uid="{00000000-0005-0000-0000-0000BF050000}"/>
    <cellStyle name="Normal 3 24 17" xfId="1482" xr:uid="{00000000-0005-0000-0000-0000C0050000}"/>
    <cellStyle name="Normal 3 24 18" xfId="1483" xr:uid="{00000000-0005-0000-0000-0000C1050000}"/>
    <cellStyle name="Normal 3 24 19" xfId="1484" xr:uid="{00000000-0005-0000-0000-0000C2050000}"/>
    <cellStyle name="Normal 3 24 2" xfId="1485" xr:uid="{00000000-0005-0000-0000-0000C3050000}"/>
    <cellStyle name="Normal 3 24 20" xfId="1486" xr:uid="{00000000-0005-0000-0000-0000C4050000}"/>
    <cellStyle name="Normal 3 24 21" xfId="1487" xr:uid="{00000000-0005-0000-0000-0000C5050000}"/>
    <cellStyle name="Normal 3 24 22" xfId="1488" xr:uid="{00000000-0005-0000-0000-0000C6050000}"/>
    <cellStyle name="Normal 3 24 23" xfId="1489" xr:uid="{00000000-0005-0000-0000-0000C7050000}"/>
    <cellStyle name="Normal 3 24 3" xfId="1490" xr:uid="{00000000-0005-0000-0000-0000C8050000}"/>
    <cellStyle name="Normal 3 24 4" xfId="1491" xr:uid="{00000000-0005-0000-0000-0000C9050000}"/>
    <cellStyle name="Normal 3 24 5" xfId="1492" xr:uid="{00000000-0005-0000-0000-0000CA050000}"/>
    <cellStyle name="Normal 3 24 6" xfId="1493" xr:uid="{00000000-0005-0000-0000-0000CB050000}"/>
    <cellStyle name="Normal 3 24 7" xfId="1494" xr:uid="{00000000-0005-0000-0000-0000CC050000}"/>
    <cellStyle name="Normal 3 24 8" xfId="1495" xr:uid="{00000000-0005-0000-0000-0000CD050000}"/>
    <cellStyle name="Normal 3 24 9" xfId="1496" xr:uid="{00000000-0005-0000-0000-0000CE050000}"/>
    <cellStyle name="Normal 3 25" xfId="1497" xr:uid="{00000000-0005-0000-0000-0000CF050000}"/>
    <cellStyle name="Normal 3 25 10" xfId="1498" xr:uid="{00000000-0005-0000-0000-0000D0050000}"/>
    <cellStyle name="Normal 3 25 11" xfId="1499" xr:uid="{00000000-0005-0000-0000-0000D1050000}"/>
    <cellStyle name="Normal 3 25 12" xfId="1500" xr:uid="{00000000-0005-0000-0000-0000D2050000}"/>
    <cellStyle name="Normal 3 25 13" xfId="1501" xr:uid="{00000000-0005-0000-0000-0000D3050000}"/>
    <cellStyle name="Normal 3 25 14" xfId="1502" xr:uid="{00000000-0005-0000-0000-0000D4050000}"/>
    <cellStyle name="Normal 3 25 15" xfId="1503" xr:uid="{00000000-0005-0000-0000-0000D5050000}"/>
    <cellStyle name="Normal 3 25 16" xfId="1504" xr:uid="{00000000-0005-0000-0000-0000D6050000}"/>
    <cellStyle name="Normal 3 25 17" xfId="1505" xr:uid="{00000000-0005-0000-0000-0000D7050000}"/>
    <cellStyle name="Normal 3 25 18" xfId="1506" xr:uid="{00000000-0005-0000-0000-0000D8050000}"/>
    <cellStyle name="Normal 3 25 19" xfId="1507" xr:uid="{00000000-0005-0000-0000-0000D9050000}"/>
    <cellStyle name="Normal 3 25 2" xfId="1508" xr:uid="{00000000-0005-0000-0000-0000DA050000}"/>
    <cellStyle name="Normal 3 25 20" xfId="1509" xr:uid="{00000000-0005-0000-0000-0000DB050000}"/>
    <cellStyle name="Normal 3 25 21" xfId="1510" xr:uid="{00000000-0005-0000-0000-0000DC050000}"/>
    <cellStyle name="Normal 3 25 22" xfId="1511" xr:uid="{00000000-0005-0000-0000-0000DD050000}"/>
    <cellStyle name="Normal 3 25 23" xfId="1512" xr:uid="{00000000-0005-0000-0000-0000DE050000}"/>
    <cellStyle name="Normal 3 25 3" xfId="1513" xr:uid="{00000000-0005-0000-0000-0000DF050000}"/>
    <cellStyle name="Normal 3 25 4" xfId="1514" xr:uid="{00000000-0005-0000-0000-0000E0050000}"/>
    <cellStyle name="Normal 3 25 5" xfId="1515" xr:uid="{00000000-0005-0000-0000-0000E1050000}"/>
    <cellStyle name="Normal 3 25 6" xfId="1516" xr:uid="{00000000-0005-0000-0000-0000E2050000}"/>
    <cellStyle name="Normal 3 25 7" xfId="1517" xr:uid="{00000000-0005-0000-0000-0000E3050000}"/>
    <cellStyle name="Normal 3 25 8" xfId="1518" xr:uid="{00000000-0005-0000-0000-0000E4050000}"/>
    <cellStyle name="Normal 3 25 9" xfId="1519" xr:uid="{00000000-0005-0000-0000-0000E5050000}"/>
    <cellStyle name="Normal 3 26" xfId="1520" xr:uid="{00000000-0005-0000-0000-0000E6050000}"/>
    <cellStyle name="Normal 3 26 10" xfId="1521" xr:uid="{00000000-0005-0000-0000-0000E7050000}"/>
    <cellStyle name="Normal 3 26 11" xfId="1522" xr:uid="{00000000-0005-0000-0000-0000E8050000}"/>
    <cellStyle name="Normal 3 26 12" xfId="1523" xr:uid="{00000000-0005-0000-0000-0000E9050000}"/>
    <cellStyle name="Normal 3 26 13" xfId="1524" xr:uid="{00000000-0005-0000-0000-0000EA050000}"/>
    <cellStyle name="Normal 3 26 14" xfId="1525" xr:uid="{00000000-0005-0000-0000-0000EB050000}"/>
    <cellStyle name="Normal 3 26 15" xfId="1526" xr:uid="{00000000-0005-0000-0000-0000EC050000}"/>
    <cellStyle name="Normal 3 26 16" xfId="1527" xr:uid="{00000000-0005-0000-0000-0000ED050000}"/>
    <cellStyle name="Normal 3 26 17" xfId="1528" xr:uid="{00000000-0005-0000-0000-0000EE050000}"/>
    <cellStyle name="Normal 3 26 18" xfId="1529" xr:uid="{00000000-0005-0000-0000-0000EF050000}"/>
    <cellStyle name="Normal 3 26 19" xfId="1530" xr:uid="{00000000-0005-0000-0000-0000F0050000}"/>
    <cellStyle name="Normal 3 26 2" xfId="1531" xr:uid="{00000000-0005-0000-0000-0000F1050000}"/>
    <cellStyle name="Normal 3 26 20" xfId="1532" xr:uid="{00000000-0005-0000-0000-0000F2050000}"/>
    <cellStyle name="Normal 3 26 21" xfId="1533" xr:uid="{00000000-0005-0000-0000-0000F3050000}"/>
    <cellStyle name="Normal 3 26 22" xfId="1534" xr:uid="{00000000-0005-0000-0000-0000F4050000}"/>
    <cellStyle name="Normal 3 26 23" xfId="1535" xr:uid="{00000000-0005-0000-0000-0000F5050000}"/>
    <cellStyle name="Normal 3 26 3" xfId="1536" xr:uid="{00000000-0005-0000-0000-0000F6050000}"/>
    <cellStyle name="Normal 3 26 4" xfId="1537" xr:uid="{00000000-0005-0000-0000-0000F7050000}"/>
    <cellStyle name="Normal 3 26 5" xfId="1538" xr:uid="{00000000-0005-0000-0000-0000F8050000}"/>
    <cellStyle name="Normal 3 26 6" xfId="1539" xr:uid="{00000000-0005-0000-0000-0000F9050000}"/>
    <cellStyle name="Normal 3 26 7" xfId="1540" xr:uid="{00000000-0005-0000-0000-0000FA050000}"/>
    <cellStyle name="Normal 3 26 8" xfId="1541" xr:uid="{00000000-0005-0000-0000-0000FB050000}"/>
    <cellStyle name="Normal 3 26 9" xfId="1542" xr:uid="{00000000-0005-0000-0000-0000FC050000}"/>
    <cellStyle name="Normal 3 27" xfId="1543" xr:uid="{00000000-0005-0000-0000-0000FD050000}"/>
    <cellStyle name="Normal 3 27 10" xfId="1544" xr:uid="{00000000-0005-0000-0000-0000FE050000}"/>
    <cellStyle name="Normal 3 27 11" xfId="1545" xr:uid="{00000000-0005-0000-0000-0000FF050000}"/>
    <cellStyle name="Normal 3 27 12" xfId="1546" xr:uid="{00000000-0005-0000-0000-000000060000}"/>
    <cellStyle name="Normal 3 27 13" xfId="1547" xr:uid="{00000000-0005-0000-0000-000001060000}"/>
    <cellStyle name="Normal 3 27 14" xfId="1548" xr:uid="{00000000-0005-0000-0000-000002060000}"/>
    <cellStyle name="Normal 3 27 15" xfId="1549" xr:uid="{00000000-0005-0000-0000-000003060000}"/>
    <cellStyle name="Normal 3 27 16" xfId="1550" xr:uid="{00000000-0005-0000-0000-000004060000}"/>
    <cellStyle name="Normal 3 27 17" xfId="1551" xr:uid="{00000000-0005-0000-0000-000005060000}"/>
    <cellStyle name="Normal 3 27 18" xfId="1552" xr:uid="{00000000-0005-0000-0000-000006060000}"/>
    <cellStyle name="Normal 3 27 19" xfId="1553" xr:uid="{00000000-0005-0000-0000-000007060000}"/>
    <cellStyle name="Normal 3 27 2" xfId="1554" xr:uid="{00000000-0005-0000-0000-000008060000}"/>
    <cellStyle name="Normal 3 27 20" xfId="1555" xr:uid="{00000000-0005-0000-0000-000009060000}"/>
    <cellStyle name="Normal 3 27 21" xfId="1556" xr:uid="{00000000-0005-0000-0000-00000A060000}"/>
    <cellStyle name="Normal 3 27 22" xfId="1557" xr:uid="{00000000-0005-0000-0000-00000B060000}"/>
    <cellStyle name="Normal 3 27 23" xfId="1558" xr:uid="{00000000-0005-0000-0000-00000C060000}"/>
    <cellStyle name="Normal 3 27 3" xfId="1559" xr:uid="{00000000-0005-0000-0000-00000D060000}"/>
    <cellStyle name="Normal 3 27 4" xfId="1560" xr:uid="{00000000-0005-0000-0000-00000E060000}"/>
    <cellStyle name="Normal 3 27 5" xfId="1561" xr:uid="{00000000-0005-0000-0000-00000F060000}"/>
    <cellStyle name="Normal 3 27 6" xfId="1562" xr:uid="{00000000-0005-0000-0000-000010060000}"/>
    <cellStyle name="Normal 3 27 7" xfId="1563" xr:uid="{00000000-0005-0000-0000-000011060000}"/>
    <cellStyle name="Normal 3 27 8" xfId="1564" xr:uid="{00000000-0005-0000-0000-000012060000}"/>
    <cellStyle name="Normal 3 27 9" xfId="1565" xr:uid="{00000000-0005-0000-0000-000013060000}"/>
    <cellStyle name="Normal 3 28" xfId="1566" xr:uid="{00000000-0005-0000-0000-000014060000}"/>
    <cellStyle name="Normal 3 28 10" xfId="1567" xr:uid="{00000000-0005-0000-0000-000015060000}"/>
    <cellStyle name="Normal 3 28 11" xfId="1568" xr:uid="{00000000-0005-0000-0000-000016060000}"/>
    <cellStyle name="Normal 3 28 12" xfId="1569" xr:uid="{00000000-0005-0000-0000-000017060000}"/>
    <cellStyle name="Normal 3 28 13" xfId="1570" xr:uid="{00000000-0005-0000-0000-000018060000}"/>
    <cellStyle name="Normal 3 28 14" xfId="1571" xr:uid="{00000000-0005-0000-0000-000019060000}"/>
    <cellStyle name="Normal 3 28 15" xfId="1572" xr:uid="{00000000-0005-0000-0000-00001A060000}"/>
    <cellStyle name="Normal 3 28 16" xfId="1573" xr:uid="{00000000-0005-0000-0000-00001B060000}"/>
    <cellStyle name="Normal 3 28 17" xfId="1574" xr:uid="{00000000-0005-0000-0000-00001C060000}"/>
    <cellStyle name="Normal 3 28 18" xfId="1575" xr:uid="{00000000-0005-0000-0000-00001D060000}"/>
    <cellStyle name="Normal 3 28 19" xfId="1576" xr:uid="{00000000-0005-0000-0000-00001E060000}"/>
    <cellStyle name="Normal 3 28 2" xfId="1577" xr:uid="{00000000-0005-0000-0000-00001F060000}"/>
    <cellStyle name="Normal 3 28 20" xfId="1578" xr:uid="{00000000-0005-0000-0000-000020060000}"/>
    <cellStyle name="Normal 3 28 21" xfId="1579" xr:uid="{00000000-0005-0000-0000-000021060000}"/>
    <cellStyle name="Normal 3 28 22" xfId="1580" xr:uid="{00000000-0005-0000-0000-000022060000}"/>
    <cellStyle name="Normal 3 28 23" xfId="1581" xr:uid="{00000000-0005-0000-0000-000023060000}"/>
    <cellStyle name="Normal 3 28 3" xfId="1582" xr:uid="{00000000-0005-0000-0000-000024060000}"/>
    <cellStyle name="Normal 3 28 4" xfId="1583" xr:uid="{00000000-0005-0000-0000-000025060000}"/>
    <cellStyle name="Normal 3 28 5" xfId="1584" xr:uid="{00000000-0005-0000-0000-000026060000}"/>
    <cellStyle name="Normal 3 28 6" xfId="1585" xr:uid="{00000000-0005-0000-0000-000027060000}"/>
    <cellStyle name="Normal 3 28 7" xfId="1586" xr:uid="{00000000-0005-0000-0000-000028060000}"/>
    <cellStyle name="Normal 3 28 8" xfId="1587" xr:uid="{00000000-0005-0000-0000-000029060000}"/>
    <cellStyle name="Normal 3 28 9" xfId="1588" xr:uid="{00000000-0005-0000-0000-00002A060000}"/>
    <cellStyle name="Normal 3 29" xfId="1589" xr:uid="{00000000-0005-0000-0000-00002B060000}"/>
    <cellStyle name="Normal 3 29 10" xfId="1590" xr:uid="{00000000-0005-0000-0000-00002C060000}"/>
    <cellStyle name="Normal 3 29 11" xfId="1591" xr:uid="{00000000-0005-0000-0000-00002D060000}"/>
    <cellStyle name="Normal 3 29 12" xfId="1592" xr:uid="{00000000-0005-0000-0000-00002E060000}"/>
    <cellStyle name="Normal 3 29 13" xfId="1593" xr:uid="{00000000-0005-0000-0000-00002F060000}"/>
    <cellStyle name="Normal 3 29 14" xfId="1594" xr:uid="{00000000-0005-0000-0000-000030060000}"/>
    <cellStyle name="Normal 3 29 15" xfId="1595" xr:uid="{00000000-0005-0000-0000-000031060000}"/>
    <cellStyle name="Normal 3 29 16" xfId="1596" xr:uid="{00000000-0005-0000-0000-000032060000}"/>
    <cellStyle name="Normal 3 29 17" xfId="1597" xr:uid="{00000000-0005-0000-0000-000033060000}"/>
    <cellStyle name="Normal 3 29 18" xfId="1598" xr:uid="{00000000-0005-0000-0000-000034060000}"/>
    <cellStyle name="Normal 3 29 19" xfId="1599" xr:uid="{00000000-0005-0000-0000-000035060000}"/>
    <cellStyle name="Normal 3 29 2" xfId="1600" xr:uid="{00000000-0005-0000-0000-000036060000}"/>
    <cellStyle name="Normal 3 29 20" xfId="1601" xr:uid="{00000000-0005-0000-0000-000037060000}"/>
    <cellStyle name="Normal 3 29 21" xfId="1602" xr:uid="{00000000-0005-0000-0000-000038060000}"/>
    <cellStyle name="Normal 3 29 22" xfId="1603" xr:uid="{00000000-0005-0000-0000-000039060000}"/>
    <cellStyle name="Normal 3 29 23" xfId="1604" xr:uid="{00000000-0005-0000-0000-00003A060000}"/>
    <cellStyle name="Normal 3 29 3" xfId="1605" xr:uid="{00000000-0005-0000-0000-00003B060000}"/>
    <cellStyle name="Normal 3 29 4" xfId="1606" xr:uid="{00000000-0005-0000-0000-00003C060000}"/>
    <cellStyle name="Normal 3 29 5" xfId="1607" xr:uid="{00000000-0005-0000-0000-00003D060000}"/>
    <cellStyle name="Normal 3 29 6" xfId="1608" xr:uid="{00000000-0005-0000-0000-00003E060000}"/>
    <cellStyle name="Normal 3 29 7" xfId="1609" xr:uid="{00000000-0005-0000-0000-00003F060000}"/>
    <cellStyle name="Normal 3 29 8" xfId="1610" xr:uid="{00000000-0005-0000-0000-000040060000}"/>
    <cellStyle name="Normal 3 29 9" xfId="1611" xr:uid="{00000000-0005-0000-0000-000041060000}"/>
    <cellStyle name="Normal 3 3" xfId="1612" xr:uid="{00000000-0005-0000-0000-000042060000}"/>
    <cellStyle name="Normal 3 3 10" xfId="1613" xr:uid="{00000000-0005-0000-0000-000043060000}"/>
    <cellStyle name="Normal 3 3 11" xfId="1614" xr:uid="{00000000-0005-0000-0000-000044060000}"/>
    <cellStyle name="Normal 3 3 12" xfId="1615" xr:uid="{00000000-0005-0000-0000-000045060000}"/>
    <cellStyle name="Normal 3 3 13" xfId="1616" xr:uid="{00000000-0005-0000-0000-000046060000}"/>
    <cellStyle name="Normal 3 3 14" xfId="1617" xr:uid="{00000000-0005-0000-0000-000047060000}"/>
    <cellStyle name="Normal 3 3 15" xfId="1618" xr:uid="{00000000-0005-0000-0000-000048060000}"/>
    <cellStyle name="Normal 3 3 16" xfId="1619" xr:uid="{00000000-0005-0000-0000-000049060000}"/>
    <cellStyle name="Normal 3 3 17" xfId="1620" xr:uid="{00000000-0005-0000-0000-00004A060000}"/>
    <cellStyle name="Normal 3 3 18" xfId="1621" xr:uid="{00000000-0005-0000-0000-00004B060000}"/>
    <cellStyle name="Normal 3 3 19" xfId="1622" xr:uid="{00000000-0005-0000-0000-00004C060000}"/>
    <cellStyle name="Normal 3 3 2" xfId="1623" xr:uid="{00000000-0005-0000-0000-00004D060000}"/>
    <cellStyle name="Normal 3 3 20" xfId="1624" xr:uid="{00000000-0005-0000-0000-00004E060000}"/>
    <cellStyle name="Normal 3 3 21" xfId="1625" xr:uid="{00000000-0005-0000-0000-00004F060000}"/>
    <cellStyle name="Normal 3 3 22" xfId="1626" xr:uid="{00000000-0005-0000-0000-000050060000}"/>
    <cellStyle name="Normal 3 3 23" xfId="1627" xr:uid="{00000000-0005-0000-0000-000051060000}"/>
    <cellStyle name="Normal 3 3 3" xfId="1628" xr:uid="{00000000-0005-0000-0000-000052060000}"/>
    <cellStyle name="Normal 3 3 4" xfId="1629" xr:uid="{00000000-0005-0000-0000-000053060000}"/>
    <cellStyle name="Normal 3 3 5" xfId="1630" xr:uid="{00000000-0005-0000-0000-000054060000}"/>
    <cellStyle name="Normal 3 3 6" xfId="1631" xr:uid="{00000000-0005-0000-0000-000055060000}"/>
    <cellStyle name="Normal 3 3 7" xfId="1632" xr:uid="{00000000-0005-0000-0000-000056060000}"/>
    <cellStyle name="Normal 3 3 8" xfId="1633" xr:uid="{00000000-0005-0000-0000-000057060000}"/>
    <cellStyle name="Normal 3 3 9" xfId="1634" xr:uid="{00000000-0005-0000-0000-000058060000}"/>
    <cellStyle name="Normal 3 30" xfId="1635" xr:uid="{00000000-0005-0000-0000-000059060000}"/>
    <cellStyle name="Normal 3 30 10" xfId="1636" xr:uid="{00000000-0005-0000-0000-00005A060000}"/>
    <cellStyle name="Normal 3 30 11" xfId="1637" xr:uid="{00000000-0005-0000-0000-00005B060000}"/>
    <cellStyle name="Normal 3 30 12" xfId="1638" xr:uid="{00000000-0005-0000-0000-00005C060000}"/>
    <cellStyle name="Normal 3 30 13" xfId="1639" xr:uid="{00000000-0005-0000-0000-00005D060000}"/>
    <cellStyle name="Normal 3 30 14" xfId="1640" xr:uid="{00000000-0005-0000-0000-00005E060000}"/>
    <cellStyle name="Normal 3 30 15" xfId="1641" xr:uid="{00000000-0005-0000-0000-00005F060000}"/>
    <cellStyle name="Normal 3 30 16" xfId="1642" xr:uid="{00000000-0005-0000-0000-000060060000}"/>
    <cellStyle name="Normal 3 30 17" xfId="1643" xr:uid="{00000000-0005-0000-0000-000061060000}"/>
    <cellStyle name="Normal 3 30 18" xfId="1644" xr:uid="{00000000-0005-0000-0000-000062060000}"/>
    <cellStyle name="Normal 3 30 19" xfId="1645" xr:uid="{00000000-0005-0000-0000-000063060000}"/>
    <cellStyle name="Normal 3 30 2" xfId="1646" xr:uid="{00000000-0005-0000-0000-000064060000}"/>
    <cellStyle name="Normal 3 30 20" xfId="1647" xr:uid="{00000000-0005-0000-0000-000065060000}"/>
    <cellStyle name="Normal 3 30 21" xfId="1648" xr:uid="{00000000-0005-0000-0000-000066060000}"/>
    <cellStyle name="Normal 3 30 22" xfId="1649" xr:uid="{00000000-0005-0000-0000-000067060000}"/>
    <cellStyle name="Normal 3 30 23" xfId="1650" xr:uid="{00000000-0005-0000-0000-000068060000}"/>
    <cellStyle name="Normal 3 30 3" xfId="1651" xr:uid="{00000000-0005-0000-0000-000069060000}"/>
    <cellStyle name="Normal 3 30 4" xfId="1652" xr:uid="{00000000-0005-0000-0000-00006A060000}"/>
    <cellStyle name="Normal 3 30 5" xfId="1653" xr:uid="{00000000-0005-0000-0000-00006B060000}"/>
    <cellStyle name="Normal 3 30 6" xfId="1654" xr:uid="{00000000-0005-0000-0000-00006C060000}"/>
    <cellStyle name="Normal 3 30 7" xfId="1655" xr:uid="{00000000-0005-0000-0000-00006D060000}"/>
    <cellStyle name="Normal 3 30 8" xfId="1656" xr:uid="{00000000-0005-0000-0000-00006E060000}"/>
    <cellStyle name="Normal 3 30 9" xfId="1657" xr:uid="{00000000-0005-0000-0000-00006F060000}"/>
    <cellStyle name="Normal 3 31" xfId="1658" xr:uid="{00000000-0005-0000-0000-000070060000}"/>
    <cellStyle name="Normal 3 31 10" xfId="1659" xr:uid="{00000000-0005-0000-0000-000071060000}"/>
    <cellStyle name="Normal 3 31 11" xfId="1660" xr:uid="{00000000-0005-0000-0000-000072060000}"/>
    <cellStyle name="Normal 3 31 12" xfId="1661" xr:uid="{00000000-0005-0000-0000-000073060000}"/>
    <cellStyle name="Normal 3 31 13" xfId="1662" xr:uid="{00000000-0005-0000-0000-000074060000}"/>
    <cellStyle name="Normal 3 31 14" xfId="1663" xr:uid="{00000000-0005-0000-0000-000075060000}"/>
    <cellStyle name="Normal 3 31 15" xfId="1664" xr:uid="{00000000-0005-0000-0000-000076060000}"/>
    <cellStyle name="Normal 3 31 16" xfId="1665" xr:uid="{00000000-0005-0000-0000-000077060000}"/>
    <cellStyle name="Normal 3 31 17" xfId="1666" xr:uid="{00000000-0005-0000-0000-000078060000}"/>
    <cellStyle name="Normal 3 31 18" xfId="1667" xr:uid="{00000000-0005-0000-0000-000079060000}"/>
    <cellStyle name="Normal 3 31 19" xfId="1668" xr:uid="{00000000-0005-0000-0000-00007A060000}"/>
    <cellStyle name="Normal 3 31 2" xfId="1669" xr:uid="{00000000-0005-0000-0000-00007B060000}"/>
    <cellStyle name="Normal 3 31 20" xfId="1670" xr:uid="{00000000-0005-0000-0000-00007C060000}"/>
    <cellStyle name="Normal 3 31 21" xfId="1671" xr:uid="{00000000-0005-0000-0000-00007D060000}"/>
    <cellStyle name="Normal 3 31 22" xfId="1672" xr:uid="{00000000-0005-0000-0000-00007E060000}"/>
    <cellStyle name="Normal 3 31 23" xfId="1673" xr:uid="{00000000-0005-0000-0000-00007F060000}"/>
    <cellStyle name="Normal 3 31 3" xfId="1674" xr:uid="{00000000-0005-0000-0000-000080060000}"/>
    <cellStyle name="Normal 3 31 4" xfId="1675" xr:uid="{00000000-0005-0000-0000-000081060000}"/>
    <cellStyle name="Normal 3 31 5" xfId="1676" xr:uid="{00000000-0005-0000-0000-000082060000}"/>
    <cellStyle name="Normal 3 31 6" xfId="1677" xr:uid="{00000000-0005-0000-0000-000083060000}"/>
    <cellStyle name="Normal 3 31 7" xfId="1678" xr:uid="{00000000-0005-0000-0000-000084060000}"/>
    <cellStyle name="Normal 3 31 8" xfId="1679" xr:uid="{00000000-0005-0000-0000-000085060000}"/>
    <cellStyle name="Normal 3 31 9" xfId="1680" xr:uid="{00000000-0005-0000-0000-000086060000}"/>
    <cellStyle name="Normal 3 32" xfId="1681" xr:uid="{00000000-0005-0000-0000-000087060000}"/>
    <cellStyle name="Normal 3 32 10" xfId="1682" xr:uid="{00000000-0005-0000-0000-000088060000}"/>
    <cellStyle name="Normal 3 32 11" xfId="1683" xr:uid="{00000000-0005-0000-0000-000089060000}"/>
    <cellStyle name="Normal 3 32 12" xfId="1684" xr:uid="{00000000-0005-0000-0000-00008A060000}"/>
    <cellStyle name="Normal 3 32 13" xfId="1685" xr:uid="{00000000-0005-0000-0000-00008B060000}"/>
    <cellStyle name="Normal 3 32 14" xfId="1686" xr:uid="{00000000-0005-0000-0000-00008C060000}"/>
    <cellStyle name="Normal 3 32 15" xfId="1687" xr:uid="{00000000-0005-0000-0000-00008D060000}"/>
    <cellStyle name="Normal 3 32 16" xfId="1688" xr:uid="{00000000-0005-0000-0000-00008E060000}"/>
    <cellStyle name="Normal 3 32 17" xfId="1689" xr:uid="{00000000-0005-0000-0000-00008F060000}"/>
    <cellStyle name="Normal 3 32 18" xfId="1690" xr:uid="{00000000-0005-0000-0000-000090060000}"/>
    <cellStyle name="Normal 3 32 19" xfId="1691" xr:uid="{00000000-0005-0000-0000-000091060000}"/>
    <cellStyle name="Normal 3 32 2" xfId="1692" xr:uid="{00000000-0005-0000-0000-000092060000}"/>
    <cellStyle name="Normal 3 32 20" xfId="1693" xr:uid="{00000000-0005-0000-0000-000093060000}"/>
    <cellStyle name="Normal 3 32 21" xfId="1694" xr:uid="{00000000-0005-0000-0000-000094060000}"/>
    <cellStyle name="Normal 3 32 22" xfId="1695" xr:uid="{00000000-0005-0000-0000-000095060000}"/>
    <cellStyle name="Normal 3 32 23" xfId="1696" xr:uid="{00000000-0005-0000-0000-000096060000}"/>
    <cellStyle name="Normal 3 32 3" xfId="1697" xr:uid="{00000000-0005-0000-0000-000097060000}"/>
    <cellStyle name="Normal 3 32 4" xfId="1698" xr:uid="{00000000-0005-0000-0000-000098060000}"/>
    <cellStyle name="Normal 3 32 5" xfId="1699" xr:uid="{00000000-0005-0000-0000-000099060000}"/>
    <cellStyle name="Normal 3 32 6" xfId="1700" xr:uid="{00000000-0005-0000-0000-00009A060000}"/>
    <cellStyle name="Normal 3 32 7" xfId="1701" xr:uid="{00000000-0005-0000-0000-00009B060000}"/>
    <cellStyle name="Normal 3 32 8" xfId="1702" xr:uid="{00000000-0005-0000-0000-00009C060000}"/>
    <cellStyle name="Normal 3 32 9" xfId="1703" xr:uid="{00000000-0005-0000-0000-00009D060000}"/>
    <cellStyle name="Normal 3 33" xfId="1704" xr:uid="{00000000-0005-0000-0000-00009E060000}"/>
    <cellStyle name="Normal 3 33 10" xfId="1705" xr:uid="{00000000-0005-0000-0000-00009F060000}"/>
    <cellStyle name="Normal 3 33 11" xfId="1706" xr:uid="{00000000-0005-0000-0000-0000A0060000}"/>
    <cellStyle name="Normal 3 33 12" xfId="1707" xr:uid="{00000000-0005-0000-0000-0000A1060000}"/>
    <cellStyle name="Normal 3 33 13" xfId="1708" xr:uid="{00000000-0005-0000-0000-0000A2060000}"/>
    <cellStyle name="Normal 3 33 14" xfId="1709" xr:uid="{00000000-0005-0000-0000-0000A3060000}"/>
    <cellStyle name="Normal 3 33 15" xfId="1710" xr:uid="{00000000-0005-0000-0000-0000A4060000}"/>
    <cellStyle name="Normal 3 33 16" xfId="1711" xr:uid="{00000000-0005-0000-0000-0000A5060000}"/>
    <cellStyle name="Normal 3 33 17" xfId="1712" xr:uid="{00000000-0005-0000-0000-0000A6060000}"/>
    <cellStyle name="Normal 3 33 18" xfId="1713" xr:uid="{00000000-0005-0000-0000-0000A7060000}"/>
    <cellStyle name="Normal 3 33 19" xfId="1714" xr:uid="{00000000-0005-0000-0000-0000A8060000}"/>
    <cellStyle name="Normal 3 33 2" xfId="1715" xr:uid="{00000000-0005-0000-0000-0000A9060000}"/>
    <cellStyle name="Normal 3 33 20" xfId="1716" xr:uid="{00000000-0005-0000-0000-0000AA060000}"/>
    <cellStyle name="Normal 3 33 21" xfId="1717" xr:uid="{00000000-0005-0000-0000-0000AB060000}"/>
    <cellStyle name="Normal 3 33 22" xfId="1718" xr:uid="{00000000-0005-0000-0000-0000AC060000}"/>
    <cellStyle name="Normal 3 33 23" xfId="1719" xr:uid="{00000000-0005-0000-0000-0000AD060000}"/>
    <cellStyle name="Normal 3 33 3" xfId="1720" xr:uid="{00000000-0005-0000-0000-0000AE060000}"/>
    <cellStyle name="Normal 3 33 4" xfId="1721" xr:uid="{00000000-0005-0000-0000-0000AF060000}"/>
    <cellStyle name="Normal 3 33 5" xfId="1722" xr:uid="{00000000-0005-0000-0000-0000B0060000}"/>
    <cellStyle name="Normal 3 33 6" xfId="1723" xr:uid="{00000000-0005-0000-0000-0000B1060000}"/>
    <cellStyle name="Normal 3 33 7" xfId="1724" xr:uid="{00000000-0005-0000-0000-0000B2060000}"/>
    <cellStyle name="Normal 3 33 8" xfId="1725" xr:uid="{00000000-0005-0000-0000-0000B3060000}"/>
    <cellStyle name="Normal 3 33 9" xfId="1726" xr:uid="{00000000-0005-0000-0000-0000B4060000}"/>
    <cellStyle name="Normal 3 34" xfId="1727" xr:uid="{00000000-0005-0000-0000-0000B5060000}"/>
    <cellStyle name="Normal 3 35" xfId="1728" xr:uid="{00000000-0005-0000-0000-0000B6060000}"/>
    <cellStyle name="Normal 3 36" xfId="1729" xr:uid="{00000000-0005-0000-0000-0000B7060000}"/>
    <cellStyle name="Normal 3 37" xfId="1730" xr:uid="{00000000-0005-0000-0000-0000B8060000}"/>
    <cellStyle name="Normal 3 38" xfId="1731" xr:uid="{00000000-0005-0000-0000-0000B9060000}"/>
    <cellStyle name="Normal 3 39" xfId="1732" xr:uid="{00000000-0005-0000-0000-0000BA060000}"/>
    <cellStyle name="Normal 3 4" xfId="1733" xr:uid="{00000000-0005-0000-0000-0000BB060000}"/>
    <cellStyle name="Normal 3 4 10" xfId="1734" xr:uid="{00000000-0005-0000-0000-0000BC060000}"/>
    <cellStyle name="Normal 3 4 11" xfId="1735" xr:uid="{00000000-0005-0000-0000-0000BD060000}"/>
    <cellStyle name="Normal 3 4 12" xfId="1736" xr:uid="{00000000-0005-0000-0000-0000BE060000}"/>
    <cellStyle name="Normal 3 4 13" xfId="1737" xr:uid="{00000000-0005-0000-0000-0000BF060000}"/>
    <cellStyle name="Normal 3 4 14" xfId="1738" xr:uid="{00000000-0005-0000-0000-0000C0060000}"/>
    <cellStyle name="Normal 3 4 15" xfId="1739" xr:uid="{00000000-0005-0000-0000-0000C1060000}"/>
    <cellStyle name="Normal 3 4 16" xfId="1740" xr:uid="{00000000-0005-0000-0000-0000C2060000}"/>
    <cellStyle name="Normal 3 4 17" xfId="1741" xr:uid="{00000000-0005-0000-0000-0000C3060000}"/>
    <cellStyle name="Normal 3 4 18" xfId="1742" xr:uid="{00000000-0005-0000-0000-0000C4060000}"/>
    <cellStyle name="Normal 3 4 19" xfId="1743" xr:uid="{00000000-0005-0000-0000-0000C5060000}"/>
    <cellStyle name="Normal 3 4 2" xfId="1744" xr:uid="{00000000-0005-0000-0000-0000C6060000}"/>
    <cellStyle name="Normal 3 4 20" xfId="1745" xr:uid="{00000000-0005-0000-0000-0000C7060000}"/>
    <cellStyle name="Normal 3 4 21" xfId="1746" xr:uid="{00000000-0005-0000-0000-0000C8060000}"/>
    <cellStyle name="Normal 3 4 22" xfId="1747" xr:uid="{00000000-0005-0000-0000-0000C9060000}"/>
    <cellStyle name="Normal 3 4 23" xfId="1748" xr:uid="{00000000-0005-0000-0000-0000CA060000}"/>
    <cellStyle name="Normal 3 4 3" xfId="1749" xr:uid="{00000000-0005-0000-0000-0000CB060000}"/>
    <cellStyle name="Normal 3 4 4" xfId="1750" xr:uid="{00000000-0005-0000-0000-0000CC060000}"/>
    <cellStyle name="Normal 3 4 5" xfId="1751" xr:uid="{00000000-0005-0000-0000-0000CD060000}"/>
    <cellStyle name="Normal 3 4 6" xfId="1752" xr:uid="{00000000-0005-0000-0000-0000CE060000}"/>
    <cellStyle name="Normal 3 4 7" xfId="1753" xr:uid="{00000000-0005-0000-0000-0000CF060000}"/>
    <cellStyle name="Normal 3 4 8" xfId="1754" xr:uid="{00000000-0005-0000-0000-0000D0060000}"/>
    <cellStyle name="Normal 3 4 9" xfId="1755" xr:uid="{00000000-0005-0000-0000-0000D1060000}"/>
    <cellStyle name="Normal 3 40" xfId="1756" xr:uid="{00000000-0005-0000-0000-0000D2060000}"/>
    <cellStyle name="Normal 3 41" xfId="1757" xr:uid="{00000000-0005-0000-0000-0000D3060000}"/>
    <cellStyle name="Normal 3 42" xfId="1758" xr:uid="{00000000-0005-0000-0000-0000D4060000}"/>
    <cellStyle name="Normal 3 43" xfId="1759" xr:uid="{00000000-0005-0000-0000-0000D5060000}"/>
    <cellStyle name="Normal 3 44" xfId="1760" xr:uid="{00000000-0005-0000-0000-0000D6060000}"/>
    <cellStyle name="Normal 3 45" xfId="1761" xr:uid="{00000000-0005-0000-0000-0000D7060000}"/>
    <cellStyle name="Normal 3 46" xfId="1762" xr:uid="{00000000-0005-0000-0000-0000D8060000}"/>
    <cellStyle name="Normal 3 47" xfId="1763" xr:uid="{00000000-0005-0000-0000-0000D9060000}"/>
    <cellStyle name="Normal 3 48" xfId="1764" xr:uid="{00000000-0005-0000-0000-0000DA060000}"/>
    <cellStyle name="Normal 3 49" xfId="1765" xr:uid="{00000000-0005-0000-0000-0000DB060000}"/>
    <cellStyle name="Normal 3 5" xfId="1766" xr:uid="{00000000-0005-0000-0000-0000DC060000}"/>
    <cellStyle name="Normal 3 5 10" xfId="1767" xr:uid="{00000000-0005-0000-0000-0000DD060000}"/>
    <cellStyle name="Normal 3 5 11" xfId="1768" xr:uid="{00000000-0005-0000-0000-0000DE060000}"/>
    <cellStyle name="Normal 3 5 12" xfId="1769" xr:uid="{00000000-0005-0000-0000-0000DF060000}"/>
    <cellStyle name="Normal 3 5 13" xfId="1770" xr:uid="{00000000-0005-0000-0000-0000E0060000}"/>
    <cellStyle name="Normal 3 5 14" xfId="1771" xr:uid="{00000000-0005-0000-0000-0000E1060000}"/>
    <cellStyle name="Normal 3 5 15" xfId="1772" xr:uid="{00000000-0005-0000-0000-0000E2060000}"/>
    <cellStyle name="Normal 3 5 16" xfId="1773" xr:uid="{00000000-0005-0000-0000-0000E3060000}"/>
    <cellStyle name="Normal 3 5 17" xfId="1774" xr:uid="{00000000-0005-0000-0000-0000E4060000}"/>
    <cellStyle name="Normal 3 5 18" xfId="1775" xr:uid="{00000000-0005-0000-0000-0000E5060000}"/>
    <cellStyle name="Normal 3 5 19" xfId="1776" xr:uid="{00000000-0005-0000-0000-0000E6060000}"/>
    <cellStyle name="Normal 3 5 2" xfId="1777" xr:uid="{00000000-0005-0000-0000-0000E7060000}"/>
    <cellStyle name="Normal 3 5 20" xfId="1778" xr:uid="{00000000-0005-0000-0000-0000E8060000}"/>
    <cellStyle name="Normal 3 5 21" xfId="1779" xr:uid="{00000000-0005-0000-0000-0000E9060000}"/>
    <cellStyle name="Normal 3 5 22" xfId="1780" xr:uid="{00000000-0005-0000-0000-0000EA060000}"/>
    <cellStyle name="Normal 3 5 23" xfId="1781" xr:uid="{00000000-0005-0000-0000-0000EB060000}"/>
    <cellStyle name="Normal 3 5 3" xfId="1782" xr:uid="{00000000-0005-0000-0000-0000EC060000}"/>
    <cellStyle name="Normal 3 5 4" xfId="1783" xr:uid="{00000000-0005-0000-0000-0000ED060000}"/>
    <cellStyle name="Normal 3 5 5" xfId="1784" xr:uid="{00000000-0005-0000-0000-0000EE060000}"/>
    <cellStyle name="Normal 3 5 6" xfId="1785" xr:uid="{00000000-0005-0000-0000-0000EF060000}"/>
    <cellStyle name="Normal 3 5 7" xfId="1786" xr:uid="{00000000-0005-0000-0000-0000F0060000}"/>
    <cellStyle name="Normal 3 5 8" xfId="1787" xr:uid="{00000000-0005-0000-0000-0000F1060000}"/>
    <cellStyle name="Normal 3 5 9" xfId="1788" xr:uid="{00000000-0005-0000-0000-0000F2060000}"/>
    <cellStyle name="Normal 3 50" xfId="1789" xr:uid="{00000000-0005-0000-0000-0000F3060000}"/>
    <cellStyle name="Normal 3 51" xfId="1790" xr:uid="{00000000-0005-0000-0000-0000F4060000}"/>
    <cellStyle name="Normal 3 52" xfId="1791" xr:uid="{00000000-0005-0000-0000-0000F5060000}"/>
    <cellStyle name="Normal 3 53" xfId="1792" xr:uid="{00000000-0005-0000-0000-0000F6060000}"/>
    <cellStyle name="Normal 3 54" xfId="1793" xr:uid="{00000000-0005-0000-0000-0000F7060000}"/>
    <cellStyle name="Normal 3 55" xfId="1794" xr:uid="{00000000-0005-0000-0000-0000F8060000}"/>
    <cellStyle name="Normal 3 56" xfId="1795" xr:uid="{00000000-0005-0000-0000-0000F9060000}"/>
    <cellStyle name="Normal 3 57" xfId="1796" xr:uid="{00000000-0005-0000-0000-0000FA060000}"/>
    <cellStyle name="Normal 3 58" xfId="1797" xr:uid="{00000000-0005-0000-0000-0000FB060000}"/>
    <cellStyle name="Normal 3 59" xfId="1798" xr:uid="{00000000-0005-0000-0000-0000FC060000}"/>
    <cellStyle name="Normal 3 6" xfId="1799" xr:uid="{00000000-0005-0000-0000-0000FD060000}"/>
    <cellStyle name="Normal 3 6 10" xfId="1800" xr:uid="{00000000-0005-0000-0000-0000FE060000}"/>
    <cellStyle name="Normal 3 6 11" xfId="1801" xr:uid="{00000000-0005-0000-0000-0000FF060000}"/>
    <cellStyle name="Normal 3 6 12" xfId="1802" xr:uid="{00000000-0005-0000-0000-000000070000}"/>
    <cellStyle name="Normal 3 6 13" xfId="1803" xr:uid="{00000000-0005-0000-0000-000001070000}"/>
    <cellStyle name="Normal 3 6 14" xfId="1804" xr:uid="{00000000-0005-0000-0000-000002070000}"/>
    <cellStyle name="Normal 3 6 15" xfId="1805" xr:uid="{00000000-0005-0000-0000-000003070000}"/>
    <cellStyle name="Normal 3 6 16" xfId="1806" xr:uid="{00000000-0005-0000-0000-000004070000}"/>
    <cellStyle name="Normal 3 6 17" xfId="1807" xr:uid="{00000000-0005-0000-0000-000005070000}"/>
    <cellStyle name="Normal 3 6 18" xfId="1808" xr:uid="{00000000-0005-0000-0000-000006070000}"/>
    <cellStyle name="Normal 3 6 19" xfId="1809" xr:uid="{00000000-0005-0000-0000-000007070000}"/>
    <cellStyle name="Normal 3 6 2" xfId="1810" xr:uid="{00000000-0005-0000-0000-000008070000}"/>
    <cellStyle name="Normal 3 6 20" xfId="1811" xr:uid="{00000000-0005-0000-0000-000009070000}"/>
    <cellStyle name="Normal 3 6 21" xfId="1812" xr:uid="{00000000-0005-0000-0000-00000A070000}"/>
    <cellStyle name="Normal 3 6 22" xfId="1813" xr:uid="{00000000-0005-0000-0000-00000B070000}"/>
    <cellStyle name="Normal 3 6 23" xfId="1814" xr:uid="{00000000-0005-0000-0000-00000C070000}"/>
    <cellStyle name="Normal 3 6 3" xfId="1815" xr:uid="{00000000-0005-0000-0000-00000D070000}"/>
    <cellStyle name="Normal 3 6 4" xfId="1816" xr:uid="{00000000-0005-0000-0000-00000E070000}"/>
    <cellStyle name="Normal 3 6 5" xfId="1817" xr:uid="{00000000-0005-0000-0000-00000F070000}"/>
    <cellStyle name="Normal 3 6 6" xfId="1818" xr:uid="{00000000-0005-0000-0000-000010070000}"/>
    <cellStyle name="Normal 3 6 7" xfId="1819" xr:uid="{00000000-0005-0000-0000-000011070000}"/>
    <cellStyle name="Normal 3 6 8" xfId="1820" xr:uid="{00000000-0005-0000-0000-000012070000}"/>
    <cellStyle name="Normal 3 6 9" xfId="1821" xr:uid="{00000000-0005-0000-0000-000013070000}"/>
    <cellStyle name="Normal 3 60" xfId="1822" xr:uid="{00000000-0005-0000-0000-000014070000}"/>
    <cellStyle name="Normal 3 61" xfId="1823" xr:uid="{00000000-0005-0000-0000-000015070000}"/>
    <cellStyle name="Normal 3 62" xfId="1824" xr:uid="{00000000-0005-0000-0000-000016070000}"/>
    <cellStyle name="Normal 3 63" xfId="1825" xr:uid="{00000000-0005-0000-0000-000017070000}"/>
    <cellStyle name="Normal 3 64" xfId="1826" xr:uid="{00000000-0005-0000-0000-000018070000}"/>
    <cellStyle name="Normal 3 65" xfId="1827" xr:uid="{00000000-0005-0000-0000-000019070000}"/>
    <cellStyle name="Normal 3 66" xfId="1064" xr:uid="{00000000-0005-0000-0000-00001A070000}"/>
    <cellStyle name="Normal 3 7" xfId="1828" xr:uid="{00000000-0005-0000-0000-00001B070000}"/>
    <cellStyle name="Normal 3 7 10" xfId="1829" xr:uid="{00000000-0005-0000-0000-00001C070000}"/>
    <cellStyle name="Normal 3 7 11" xfId="1830" xr:uid="{00000000-0005-0000-0000-00001D070000}"/>
    <cellStyle name="Normal 3 7 12" xfId="1831" xr:uid="{00000000-0005-0000-0000-00001E070000}"/>
    <cellStyle name="Normal 3 7 13" xfId="1832" xr:uid="{00000000-0005-0000-0000-00001F070000}"/>
    <cellStyle name="Normal 3 7 14" xfId="1833" xr:uid="{00000000-0005-0000-0000-000020070000}"/>
    <cellStyle name="Normal 3 7 15" xfId="1834" xr:uid="{00000000-0005-0000-0000-000021070000}"/>
    <cellStyle name="Normal 3 7 16" xfId="1835" xr:uid="{00000000-0005-0000-0000-000022070000}"/>
    <cellStyle name="Normal 3 7 17" xfId="1836" xr:uid="{00000000-0005-0000-0000-000023070000}"/>
    <cellStyle name="Normal 3 7 18" xfId="1837" xr:uid="{00000000-0005-0000-0000-000024070000}"/>
    <cellStyle name="Normal 3 7 19" xfId="1838" xr:uid="{00000000-0005-0000-0000-000025070000}"/>
    <cellStyle name="Normal 3 7 2" xfId="1839" xr:uid="{00000000-0005-0000-0000-000026070000}"/>
    <cellStyle name="Normal 3 7 20" xfId="1840" xr:uid="{00000000-0005-0000-0000-000027070000}"/>
    <cellStyle name="Normal 3 7 21" xfId="1841" xr:uid="{00000000-0005-0000-0000-000028070000}"/>
    <cellStyle name="Normal 3 7 22" xfId="1842" xr:uid="{00000000-0005-0000-0000-000029070000}"/>
    <cellStyle name="Normal 3 7 23" xfId="1843" xr:uid="{00000000-0005-0000-0000-00002A070000}"/>
    <cellStyle name="Normal 3 7 3" xfId="1844" xr:uid="{00000000-0005-0000-0000-00002B070000}"/>
    <cellStyle name="Normal 3 7 4" xfId="1845" xr:uid="{00000000-0005-0000-0000-00002C070000}"/>
    <cellStyle name="Normal 3 7 5" xfId="1846" xr:uid="{00000000-0005-0000-0000-00002D070000}"/>
    <cellStyle name="Normal 3 7 6" xfId="1847" xr:uid="{00000000-0005-0000-0000-00002E070000}"/>
    <cellStyle name="Normal 3 7 7" xfId="1848" xr:uid="{00000000-0005-0000-0000-00002F070000}"/>
    <cellStyle name="Normal 3 7 8" xfId="1849" xr:uid="{00000000-0005-0000-0000-000030070000}"/>
    <cellStyle name="Normal 3 7 9" xfId="1850" xr:uid="{00000000-0005-0000-0000-000031070000}"/>
    <cellStyle name="Normal 3 8" xfId="1851" xr:uid="{00000000-0005-0000-0000-000032070000}"/>
    <cellStyle name="Normal 3 8 10" xfId="1852" xr:uid="{00000000-0005-0000-0000-000033070000}"/>
    <cellStyle name="Normal 3 8 11" xfId="1853" xr:uid="{00000000-0005-0000-0000-000034070000}"/>
    <cellStyle name="Normal 3 8 12" xfId="1854" xr:uid="{00000000-0005-0000-0000-000035070000}"/>
    <cellStyle name="Normal 3 8 13" xfId="1855" xr:uid="{00000000-0005-0000-0000-000036070000}"/>
    <cellStyle name="Normal 3 8 14" xfId="1856" xr:uid="{00000000-0005-0000-0000-000037070000}"/>
    <cellStyle name="Normal 3 8 15" xfId="1857" xr:uid="{00000000-0005-0000-0000-000038070000}"/>
    <cellStyle name="Normal 3 8 16" xfId="1858" xr:uid="{00000000-0005-0000-0000-000039070000}"/>
    <cellStyle name="Normal 3 8 17" xfId="1859" xr:uid="{00000000-0005-0000-0000-00003A070000}"/>
    <cellStyle name="Normal 3 8 18" xfId="1860" xr:uid="{00000000-0005-0000-0000-00003B070000}"/>
    <cellStyle name="Normal 3 8 19" xfId="1861" xr:uid="{00000000-0005-0000-0000-00003C070000}"/>
    <cellStyle name="Normal 3 8 2" xfId="1862" xr:uid="{00000000-0005-0000-0000-00003D070000}"/>
    <cellStyle name="Normal 3 8 20" xfId="1863" xr:uid="{00000000-0005-0000-0000-00003E070000}"/>
    <cellStyle name="Normal 3 8 21" xfId="1864" xr:uid="{00000000-0005-0000-0000-00003F070000}"/>
    <cellStyle name="Normal 3 8 22" xfId="1865" xr:uid="{00000000-0005-0000-0000-000040070000}"/>
    <cellStyle name="Normal 3 8 23" xfId="1866" xr:uid="{00000000-0005-0000-0000-000041070000}"/>
    <cellStyle name="Normal 3 8 3" xfId="1867" xr:uid="{00000000-0005-0000-0000-000042070000}"/>
    <cellStyle name="Normal 3 8 4" xfId="1868" xr:uid="{00000000-0005-0000-0000-000043070000}"/>
    <cellStyle name="Normal 3 8 5" xfId="1869" xr:uid="{00000000-0005-0000-0000-000044070000}"/>
    <cellStyle name="Normal 3 8 6" xfId="1870" xr:uid="{00000000-0005-0000-0000-000045070000}"/>
    <cellStyle name="Normal 3 8 7" xfId="1871" xr:uid="{00000000-0005-0000-0000-000046070000}"/>
    <cellStyle name="Normal 3 8 8" xfId="1872" xr:uid="{00000000-0005-0000-0000-000047070000}"/>
    <cellStyle name="Normal 3 8 9" xfId="1873" xr:uid="{00000000-0005-0000-0000-000048070000}"/>
    <cellStyle name="Normal 3 9" xfId="1874" xr:uid="{00000000-0005-0000-0000-000049070000}"/>
    <cellStyle name="Normal 3 9 10" xfId="1875" xr:uid="{00000000-0005-0000-0000-00004A070000}"/>
    <cellStyle name="Normal 3 9 11" xfId="1876" xr:uid="{00000000-0005-0000-0000-00004B070000}"/>
    <cellStyle name="Normal 3 9 12" xfId="1877" xr:uid="{00000000-0005-0000-0000-00004C070000}"/>
    <cellStyle name="Normal 3 9 13" xfId="1878" xr:uid="{00000000-0005-0000-0000-00004D070000}"/>
    <cellStyle name="Normal 3 9 14" xfId="1879" xr:uid="{00000000-0005-0000-0000-00004E070000}"/>
    <cellStyle name="Normal 3 9 15" xfId="1880" xr:uid="{00000000-0005-0000-0000-00004F070000}"/>
    <cellStyle name="Normal 3 9 16" xfId="1881" xr:uid="{00000000-0005-0000-0000-000050070000}"/>
    <cellStyle name="Normal 3 9 17" xfId="1882" xr:uid="{00000000-0005-0000-0000-000051070000}"/>
    <cellStyle name="Normal 3 9 18" xfId="1883" xr:uid="{00000000-0005-0000-0000-000052070000}"/>
    <cellStyle name="Normal 3 9 19" xfId="1884" xr:uid="{00000000-0005-0000-0000-000053070000}"/>
    <cellStyle name="Normal 3 9 2" xfId="1885" xr:uid="{00000000-0005-0000-0000-000054070000}"/>
    <cellStyle name="Normal 3 9 20" xfId="1886" xr:uid="{00000000-0005-0000-0000-000055070000}"/>
    <cellStyle name="Normal 3 9 21" xfId="1887" xr:uid="{00000000-0005-0000-0000-000056070000}"/>
    <cellStyle name="Normal 3 9 22" xfId="1888" xr:uid="{00000000-0005-0000-0000-000057070000}"/>
    <cellStyle name="Normal 3 9 23" xfId="1889" xr:uid="{00000000-0005-0000-0000-000058070000}"/>
    <cellStyle name="Normal 3 9 3" xfId="1890" xr:uid="{00000000-0005-0000-0000-000059070000}"/>
    <cellStyle name="Normal 3 9 4" xfId="1891" xr:uid="{00000000-0005-0000-0000-00005A070000}"/>
    <cellStyle name="Normal 3 9 5" xfId="1892" xr:uid="{00000000-0005-0000-0000-00005B070000}"/>
    <cellStyle name="Normal 3 9 6" xfId="1893" xr:uid="{00000000-0005-0000-0000-00005C070000}"/>
    <cellStyle name="Normal 3 9 7" xfId="1894" xr:uid="{00000000-0005-0000-0000-00005D070000}"/>
    <cellStyle name="Normal 3 9 8" xfId="1895" xr:uid="{00000000-0005-0000-0000-00005E070000}"/>
    <cellStyle name="Normal 3 9 9" xfId="1896" xr:uid="{00000000-0005-0000-0000-00005F070000}"/>
    <cellStyle name="Normal 4" xfId="52" xr:uid="{00000000-0005-0000-0000-000060070000}"/>
    <cellStyle name="Normal 4 2" xfId="1898" xr:uid="{00000000-0005-0000-0000-000061070000}"/>
    <cellStyle name="Normal 4 3" xfId="1897" xr:uid="{00000000-0005-0000-0000-000062070000}"/>
    <cellStyle name="Normal 5" xfId="43" xr:uid="{00000000-0005-0000-0000-000063070000}"/>
    <cellStyle name="Normal 5 10" xfId="1899" xr:uid="{00000000-0005-0000-0000-000064070000}"/>
    <cellStyle name="Normal 5 11" xfId="1900" xr:uid="{00000000-0005-0000-0000-000065070000}"/>
    <cellStyle name="Normal 5 12" xfId="1901" xr:uid="{00000000-0005-0000-0000-000066070000}"/>
    <cellStyle name="Normal 5 13" xfId="1902" xr:uid="{00000000-0005-0000-0000-000067070000}"/>
    <cellStyle name="Normal 5 14" xfId="1903" xr:uid="{00000000-0005-0000-0000-000068070000}"/>
    <cellStyle name="Normal 5 15" xfId="1904" xr:uid="{00000000-0005-0000-0000-000069070000}"/>
    <cellStyle name="Normal 5 16" xfId="1905" xr:uid="{00000000-0005-0000-0000-00006A070000}"/>
    <cellStyle name="Normal 5 17" xfId="1906" xr:uid="{00000000-0005-0000-0000-00006B070000}"/>
    <cellStyle name="Normal 5 18" xfId="1907" xr:uid="{00000000-0005-0000-0000-00006C070000}"/>
    <cellStyle name="Normal 5 19" xfId="1908" xr:uid="{00000000-0005-0000-0000-00006D070000}"/>
    <cellStyle name="Normal 5 2" xfId="1909" xr:uid="{00000000-0005-0000-0000-00006E070000}"/>
    <cellStyle name="Normal 5 2 10" xfId="1910" xr:uid="{00000000-0005-0000-0000-00006F070000}"/>
    <cellStyle name="Normal 5 2 11" xfId="1911" xr:uid="{00000000-0005-0000-0000-000070070000}"/>
    <cellStyle name="Normal 5 2 12" xfId="1912" xr:uid="{00000000-0005-0000-0000-000071070000}"/>
    <cellStyle name="Normal 5 2 13" xfId="1913" xr:uid="{00000000-0005-0000-0000-000072070000}"/>
    <cellStyle name="Normal 5 2 14" xfId="1914" xr:uid="{00000000-0005-0000-0000-000073070000}"/>
    <cellStyle name="Normal 5 2 15" xfId="1915" xr:uid="{00000000-0005-0000-0000-000074070000}"/>
    <cellStyle name="Normal 5 2 16" xfId="1916" xr:uid="{00000000-0005-0000-0000-000075070000}"/>
    <cellStyle name="Normal 5 2 17" xfId="1917" xr:uid="{00000000-0005-0000-0000-000076070000}"/>
    <cellStyle name="Normal 5 2 18" xfId="1918" xr:uid="{00000000-0005-0000-0000-000077070000}"/>
    <cellStyle name="Normal 5 2 19" xfId="1919" xr:uid="{00000000-0005-0000-0000-000078070000}"/>
    <cellStyle name="Normal 5 2 2" xfId="1920" xr:uid="{00000000-0005-0000-0000-000079070000}"/>
    <cellStyle name="Normal 5 2 20" xfId="1921" xr:uid="{00000000-0005-0000-0000-00007A070000}"/>
    <cellStyle name="Normal 5 2 21" xfId="1922" xr:uid="{00000000-0005-0000-0000-00007B070000}"/>
    <cellStyle name="Normal 5 2 22" xfId="1923" xr:uid="{00000000-0005-0000-0000-00007C070000}"/>
    <cellStyle name="Normal 5 2 23" xfId="1924" xr:uid="{00000000-0005-0000-0000-00007D070000}"/>
    <cellStyle name="Normal 5 2 3" xfId="1925" xr:uid="{00000000-0005-0000-0000-00007E070000}"/>
    <cellStyle name="Normal 5 2 4" xfId="1926" xr:uid="{00000000-0005-0000-0000-00007F070000}"/>
    <cellStyle name="Normal 5 2 5" xfId="1927" xr:uid="{00000000-0005-0000-0000-000080070000}"/>
    <cellStyle name="Normal 5 2 6" xfId="1928" xr:uid="{00000000-0005-0000-0000-000081070000}"/>
    <cellStyle name="Normal 5 2 7" xfId="1929" xr:uid="{00000000-0005-0000-0000-000082070000}"/>
    <cellStyle name="Normal 5 2 8" xfId="1930" xr:uid="{00000000-0005-0000-0000-000083070000}"/>
    <cellStyle name="Normal 5 2 9" xfId="1931" xr:uid="{00000000-0005-0000-0000-000084070000}"/>
    <cellStyle name="Normal 5 20" xfId="1932" xr:uid="{00000000-0005-0000-0000-000085070000}"/>
    <cellStyle name="Normal 5 21" xfId="1933" xr:uid="{00000000-0005-0000-0000-000086070000}"/>
    <cellStyle name="Normal 5 22" xfId="1934" xr:uid="{00000000-0005-0000-0000-000087070000}"/>
    <cellStyle name="Normal 5 23" xfId="1935" xr:uid="{00000000-0005-0000-0000-000088070000}"/>
    <cellStyle name="Normal 5 24" xfId="1936" xr:uid="{00000000-0005-0000-0000-000089070000}"/>
    <cellStyle name="Normal 5 3" xfId="1937" xr:uid="{00000000-0005-0000-0000-00008A070000}"/>
    <cellStyle name="Normal 5 4" xfId="1938" xr:uid="{00000000-0005-0000-0000-00008B070000}"/>
    <cellStyle name="Normal 5 5" xfId="1939" xr:uid="{00000000-0005-0000-0000-00008C070000}"/>
    <cellStyle name="Normal 5 6" xfId="1940" xr:uid="{00000000-0005-0000-0000-00008D070000}"/>
    <cellStyle name="Normal 5 7" xfId="1941" xr:uid="{00000000-0005-0000-0000-00008E070000}"/>
    <cellStyle name="Normal 5 8" xfId="1942" xr:uid="{00000000-0005-0000-0000-00008F070000}"/>
    <cellStyle name="Normal 5 9" xfId="1943" xr:uid="{00000000-0005-0000-0000-000090070000}"/>
    <cellStyle name="Normal 6" xfId="1944" xr:uid="{00000000-0005-0000-0000-000091070000}"/>
    <cellStyle name="Normal 7" xfId="1945" xr:uid="{00000000-0005-0000-0000-000092070000}"/>
    <cellStyle name="Normal 7 10" xfId="1946" xr:uid="{00000000-0005-0000-0000-000093070000}"/>
    <cellStyle name="Normal 7 11" xfId="1947" xr:uid="{00000000-0005-0000-0000-000094070000}"/>
    <cellStyle name="Normal 7 12" xfId="1948" xr:uid="{00000000-0005-0000-0000-000095070000}"/>
    <cellStyle name="Normal 7 13" xfId="1949" xr:uid="{00000000-0005-0000-0000-000096070000}"/>
    <cellStyle name="Normal 7 14" xfId="1950" xr:uid="{00000000-0005-0000-0000-000097070000}"/>
    <cellStyle name="Normal 7 15" xfId="1951" xr:uid="{00000000-0005-0000-0000-000098070000}"/>
    <cellStyle name="Normal 7 16" xfId="1952" xr:uid="{00000000-0005-0000-0000-000099070000}"/>
    <cellStyle name="Normal 7 17" xfId="1953" xr:uid="{00000000-0005-0000-0000-00009A070000}"/>
    <cellStyle name="Normal 7 18" xfId="1954" xr:uid="{00000000-0005-0000-0000-00009B070000}"/>
    <cellStyle name="Normal 7 19" xfId="1955" xr:uid="{00000000-0005-0000-0000-00009C070000}"/>
    <cellStyle name="Normal 7 2" xfId="1956" xr:uid="{00000000-0005-0000-0000-00009D070000}"/>
    <cellStyle name="Normal 7 2 10" xfId="1957" xr:uid="{00000000-0005-0000-0000-00009E070000}"/>
    <cellStyle name="Normal 7 2 11" xfId="1958" xr:uid="{00000000-0005-0000-0000-00009F070000}"/>
    <cellStyle name="Normal 7 2 12" xfId="1959" xr:uid="{00000000-0005-0000-0000-0000A0070000}"/>
    <cellStyle name="Normal 7 2 13" xfId="1960" xr:uid="{00000000-0005-0000-0000-0000A1070000}"/>
    <cellStyle name="Normal 7 2 14" xfId="1961" xr:uid="{00000000-0005-0000-0000-0000A2070000}"/>
    <cellStyle name="Normal 7 2 15" xfId="1962" xr:uid="{00000000-0005-0000-0000-0000A3070000}"/>
    <cellStyle name="Normal 7 2 16" xfId="1963" xr:uid="{00000000-0005-0000-0000-0000A4070000}"/>
    <cellStyle name="Normal 7 2 17" xfId="1964" xr:uid="{00000000-0005-0000-0000-0000A5070000}"/>
    <cellStyle name="Normal 7 2 18" xfId="1965" xr:uid="{00000000-0005-0000-0000-0000A6070000}"/>
    <cellStyle name="Normal 7 2 19" xfId="1966" xr:uid="{00000000-0005-0000-0000-0000A7070000}"/>
    <cellStyle name="Normal 7 2 2" xfId="1967" xr:uid="{00000000-0005-0000-0000-0000A8070000}"/>
    <cellStyle name="Normal 7 2 20" xfId="1968" xr:uid="{00000000-0005-0000-0000-0000A9070000}"/>
    <cellStyle name="Normal 7 2 21" xfId="1969" xr:uid="{00000000-0005-0000-0000-0000AA070000}"/>
    <cellStyle name="Normal 7 2 22" xfId="1970" xr:uid="{00000000-0005-0000-0000-0000AB070000}"/>
    <cellStyle name="Normal 7 2 23" xfId="1971" xr:uid="{00000000-0005-0000-0000-0000AC070000}"/>
    <cellStyle name="Normal 7 2 3" xfId="1972" xr:uid="{00000000-0005-0000-0000-0000AD070000}"/>
    <cellStyle name="Normal 7 2 4" xfId="1973" xr:uid="{00000000-0005-0000-0000-0000AE070000}"/>
    <cellStyle name="Normal 7 2 5" xfId="1974" xr:uid="{00000000-0005-0000-0000-0000AF070000}"/>
    <cellStyle name="Normal 7 2 6" xfId="1975" xr:uid="{00000000-0005-0000-0000-0000B0070000}"/>
    <cellStyle name="Normal 7 2 7" xfId="1976" xr:uid="{00000000-0005-0000-0000-0000B1070000}"/>
    <cellStyle name="Normal 7 2 8" xfId="1977" xr:uid="{00000000-0005-0000-0000-0000B2070000}"/>
    <cellStyle name="Normal 7 2 9" xfId="1978" xr:uid="{00000000-0005-0000-0000-0000B3070000}"/>
    <cellStyle name="Normal 7 20" xfId="1979" xr:uid="{00000000-0005-0000-0000-0000B4070000}"/>
    <cellStyle name="Normal 7 21" xfId="1980" xr:uid="{00000000-0005-0000-0000-0000B5070000}"/>
    <cellStyle name="Normal 7 22" xfId="1981" xr:uid="{00000000-0005-0000-0000-0000B6070000}"/>
    <cellStyle name="Normal 7 23" xfId="1982" xr:uid="{00000000-0005-0000-0000-0000B7070000}"/>
    <cellStyle name="Normal 7 24" xfId="1983" xr:uid="{00000000-0005-0000-0000-0000B8070000}"/>
    <cellStyle name="Normal 7 3" xfId="1984" xr:uid="{00000000-0005-0000-0000-0000B9070000}"/>
    <cellStyle name="Normal 7 4" xfId="1985" xr:uid="{00000000-0005-0000-0000-0000BA070000}"/>
    <cellStyle name="Normal 7 5" xfId="1986" xr:uid="{00000000-0005-0000-0000-0000BB070000}"/>
    <cellStyle name="Normal 7 6" xfId="1987" xr:uid="{00000000-0005-0000-0000-0000BC070000}"/>
    <cellStyle name="Normal 7 7" xfId="1988" xr:uid="{00000000-0005-0000-0000-0000BD070000}"/>
    <cellStyle name="Normal 7 8" xfId="1989" xr:uid="{00000000-0005-0000-0000-0000BE070000}"/>
    <cellStyle name="Normal 7 9" xfId="1990" xr:uid="{00000000-0005-0000-0000-0000BF070000}"/>
    <cellStyle name="Normal 8" xfId="1991" xr:uid="{00000000-0005-0000-0000-0000C0070000}"/>
    <cellStyle name="Note" xfId="16" builtinId="10" customBuiltin="1"/>
    <cellStyle name="Note 2" xfId="1992" xr:uid="{00000000-0005-0000-0000-0000C2070000}"/>
    <cellStyle name="Output" xfId="11" builtinId="21" customBuiltin="1"/>
    <cellStyle name="Output 2" xfId="1993" xr:uid="{00000000-0005-0000-0000-0000C4070000}"/>
    <cellStyle name="Percent" xfId="1998" builtinId="5"/>
    <cellStyle name="Percent 2" xfId="54" xr:uid="{00000000-0005-0000-0000-0000C5070000}"/>
    <cellStyle name="Percent 3" xfId="53" xr:uid="{00000000-0005-0000-0000-0000C6070000}"/>
    <cellStyle name="Percent 4" xfId="1994" xr:uid="{00000000-0005-0000-0000-0000C7070000}"/>
    <cellStyle name="Title" xfId="2" builtinId="15" customBuiltin="1"/>
    <cellStyle name="Title 2" xfId="1995" xr:uid="{00000000-0005-0000-0000-0000C9070000}"/>
    <cellStyle name="Total" xfId="18" builtinId="25" customBuiltin="1"/>
    <cellStyle name="Total 2" xfId="1996" xr:uid="{00000000-0005-0000-0000-0000CB070000}"/>
    <cellStyle name="Warning Text" xfId="15" builtinId="11" customBuiltin="1"/>
    <cellStyle name="Warning Text 2" xfId="1997" xr:uid="{00000000-0005-0000-0000-0000CD070000}"/>
  </cellStyles>
  <dxfs count="3">
    <dxf>
      <font>
        <color theme="0" tint="-0.499984740745262"/>
      </font>
      <fill>
        <patternFill>
          <bgColor theme="0" tint="-0.499984740745262"/>
        </patternFill>
      </fill>
    </dxf>
    <dxf>
      <fill>
        <patternFill>
          <bgColor theme="8" tint="0.79998168889431442"/>
        </patternFill>
      </fill>
    </dxf>
    <dxf>
      <font>
        <strike val="0"/>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tmp"/><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76131</xdr:rowOff>
    </xdr:from>
    <xdr:to>
      <xdr:col>1</xdr:col>
      <xdr:colOff>1179577</xdr:colOff>
      <xdr:row>0</xdr:row>
      <xdr:rowOff>729189</xdr:rowOff>
    </xdr:to>
    <xdr:pic>
      <xdr:nvPicPr>
        <xdr:cNvPr id="3" name="Picture 2">
          <a:extLst>
            <a:ext uri="{FF2B5EF4-FFF2-40B4-BE49-F238E27FC236}">
              <a16:creationId xmlns:a16="http://schemas.microsoft.com/office/drawing/2014/main" id="{E8C311F7-FC1D-440E-92FB-ECC95709D4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76131"/>
          <a:ext cx="1179576" cy="653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3325642</xdr:colOff>
      <xdr:row>24</xdr:row>
      <xdr:rowOff>161925</xdr:rowOff>
    </xdr:to>
    <xdr:pic>
      <xdr:nvPicPr>
        <xdr:cNvPr id="9" name="Picture 8">
          <a:extLst>
            <a:ext uri="{FF2B5EF4-FFF2-40B4-BE49-F238E27FC236}">
              <a16:creationId xmlns:a16="http://schemas.microsoft.com/office/drawing/2014/main" id="{63CB1CD4-995A-4580-A846-604BA7A48B64}"/>
            </a:ext>
          </a:extLst>
        </xdr:cNvPr>
        <xdr:cNvPicPr>
          <a:picLocks noChangeAspect="1"/>
        </xdr:cNvPicPr>
      </xdr:nvPicPr>
      <xdr:blipFill>
        <a:blip xmlns:r="http://schemas.openxmlformats.org/officeDocument/2006/relationships" r:embed="rId1"/>
        <a:stretch>
          <a:fillRect/>
        </a:stretch>
      </xdr:blipFill>
      <xdr:spPr>
        <a:xfrm>
          <a:off x="247650" y="2143125"/>
          <a:ext cx="3992392" cy="3238500"/>
        </a:xfrm>
        <a:prstGeom prst="rect">
          <a:avLst/>
        </a:prstGeom>
      </xdr:spPr>
    </xdr:pic>
    <xdr:clientData/>
  </xdr:twoCellAnchor>
  <xdr:twoCellAnchor editAs="oneCell">
    <xdr:from>
      <xdr:col>1</xdr:col>
      <xdr:colOff>0</xdr:colOff>
      <xdr:row>41</xdr:row>
      <xdr:rowOff>0</xdr:rowOff>
    </xdr:from>
    <xdr:to>
      <xdr:col>2</xdr:col>
      <xdr:colOff>3280766</xdr:colOff>
      <xdr:row>47</xdr:row>
      <xdr:rowOff>38100</xdr:rowOff>
    </xdr:to>
    <xdr:pic>
      <xdr:nvPicPr>
        <xdr:cNvPr id="11" name="Picture 10">
          <a:extLst>
            <a:ext uri="{FF2B5EF4-FFF2-40B4-BE49-F238E27FC236}">
              <a16:creationId xmlns:a16="http://schemas.microsoft.com/office/drawing/2014/main" id="{DB98FDEB-08EB-4131-89B8-D91568613355}"/>
            </a:ext>
          </a:extLst>
        </xdr:cNvPr>
        <xdr:cNvPicPr>
          <a:picLocks noChangeAspect="1"/>
        </xdr:cNvPicPr>
      </xdr:nvPicPr>
      <xdr:blipFill>
        <a:blip xmlns:r="http://schemas.openxmlformats.org/officeDocument/2006/relationships" r:embed="rId2"/>
        <a:stretch>
          <a:fillRect/>
        </a:stretch>
      </xdr:blipFill>
      <xdr:spPr>
        <a:xfrm>
          <a:off x="247650" y="8343900"/>
          <a:ext cx="3947516" cy="1123950"/>
        </a:xfrm>
        <a:prstGeom prst="rect">
          <a:avLst/>
        </a:prstGeom>
      </xdr:spPr>
    </xdr:pic>
    <xdr:clientData/>
  </xdr:twoCellAnchor>
  <xdr:twoCellAnchor editAs="oneCell">
    <xdr:from>
      <xdr:col>1</xdr:col>
      <xdr:colOff>0</xdr:colOff>
      <xdr:row>46</xdr:row>
      <xdr:rowOff>0</xdr:rowOff>
    </xdr:from>
    <xdr:to>
      <xdr:col>2</xdr:col>
      <xdr:colOff>2779869</xdr:colOff>
      <xdr:row>54</xdr:row>
      <xdr:rowOff>4235</xdr:rowOff>
    </xdr:to>
    <xdr:pic>
      <xdr:nvPicPr>
        <xdr:cNvPr id="12" name="Picture 11">
          <a:extLst>
            <a:ext uri="{FF2B5EF4-FFF2-40B4-BE49-F238E27FC236}">
              <a16:creationId xmlns:a16="http://schemas.microsoft.com/office/drawing/2014/main" id="{1D00C4AD-790A-4601-8A8D-948515DEA2AF}"/>
            </a:ext>
          </a:extLst>
        </xdr:cNvPr>
        <xdr:cNvPicPr>
          <a:picLocks noChangeAspect="1"/>
        </xdr:cNvPicPr>
      </xdr:nvPicPr>
      <xdr:blipFill>
        <a:blip xmlns:r="http://schemas.openxmlformats.org/officeDocument/2006/relationships" r:embed="rId3"/>
        <a:stretch>
          <a:fillRect/>
        </a:stretch>
      </xdr:blipFill>
      <xdr:spPr>
        <a:xfrm>
          <a:off x="247650" y="9248775"/>
          <a:ext cx="3446619" cy="1452035"/>
        </a:xfrm>
        <a:prstGeom prst="rect">
          <a:avLst/>
        </a:prstGeom>
      </xdr:spPr>
    </xdr:pic>
    <xdr:clientData/>
  </xdr:twoCellAnchor>
  <xdr:twoCellAnchor editAs="oneCell">
    <xdr:from>
      <xdr:col>1</xdr:col>
      <xdr:colOff>28575</xdr:colOff>
      <xdr:row>54</xdr:row>
      <xdr:rowOff>38100</xdr:rowOff>
    </xdr:from>
    <xdr:to>
      <xdr:col>2</xdr:col>
      <xdr:colOff>2765425</xdr:colOff>
      <xdr:row>65</xdr:row>
      <xdr:rowOff>172628</xdr:rowOff>
    </xdr:to>
    <xdr:pic>
      <xdr:nvPicPr>
        <xdr:cNvPr id="13" name="Picture 12">
          <a:extLst>
            <a:ext uri="{FF2B5EF4-FFF2-40B4-BE49-F238E27FC236}">
              <a16:creationId xmlns:a16="http://schemas.microsoft.com/office/drawing/2014/main" id="{F1855841-C8C6-4053-858A-F6C432BF156F}"/>
            </a:ext>
          </a:extLst>
        </xdr:cNvPr>
        <xdr:cNvPicPr>
          <a:picLocks noChangeAspect="1"/>
        </xdr:cNvPicPr>
      </xdr:nvPicPr>
      <xdr:blipFill>
        <a:blip xmlns:r="http://schemas.openxmlformats.org/officeDocument/2006/relationships" r:embed="rId4"/>
        <a:stretch>
          <a:fillRect/>
        </a:stretch>
      </xdr:blipFill>
      <xdr:spPr>
        <a:xfrm>
          <a:off x="276225" y="10734675"/>
          <a:ext cx="3403600" cy="2125253"/>
        </a:xfrm>
        <a:prstGeom prst="rect">
          <a:avLst/>
        </a:prstGeom>
      </xdr:spPr>
    </xdr:pic>
    <xdr:clientData/>
  </xdr:twoCellAnchor>
  <xdr:twoCellAnchor editAs="oneCell">
    <xdr:from>
      <xdr:col>2</xdr:col>
      <xdr:colOff>3267075</xdr:colOff>
      <xdr:row>48</xdr:row>
      <xdr:rowOff>38100</xdr:rowOff>
    </xdr:from>
    <xdr:to>
      <xdr:col>2</xdr:col>
      <xdr:colOff>6945323</xdr:colOff>
      <xdr:row>61</xdr:row>
      <xdr:rowOff>118104</xdr:rowOff>
    </xdr:to>
    <xdr:pic>
      <xdr:nvPicPr>
        <xdr:cNvPr id="14" name="Picture 13">
          <a:extLst>
            <a:ext uri="{FF2B5EF4-FFF2-40B4-BE49-F238E27FC236}">
              <a16:creationId xmlns:a16="http://schemas.microsoft.com/office/drawing/2014/main" id="{640EC787-728F-416F-AE1B-55C718B1EC5B}"/>
            </a:ext>
          </a:extLst>
        </xdr:cNvPr>
        <xdr:cNvPicPr>
          <a:picLocks noChangeAspect="1"/>
        </xdr:cNvPicPr>
      </xdr:nvPicPr>
      <xdr:blipFill>
        <a:blip xmlns:r="http://schemas.openxmlformats.org/officeDocument/2006/relationships" r:embed="rId5"/>
        <a:stretch>
          <a:fillRect/>
        </a:stretch>
      </xdr:blipFill>
      <xdr:spPr>
        <a:xfrm>
          <a:off x="4181475" y="9648825"/>
          <a:ext cx="3678248" cy="2432679"/>
        </a:xfrm>
        <a:prstGeom prst="rect">
          <a:avLst/>
        </a:prstGeom>
      </xdr:spPr>
    </xdr:pic>
    <xdr:clientData/>
  </xdr:twoCellAnchor>
  <xdr:twoCellAnchor editAs="oneCell">
    <xdr:from>
      <xdr:col>0</xdr:col>
      <xdr:colOff>247649</xdr:colOff>
      <xdr:row>69</xdr:row>
      <xdr:rowOff>180974</xdr:rowOff>
    </xdr:from>
    <xdr:to>
      <xdr:col>2</xdr:col>
      <xdr:colOff>3136934</xdr:colOff>
      <xdr:row>75</xdr:row>
      <xdr:rowOff>76199</xdr:rowOff>
    </xdr:to>
    <xdr:pic>
      <xdr:nvPicPr>
        <xdr:cNvPr id="16" name="Picture 15">
          <a:extLst>
            <a:ext uri="{FF2B5EF4-FFF2-40B4-BE49-F238E27FC236}">
              <a16:creationId xmlns:a16="http://schemas.microsoft.com/office/drawing/2014/main" id="{DE696294-1DAE-4FD9-89CE-A6C69CF7BF61}"/>
            </a:ext>
          </a:extLst>
        </xdr:cNvPr>
        <xdr:cNvPicPr>
          <a:picLocks noChangeAspect="1"/>
        </xdr:cNvPicPr>
      </xdr:nvPicPr>
      <xdr:blipFill>
        <a:blip xmlns:r="http://schemas.openxmlformats.org/officeDocument/2006/relationships" r:embed="rId6"/>
        <a:stretch>
          <a:fillRect/>
        </a:stretch>
      </xdr:blipFill>
      <xdr:spPr>
        <a:xfrm>
          <a:off x="247649" y="13458824"/>
          <a:ext cx="3803685" cy="981075"/>
        </a:xfrm>
        <a:prstGeom prst="rect">
          <a:avLst/>
        </a:prstGeom>
      </xdr:spPr>
    </xdr:pic>
    <xdr:clientData/>
  </xdr:twoCellAnchor>
  <xdr:twoCellAnchor editAs="oneCell">
    <xdr:from>
      <xdr:col>0</xdr:col>
      <xdr:colOff>238125</xdr:colOff>
      <xdr:row>74</xdr:row>
      <xdr:rowOff>142875</xdr:rowOff>
    </xdr:from>
    <xdr:to>
      <xdr:col>2</xdr:col>
      <xdr:colOff>3913111</xdr:colOff>
      <xdr:row>87</xdr:row>
      <xdr:rowOff>0</xdr:rowOff>
    </xdr:to>
    <xdr:pic>
      <xdr:nvPicPr>
        <xdr:cNvPr id="17" name="Picture 16">
          <a:extLst>
            <a:ext uri="{FF2B5EF4-FFF2-40B4-BE49-F238E27FC236}">
              <a16:creationId xmlns:a16="http://schemas.microsoft.com/office/drawing/2014/main" id="{A85C2D65-16A2-40CE-9A15-618F0A59E236}"/>
            </a:ext>
          </a:extLst>
        </xdr:cNvPr>
        <xdr:cNvPicPr>
          <a:picLocks noChangeAspect="1"/>
        </xdr:cNvPicPr>
      </xdr:nvPicPr>
      <xdr:blipFill>
        <a:blip xmlns:r="http://schemas.openxmlformats.org/officeDocument/2006/relationships" r:embed="rId7"/>
        <a:stretch>
          <a:fillRect/>
        </a:stretch>
      </xdr:blipFill>
      <xdr:spPr>
        <a:xfrm>
          <a:off x="238125" y="14325600"/>
          <a:ext cx="4589386" cy="2209800"/>
        </a:xfrm>
        <a:prstGeom prst="rect">
          <a:avLst/>
        </a:prstGeom>
      </xdr:spPr>
    </xdr:pic>
    <xdr:clientData/>
  </xdr:twoCellAnchor>
  <xdr:twoCellAnchor editAs="oneCell">
    <xdr:from>
      <xdr:col>2</xdr:col>
      <xdr:colOff>4048125</xdr:colOff>
      <xdr:row>71</xdr:row>
      <xdr:rowOff>85725</xdr:rowOff>
    </xdr:from>
    <xdr:to>
      <xdr:col>2</xdr:col>
      <xdr:colOff>7310258</xdr:colOff>
      <xdr:row>89</xdr:row>
      <xdr:rowOff>88622</xdr:rowOff>
    </xdr:to>
    <xdr:pic>
      <xdr:nvPicPr>
        <xdr:cNvPr id="18" name="Picture 17">
          <a:extLst>
            <a:ext uri="{FF2B5EF4-FFF2-40B4-BE49-F238E27FC236}">
              <a16:creationId xmlns:a16="http://schemas.microsoft.com/office/drawing/2014/main" id="{CD7A86D2-BBB0-4A63-88E1-034ACD162D71}"/>
            </a:ext>
          </a:extLst>
        </xdr:cNvPr>
        <xdr:cNvPicPr>
          <a:picLocks noChangeAspect="1"/>
        </xdr:cNvPicPr>
      </xdr:nvPicPr>
      <xdr:blipFill>
        <a:blip xmlns:r="http://schemas.openxmlformats.org/officeDocument/2006/relationships" r:embed="rId8"/>
        <a:stretch>
          <a:fillRect/>
        </a:stretch>
      </xdr:blipFill>
      <xdr:spPr>
        <a:xfrm>
          <a:off x="4962525" y="13954125"/>
          <a:ext cx="3262133" cy="3260447"/>
        </a:xfrm>
        <a:prstGeom prst="rect">
          <a:avLst/>
        </a:prstGeom>
      </xdr:spPr>
    </xdr:pic>
    <xdr:clientData/>
  </xdr:twoCellAnchor>
  <xdr:twoCellAnchor editAs="oneCell">
    <xdr:from>
      <xdr:col>1</xdr:col>
      <xdr:colOff>581025</xdr:colOff>
      <xdr:row>87</xdr:row>
      <xdr:rowOff>66675</xdr:rowOff>
    </xdr:from>
    <xdr:to>
      <xdr:col>2</xdr:col>
      <xdr:colOff>3771403</xdr:colOff>
      <xdr:row>93</xdr:row>
      <xdr:rowOff>73027</xdr:rowOff>
    </xdr:to>
    <xdr:pic>
      <xdr:nvPicPr>
        <xdr:cNvPr id="19" name="Picture 18">
          <a:extLst>
            <a:ext uri="{FF2B5EF4-FFF2-40B4-BE49-F238E27FC236}">
              <a16:creationId xmlns:a16="http://schemas.microsoft.com/office/drawing/2014/main" id="{FD037B2E-28C8-41FB-8D5D-0B0C4EEF71E8}"/>
            </a:ext>
          </a:extLst>
        </xdr:cNvPr>
        <xdr:cNvPicPr>
          <a:picLocks noChangeAspect="1"/>
        </xdr:cNvPicPr>
      </xdr:nvPicPr>
      <xdr:blipFill>
        <a:blip xmlns:r="http://schemas.openxmlformats.org/officeDocument/2006/relationships" r:embed="rId9"/>
        <a:stretch>
          <a:fillRect/>
        </a:stretch>
      </xdr:blipFill>
      <xdr:spPr>
        <a:xfrm>
          <a:off x="828675" y="16830675"/>
          <a:ext cx="3857128" cy="1092202"/>
        </a:xfrm>
        <a:prstGeom prst="rect">
          <a:avLst/>
        </a:prstGeom>
      </xdr:spPr>
    </xdr:pic>
    <xdr:clientData/>
  </xdr:twoCellAnchor>
  <xdr:twoCellAnchor editAs="oneCell">
    <xdr:from>
      <xdr:col>1</xdr:col>
      <xdr:colOff>0</xdr:colOff>
      <xdr:row>98</xdr:row>
      <xdr:rowOff>0</xdr:rowOff>
    </xdr:from>
    <xdr:to>
      <xdr:col>2</xdr:col>
      <xdr:colOff>1961960</xdr:colOff>
      <xdr:row>102</xdr:row>
      <xdr:rowOff>93132</xdr:rowOff>
    </xdr:to>
    <xdr:pic>
      <xdr:nvPicPr>
        <xdr:cNvPr id="20" name="Picture 19">
          <a:extLst>
            <a:ext uri="{FF2B5EF4-FFF2-40B4-BE49-F238E27FC236}">
              <a16:creationId xmlns:a16="http://schemas.microsoft.com/office/drawing/2014/main" id="{1BC4A71B-B40A-45DC-A305-9DEAB9D7FF8E}"/>
            </a:ext>
          </a:extLst>
        </xdr:cNvPr>
        <xdr:cNvPicPr>
          <a:picLocks noChangeAspect="1"/>
        </xdr:cNvPicPr>
      </xdr:nvPicPr>
      <xdr:blipFill>
        <a:blip xmlns:r="http://schemas.openxmlformats.org/officeDocument/2006/relationships" r:embed="rId10"/>
        <a:stretch>
          <a:fillRect/>
        </a:stretch>
      </xdr:blipFill>
      <xdr:spPr>
        <a:xfrm>
          <a:off x="247650" y="18802350"/>
          <a:ext cx="2628710" cy="817032"/>
        </a:xfrm>
        <a:prstGeom prst="rect">
          <a:avLst/>
        </a:prstGeom>
      </xdr:spPr>
    </xdr:pic>
    <xdr:clientData/>
  </xdr:twoCellAnchor>
  <xdr:twoCellAnchor editAs="oneCell">
    <xdr:from>
      <xdr:col>2</xdr:col>
      <xdr:colOff>2486025</xdr:colOff>
      <xdr:row>98</xdr:row>
      <xdr:rowOff>9525</xdr:rowOff>
    </xdr:from>
    <xdr:to>
      <xdr:col>2</xdr:col>
      <xdr:colOff>6238161</xdr:colOff>
      <xdr:row>105</xdr:row>
      <xdr:rowOff>110067</xdr:rowOff>
    </xdr:to>
    <xdr:pic>
      <xdr:nvPicPr>
        <xdr:cNvPr id="21" name="Picture 20">
          <a:extLst>
            <a:ext uri="{FF2B5EF4-FFF2-40B4-BE49-F238E27FC236}">
              <a16:creationId xmlns:a16="http://schemas.microsoft.com/office/drawing/2014/main" id="{F3C655F9-C611-4881-AB51-4BC9ADC5465A}"/>
            </a:ext>
          </a:extLst>
        </xdr:cNvPr>
        <xdr:cNvPicPr>
          <a:picLocks noChangeAspect="1"/>
        </xdr:cNvPicPr>
      </xdr:nvPicPr>
      <xdr:blipFill>
        <a:blip xmlns:r="http://schemas.openxmlformats.org/officeDocument/2006/relationships" r:embed="rId11"/>
        <a:stretch>
          <a:fillRect/>
        </a:stretch>
      </xdr:blipFill>
      <xdr:spPr>
        <a:xfrm>
          <a:off x="3400425" y="18811875"/>
          <a:ext cx="3752136" cy="1367367"/>
        </a:xfrm>
        <a:prstGeom prst="rect">
          <a:avLst/>
        </a:prstGeom>
      </xdr:spPr>
    </xdr:pic>
    <xdr:clientData/>
  </xdr:twoCellAnchor>
  <xdr:twoCellAnchor editAs="oneCell">
    <xdr:from>
      <xdr:col>2</xdr:col>
      <xdr:colOff>3429000</xdr:colOff>
      <xdr:row>7</xdr:row>
      <xdr:rowOff>52917</xdr:rowOff>
    </xdr:from>
    <xdr:to>
      <xdr:col>3</xdr:col>
      <xdr:colOff>102204</xdr:colOff>
      <xdr:row>35</xdr:row>
      <xdr:rowOff>16573</xdr:rowOff>
    </xdr:to>
    <xdr:pic>
      <xdr:nvPicPr>
        <xdr:cNvPr id="3" name="Picture 2">
          <a:extLst>
            <a:ext uri="{FF2B5EF4-FFF2-40B4-BE49-F238E27FC236}">
              <a16:creationId xmlns:a16="http://schemas.microsoft.com/office/drawing/2014/main" id="{351317BE-A08B-4C7C-98DA-3C8BD9B7525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339167" y="1809750"/>
          <a:ext cx="4324954" cy="500132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chael Stevenson" id="{25E2478C-5F6F-4BBC-A661-B08216D6FA02}" userId="S::michael.stevenson@clearesult.com::b9d48f66-fd17-49b2-961f-352fa77b9882" providerId="AD"/>
</personList>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ncourse">
  <a:themeElements>
    <a:clrScheme name="CLEAResult">
      <a:dk1>
        <a:sysClr val="windowText" lastClr="000000"/>
      </a:dk1>
      <a:lt1>
        <a:sysClr val="window" lastClr="FFFFFF"/>
      </a:lt1>
      <a:dk2>
        <a:srgbClr val="404040"/>
      </a:dk2>
      <a:lt2>
        <a:srgbClr val="EFE9E5"/>
      </a:lt2>
      <a:accent1>
        <a:srgbClr val="F50000"/>
      </a:accent1>
      <a:accent2>
        <a:srgbClr val="054B56"/>
      </a:accent2>
      <a:accent3>
        <a:srgbClr val="007299"/>
      </a:accent3>
      <a:accent4>
        <a:srgbClr val="92B7BC"/>
      </a:accent4>
      <a:accent5>
        <a:srgbClr val="F4CE00"/>
      </a:accent5>
      <a:accent6>
        <a:srgbClr val="EFE9E5"/>
      </a:accent6>
      <a:hlink>
        <a:srgbClr val="44B9E8"/>
      </a:hlink>
      <a:folHlink>
        <a:srgbClr val="44B9E8"/>
      </a:folHlink>
    </a:clrScheme>
    <a:fontScheme name="CLEAResult">
      <a:majorFont>
        <a:latin typeface="Arial"/>
        <a:ea typeface=""/>
        <a:cs typeface=""/>
      </a:majorFont>
      <a:minorFont>
        <a:latin typeface="Arial"/>
        <a:ea typeface=""/>
        <a:cs typeface=""/>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7" dT="2021-05-11T14:29:42.12" personId="{25E2478C-5F6F-4BBC-A661-B08216D6FA02}" id="{39FF70C3-B94F-41BB-A060-2864D0436F51}">
    <text>Defaulting to 0 as this parameter is difficult to estimate.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K64"/>
  <sheetViews>
    <sheetView tabSelected="1" zoomScaleNormal="100" workbookViewId="0">
      <selection activeCell="B6" sqref="B6:C6"/>
    </sheetView>
  </sheetViews>
  <sheetFormatPr defaultColWidth="8.75" defaultRowHeight="14.25"/>
  <cols>
    <col min="1" max="1" width="3.25" style="200" customWidth="1"/>
    <col min="2" max="2" width="35.125" style="200" customWidth="1"/>
    <col min="3" max="3" width="35.75" style="200" customWidth="1"/>
    <col min="4" max="4" width="47.875" style="200" customWidth="1"/>
    <col min="5" max="5" width="8.75" style="200"/>
    <col min="6" max="6" width="8.75" style="200" customWidth="1"/>
    <col min="7" max="10" width="8.75" style="200"/>
    <col min="11" max="11" width="17.25" style="200" customWidth="1"/>
    <col min="12" max="16384" width="8.75" style="200"/>
  </cols>
  <sheetData>
    <row r="1" spans="1:4" ht="64.5" customHeight="1">
      <c r="A1" s="424"/>
      <c r="B1" s="425"/>
      <c r="C1" s="425"/>
      <c r="D1" s="424"/>
    </row>
    <row r="2" spans="1:4" ht="34.5">
      <c r="B2" s="426" t="s">
        <v>0</v>
      </c>
      <c r="C2" s="427"/>
      <c r="D2" s="428"/>
    </row>
    <row r="3" spans="1:4" ht="6" customHeight="1"/>
    <row r="4" spans="1:4" ht="113.25" customHeight="1">
      <c r="B4" s="453" t="s">
        <v>1</v>
      </c>
      <c r="C4" s="453"/>
      <c r="D4" s="453"/>
    </row>
    <row r="5" spans="1:4">
      <c r="B5" s="439"/>
      <c r="C5" s="439"/>
      <c r="D5" s="439"/>
    </row>
    <row r="6" spans="1:4" ht="24.75" customHeight="1">
      <c r="B6" s="455" t="s">
        <v>2</v>
      </c>
      <c r="C6" s="455"/>
      <c r="D6" s="429"/>
    </row>
    <row r="7" spans="1:4" ht="22.15" customHeight="1">
      <c r="B7" s="456" t="s">
        <v>3</v>
      </c>
      <c r="C7" s="456"/>
      <c r="D7" s="430"/>
    </row>
    <row r="8" spans="1:4" ht="22.15" customHeight="1">
      <c r="B8" s="457" t="s">
        <v>4</v>
      </c>
      <c r="C8" s="457"/>
      <c r="D8" s="430"/>
    </row>
    <row r="9" spans="1:4" ht="15">
      <c r="B9" s="431"/>
      <c r="C9" s="431"/>
      <c r="D9" s="431"/>
    </row>
    <row r="10" spans="1:4" ht="26.45" customHeight="1">
      <c r="B10" s="449" t="s">
        <v>5</v>
      </c>
      <c r="C10" s="449"/>
      <c r="D10" s="431"/>
    </row>
    <row r="11" spans="1:4" ht="22.15" customHeight="1">
      <c r="B11" s="154" t="s">
        <v>6</v>
      </c>
      <c r="C11" s="155"/>
      <c r="D11" s="440"/>
    </row>
    <row r="12" spans="1:4" ht="22.15" customHeight="1">
      <c r="B12" s="454" t="s">
        <v>7</v>
      </c>
      <c r="C12" s="454"/>
      <c r="D12" s="454"/>
    </row>
    <row r="13" spans="1:4" ht="10.9" customHeight="1">
      <c r="B13" s="432"/>
      <c r="C13" s="432"/>
      <c r="D13" s="432"/>
    </row>
    <row r="14" spans="1:4" ht="22.15" customHeight="1">
      <c r="B14" s="154" t="s">
        <v>8</v>
      </c>
      <c r="C14" s="155"/>
      <c r="D14" s="440"/>
    </row>
    <row r="15" spans="1:4" ht="22.15" customHeight="1">
      <c r="B15" s="454" t="s">
        <v>9</v>
      </c>
      <c r="C15" s="454"/>
      <c r="D15" s="454"/>
    </row>
    <row r="16" spans="1:4" ht="10.9" customHeight="1">
      <c r="B16" s="440"/>
      <c r="C16" s="440"/>
      <c r="D16" s="440"/>
    </row>
    <row r="17" spans="2:4" ht="22.15" customHeight="1">
      <c r="B17" s="154" t="s">
        <v>10</v>
      </c>
      <c r="C17" s="155"/>
      <c r="D17" s="440"/>
    </row>
    <row r="18" spans="2:4" ht="45" customHeight="1">
      <c r="B18" s="454" t="s">
        <v>11</v>
      </c>
      <c r="C18" s="454"/>
      <c r="D18" s="454"/>
    </row>
    <row r="19" spans="2:4" ht="10.9" customHeight="1">
      <c r="B19" s="440"/>
      <c r="C19" s="440"/>
      <c r="D19" s="440"/>
    </row>
    <row r="20" spans="2:4" ht="21.75" customHeight="1">
      <c r="B20" s="156" t="s">
        <v>12</v>
      </c>
      <c r="C20" s="440"/>
      <c r="D20" s="440"/>
    </row>
    <row r="21" spans="2:4" ht="21.75" customHeight="1">
      <c r="B21" s="454" t="s">
        <v>13</v>
      </c>
      <c r="C21" s="454"/>
      <c r="D21" s="454"/>
    </row>
    <row r="22" spans="2:4" ht="10.9" customHeight="1">
      <c r="B22" s="440"/>
      <c r="C22" s="440"/>
      <c r="D22" s="440"/>
    </row>
    <row r="23" spans="2:4" ht="21.75" customHeight="1">
      <c r="B23" s="156" t="s">
        <v>14</v>
      </c>
      <c r="C23" s="440"/>
      <c r="D23" s="440"/>
    </row>
    <row r="24" spans="2:4" ht="45.75" customHeight="1">
      <c r="B24" s="453" t="s">
        <v>15</v>
      </c>
      <c r="C24" s="453"/>
      <c r="D24" s="453"/>
    </row>
    <row r="25" spans="2:4" ht="10.9" customHeight="1">
      <c r="B25" s="440"/>
      <c r="C25" s="440"/>
      <c r="D25" s="440"/>
    </row>
    <row r="26" spans="2:4" ht="21.75" customHeight="1">
      <c r="B26" s="156" t="s">
        <v>16</v>
      </c>
      <c r="C26" s="440"/>
      <c r="D26" s="440"/>
    </row>
    <row r="27" spans="2:4" ht="50.25" customHeight="1">
      <c r="B27" s="453" t="s">
        <v>17</v>
      </c>
      <c r="C27" s="453"/>
      <c r="D27" s="453"/>
    </row>
    <row r="28" spans="2:4" ht="10.9" customHeight="1">
      <c r="B28" s="440"/>
      <c r="C28" s="440"/>
      <c r="D28" s="440"/>
    </row>
    <row r="29" spans="2:4" ht="22.15" customHeight="1">
      <c r="B29" s="154" t="s">
        <v>18</v>
      </c>
      <c r="C29" s="155"/>
      <c r="D29" s="440"/>
    </row>
    <row r="30" spans="2:4" ht="22.15" customHeight="1">
      <c r="B30" s="454" t="s">
        <v>19</v>
      </c>
      <c r="C30" s="454"/>
      <c r="D30" s="454"/>
    </row>
    <row r="31" spans="2:4" ht="15">
      <c r="B31" s="431"/>
      <c r="C31" s="431"/>
      <c r="D31" s="431"/>
    </row>
    <row r="32" spans="2:4" ht="27.6" customHeight="1">
      <c r="B32" s="449" t="s">
        <v>20</v>
      </c>
      <c r="C32" s="449"/>
      <c r="D32" s="431"/>
    </row>
    <row r="33" spans="2:11" ht="22.15" customHeight="1">
      <c r="B33" s="441" t="s">
        <v>21</v>
      </c>
      <c r="C33" s="450" t="s">
        <v>22</v>
      </c>
      <c r="D33" s="450"/>
    </row>
    <row r="34" spans="2:11" ht="22.15" customHeight="1">
      <c r="B34" s="441" t="s">
        <v>23</v>
      </c>
      <c r="C34" s="447" t="s">
        <v>24</v>
      </c>
      <c r="D34" s="448"/>
      <c r="H34" s="201"/>
      <c r="I34" s="201"/>
      <c r="J34" s="201"/>
    </row>
    <row r="35" spans="2:11" ht="22.15" customHeight="1">
      <c r="B35" s="441" t="s">
        <v>25</v>
      </c>
      <c r="C35" s="447" t="s">
        <v>26</v>
      </c>
      <c r="D35" s="448"/>
      <c r="H35" s="201"/>
      <c r="I35" s="433"/>
      <c r="J35" s="201"/>
      <c r="K35" s="201"/>
    </row>
    <row r="36" spans="2:11" ht="22.15" customHeight="1">
      <c r="B36" s="441" t="s">
        <v>27</v>
      </c>
      <c r="C36" s="447" t="s">
        <v>28</v>
      </c>
      <c r="D36" s="448"/>
      <c r="H36" s="201"/>
      <c r="I36" s="433"/>
      <c r="J36" s="201"/>
      <c r="K36" s="433"/>
    </row>
    <row r="37" spans="2:11" ht="22.15" customHeight="1">
      <c r="B37" s="441" t="s">
        <v>29</v>
      </c>
      <c r="C37" s="447" t="s">
        <v>30</v>
      </c>
      <c r="D37" s="448"/>
      <c r="H37" s="201"/>
      <c r="I37" s="433"/>
      <c r="J37" s="433"/>
      <c r="K37" s="433"/>
    </row>
    <row r="38" spans="2:11" ht="22.15" customHeight="1">
      <c r="B38" s="441" t="s">
        <v>31</v>
      </c>
      <c r="C38" s="435" t="s">
        <v>32</v>
      </c>
      <c r="D38" s="436"/>
      <c r="H38" s="201"/>
      <c r="I38" s="433"/>
      <c r="J38" s="433"/>
      <c r="K38" s="433"/>
    </row>
    <row r="39" spans="2:11" ht="22.15" customHeight="1">
      <c r="B39" s="441" t="s">
        <v>33</v>
      </c>
      <c r="C39" s="451" t="s">
        <v>34</v>
      </c>
      <c r="D39" s="452"/>
      <c r="H39" s="201"/>
      <c r="I39" s="201"/>
      <c r="J39" s="433"/>
      <c r="K39" s="433"/>
    </row>
    <row r="40" spans="2:11" ht="22.15" customHeight="1">
      <c r="B40" s="441" t="s">
        <v>35</v>
      </c>
      <c r="C40" s="435" t="s">
        <v>36</v>
      </c>
      <c r="D40" s="436"/>
      <c r="I40" s="201"/>
      <c r="J40" s="201"/>
      <c r="K40" s="201"/>
    </row>
    <row r="41" spans="2:11" ht="27.75" customHeight="1">
      <c r="B41" s="441" t="s">
        <v>37</v>
      </c>
      <c r="C41" s="451" t="s">
        <v>38</v>
      </c>
      <c r="D41" s="452"/>
    </row>
    <row r="42" spans="2:11" ht="22.15" customHeight="1">
      <c r="B42" s="441" t="s">
        <v>39</v>
      </c>
      <c r="C42" s="451" t="s">
        <v>40</v>
      </c>
      <c r="D42" s="452"/>
    </row>
    <row r="43" spans="2:11" ht="22.15" customHeight="1">
      <c r="B43" s="441" t="s">
        <v>41</v>
      </c>
      <c r="C43" s="451" t="s">
        <v>42</v>
      </c>
      <c r="D43" s="452"/>
    </row>
    <row r="44" spans="2:11" ht="22.15" customHeight="1">
      <c r="B44" s="441" t="s">
        <v>43</v>
      </c>
      <c r="C44" s="437" t="s">
        <v>44</v>
      </c>
      <c r="D44" s="438"/>
    </row>
    <row r="45" spans="2:11" ht="22.15" customHeight="1">
      <c r="B45" s="441" t="s">
        <v>45</v>
      </c>
      <c r="C45" s="437" t="s">
        <v>46</v>
      </c>
      <c r="D45" s="438"/>
    </row>
    <row r="46" spans="2:11" ht="22.15" customHeight="1">
      <c r="B46" s="441" t="s">
        <v>47</v>
      </c>
      <c r="C46" s="451" t="s">
        <v>48</v>
      </c>
      <c r="D46" s="452"/>
    </row>
    <row r="47" spans="2:11" ht="22.15" customHeight="1">
      <c r="B47" s="441" t="s">
        <v>49</v>
      </c>
      <c r="C47" s="451" t="s">
        <v>50</v>
      </c>
      <c r="D47" s="452"/>
    </row>
    <row r="48" spans="2:11" ht="32.25" customHeight="1">
      <c r="B48" s="441" t="s">
        <v>51</v>
      </c>
      <c r="C48" s="451" t="s">
        <v>52</v>
      </c>
      <c r="D48" s="452"/>
    </row>
    <row r="49" spans="2:4" ht="32.25" customHeight="1">
      <c r="B49" s="441" t="s">
        <v>53</v>
      </c>
      <c r="C49" s="451" t="s">
        <v>54</v>
      </c>
      <c r="D49" s="452"/>
    </row>
    <row r="50" spans="2:4" ht="22.15" customHeight="1">
      <c r="B50" s="441" t="s">
        <v>55</v>
      </c>
      <c r="C50" s="451" t="s">
        <v>56</v>
      </c>
      <c r="D50" s="452"/>
    </row>
    <row r="51" spans="2:4" ht="30.75" customHeight="1">
      <c r="B51" s="441" t="s">
        <v>57</v>
      </c>
      <c r="C51" s="451" t="s">
        <v>58</v>
      </c>
      <c r="D51" s="452"/>
    </row>
    <row r="52" spans="2:4" ht="22.15" customHeight="1">
      <c r="B52" s="441" t="s">
        <v>59</v>
      </c>
      <c r="C52" s="451" t="s">
        <v>60</v>
      </c>
      <c r="D52" s="452"/>
    </row>
    <row r="53" spans="2:4" ht="22.15" customHeight="1">
      <c r="B53" s="441" t="s">
        <v>61</v>
      </c>
      <c r="C53" s="451" t="s">
        <v>62</v>
      </c>
      <c r="D53" s="452"/>
    </row>
    <row r="54" spans="2:4" ht="22.15" customHeight="1">
      <c r="B54" s="441" t="s">
        <v>63</v>
      </c>
      <c r="C54" s="451" t="s">
        <v>64</v>
      </c>
      <c r="D54" s="452"/>
    </row>
    <row r="55" spans="2:4" ht="15">
      <c r="B55" s="431"/>
      <c r="C55" s="431"/>
      <c r="D55" s="431"/>
    </row>
    <row r="56" spans="2:4" ht="26.45" customHeight="1">
      <c r="B56" s="449" t="s">
        <v>65</v>
      </c>
      <c r="C56" s="449"/>
      <c r="D56" s="431"/>
    </row>
    <row r="57" spans="2:4" ht="22.15" customHeight="1">
      <c r="B57" s="434" t="s">
        <v>66</v>
      </c>
      <c r="C57" s="450" t="s">
        <v>67</v>
      </c>
      <c r="D57" s="450" t="s">
        <v>68</v>
      </c>
    </row>
    <row r="58" spans="2:4" ht="22.15" customHeight="1">
      <c r="B58" s="434" t="s">
        <v>69</v>
      </c>
      <c r="C58" s="447" t="s">
        <v>70</v>
      </c>
      <c r="D58" s="448"/>
    </row>
    <row r="59" spans="2:4" ht="22.15" customHeight="1">
      <c r="B59" s="434" t="s">
        <v>71</v>
      </c>
      <c r="C59" s="447" t="s">
        <v>72</v>
      </c>
      <c r="D59" s="448"/>
    </row>
    <row r="60" spans="2:4" ht="22.15" customHeight="1">
      <c r="B60" s="434" t="s">
        <v>73</v>
      </c>
      <c r="C60" s="447" t="s">
        <v>74</v>
      </c>
      <c r="D60" s="448"/>
    </row>
    <row r="61" spans="2:4" ht="22.15" customHeight="1">
      <c r="B61" s="434" t="s">
        <v>75</v>
      </c>
      <c r="C61" s="447" t="s">
        <v>76</v>
      </c>
      <c r="D61" s="448"/>
    </row>
    <row r="62" spans="2:4" ht="22.15" customHeight="1">
      <c r="B62" s="434" t="s">
        <v>77</v>
      </c>
      <c r="C62" s="447" t="s">
        <v>78</v>
      </c>
      <c r="D62" s="448"/>
    </row>
    <row r="63" spans="2:4" ht="22.15" customHeight="1">
      <c r="B63" s="434" t="s">
        <v>79</v>
      </c>
      <c r="C63" s="447" t="s">
        <v>80</v>
      </c>
      <c r="D63" s="448"/>
    </row>
    <row r="64" spans="2:4" ht="22.15" customHeight="1">
      <c r="B64" s="434" t="s">
        <v>81</v>
      </c>
      <c r="C64" s="447" t="s">
        <v>82</v>
      </c>
      <c r="D64" s="448"/>
    </row>
  </sheetData>
  <sheetProtection algorithmName="SHA-512" hashValue="24lLNynpI5OxaO3VtPFWD4Fvwgd1EdV9979Zi6gJmqe4QEr+ojGcu2Eu5rxGiXIxWDuJ5H3H2VgDcy5y2V6lmw==" saltValue="qgDzj96MSdf94HpKWWu26Q==" spinCount="100000" sheet="1" objects="1" scenarios="1"/>
  <mergeCells count="40">
    <mergeCell ref="C58:D58"/>
    <mergeCell ref="C59:D59"/>
    <mergeCell ref="C63:D63"/>
    <mergeCell ref="C64:D64"/>
    <mergeCell ref="B56:C56"/>
    <mergeCell ref="C57:D57"/>
    <mergeCell ref="C62:D62"/>
    <mergeCell ref="C50:D50"/>
    <mergeCell ref="C51:D51"/>
    <mergeCell ref="C52:D52"/>
    <mergeCell ref="C53:D53"/>
    <mergeCell ref="C54:D54"/>
    <mergeCell ref="B4:D4"/>
    <mergeCell ref="B30:D30"/>
    <mergeCell ref="B15:D15"/>
    <mergeCell ref="B18:D18"/>
    <mergeCell ref="B6:C6"/>
    <mergeCell ref="B7:C7"/>
    <mergeCell ref="B8:C8"/>
    <mergeCell ref="B10:C10"/>
    <mergeCell ref="B21:D21"/>
    <mergeCell ref="B24:D24"/>
    <mergeCell ref="B27:D27"/>
    <mergeCell ref="B12:D12"/>
    <mergeCell ref="C34:D34"/>
    <mergeCell ref="C61:D61"/>
    <mergeCell ref="B32:C32"/>
    <mergeCell ref="C33:D33"/>
    <mergeCell ref="C60:D60"/>
    <mergeCell ref="C35:D35"/>
    <mergeCell ref="C36:D36"/>
    <mergeCell ref="C37:D37"/>
    <mergeCell ref="C39:D39"/>
    <mergeCell ref="C41:D41"/>
    <mergeCell ref="C42:D42"/>
    <mergeCell ref="C43:D43"/>
    <mergeCell ref="C46:D46"/>
    <mergeCell ref="C47:D47"/>
    <mergeCell ref="C48:D48"/>
    <mergeCell ref="C49:D4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B1:AC308"/>
  <sheetViews>
    <sheetView showGridLines="0" topLeftCell="F265" zoomScale="90" zoomScaleNormal="90" workbookViewId="0">
      <selection activeCell="L2" sqref="L2:L3"/>
    </sheetView>
  </sheetViews>
  <sheetFormatPr defaultColWidth="8.75" defaultRowHeight="14.25"/>
  <cols>
    <col min="1" max="1" width="3.625" style="5" customWidth="1"/>
    <col min="2" max="2" width="18.75" style="2" customWidth="1"/>
    <col min="3" max="3" width="22.375" style="2" bestFit="1" customWidth="1"/>
    <col min="4" max="4" width="33.875" style="2" bestFit="1" customWidth="1"/>
    <col min="5" max="5" width="34.625" style="2" bestFit="1" customWidth="1"/>
    <col min="6" max="6" width="25" style="2" customWidth="1"/>
    <col min="7" max="7" width="12.25" style="2" bestFit="1" customWidth="1"/>
    <col min="8" max="8" width="21.5" style="2" customWidth="1"/>
    <col min="9" max="9" width="11.875" style="2" bestFit="1" customWidth="1"/>
    <col min="10" max="10" width="25.25" style="2" customWidth="1"/>
    <col min="11" max="11" width="32.375" style="2" bestFit="1" customWidth="1"/>
    <col min="12" max="12" width="26.75" style="2" customWidth="1"/>
    <col min="13" max="13" width="22.375" style="2" bestFit="1" customWidth="1"/>
    <col min="14" max="14" width="33.875" style="2" bestFit="1" customWidth="1"/>
    <col min="15" max="15" width="25.75" style="2" bestFit="1" customWidth="1"/>
    <col min="16" max="16" width="16.625" style="2" bestFit="1" customWidth="1"/>
    <col min="17" max="17" width="11" style="2" customWidth="1"/>
    <col min="18" max="18" width="12.25" style="2" bestFit="1" customWidth="1"/>
    <col min="19" max="19" width="8.75" style="2"/>
    <col min="20" max="20" width="11.25" style="2" customWidth="1"/>
    <col min="21" max="21" width="10.75" style="2" customWidth="1"/>
    <col min="22" max="22" width="12.25" style="2" customWidth="1"/>
    <col min="23" max="23" width="14.25" style="2" customWidth="1"/>
    <col min="24" max="24" width="13.875" style="5" customWidth="1"/>
    <col min="25" max="16384" width="8.75" style="5"/>
  </cols>
  <sheetData>
    <row r="1" spans="2:25" ht="18.600000000000001" customHeight="1" thickBot="1"/>
    <row r="2" spans="2:25" ht="18.75" thickBot="1">
      <c r="B2" s="159" t="s">
        <v>169</v>
      </c>
      <c r="C2" s="4"/>
      <c r="D2" s="186" t="s">
        <v>170</v>
      </c>
      <c r="F2" s="41" t="s">
        <v>171</v>
      </c>
      <c r="H2" s="41" t="s">
        <v>172</v>
      </c>
      <c r="J2" s="41" t="s">
        <v>173</v>
      </c>
      <c r="K2" s="41" t="s">
        <v>107</v>
      </c>
      <c r="L2" s="41"/>
      <c r="M2" s="41" t="s">
        <v>174</v>
      </c>
      <c r="O2" s="54" t="s">
        <v>175</v>
      </c>
      <c r="Q2" s="54" t="s">
        <v>176</v>
      </c>
    </row>
    <row r="3" spans="2:25">
      <c r="B3" s="160" t="s">
        <v>177</v>
      </c>
      <c r="C3" s="34"/>
      <c r="D3" s="163" t="s">
        <v>178</v>
      </c>
      <c r="E3" s="185"/>
      <c r="F3" s="49" t="s">
        <v>179</v>
      </c>
      <c r="H3" s="49" t="s">
        <v>180</v>
      </c>
      <c r="J3" s="49" t="s">
        <v>181</v>
      </c>
      <c r="K3" s="49">
        <v>0.76</v>
      </c>
      <c r="L3" s="49"/>
      <c r="M3" s="49" t="s">
        <v>182</v>
      </c>
      <c r="O3" s="53">
        <v>1</v>
      </c>
      <c r="Q3" s="53">
        <v>2</v>
      </c>
      <c r="Y3" s="2"/>
    </row>
    <row r="4" spans="2:25" ht="15" thickBot="1">
      <c r="B4" s="39" t="s">
        <v>183</v>
      </c>
      <c r="C4" s="34"/>
      <c r="D4" s="43" t="s">
        <v>184</v>
      </c>
      <c r="E4" s="185"/>
      <c r="F4" s="47" t="s">
        <v>185</v>
      </c>
      <c r="H4" s="47" t="s">
        <v>186</v>
      </c>
      <c r="J4" s="47" t="s">
        <v>187</v>
      </c>
      <c r="K4" s="47">
        <v>0.76</v>
      </c>
      <c r="L4" s="198"/>
      <c r="M4" s="48" t="s">
        <v>188</v>
      </c>
      <c r="O4" s="51">
        <v>1.5</v>
      </c>
      <c r="Q4" s="51">
        <v>4</v>
      </c>
      <c r="Y4" s="2"/>
    </row>
    <row r="5" spans="2:25" ht="15" thickBot="1">
      <c r="B5" s="39" t="s">
        <v>189</v>
      </c>
      <c r="C5" s="34"/>
      <c r="D5" s="43" t="s">
        <v>190</v>
      </c>
      <c r="E5" s="185"/>
      <c r="F5" s="48" t="s">
        <v>191</v>
      </c>
      <c r="H5" s="48" t="s">
        <v>192</v>
      </c>
      <c r="J5" s="47" t="s">
        <v>193</v>
      </c>
      <c r="K5" s="47">
        <v>0.79</v>
      </c>
      <c r="O5" s="51">
        <v>2</v>
      </c>
      <c r="Q5" s="51">
        <v>6</v>
      </c>
      <c r="Y5" s="2"/>
    </row>
    <row r="6" spans="2:25" ht="15" thickBot="1">
      <c r="B6" s="42" t="s">
        <v>194</v>
      </c>
      <c r="C6" s="34"/>
      <c r="D6" s="43" t="s">
        <v>195</v>
      </c>
      <c r="E6" s="185"/>
      <c r="J6" s="47" t="s">
        <v>196</v>
      </c>
      <c r="K6" s="47">
        <v>0.79</v>
      </c>
      <c r="O6" s="51">
        <v>3</v>
      </c>
      <c r="Q6" s="52">
        <v>8</v>
      </c>
    </row>
    <row r="7" spans="2:25" ht="15" thickBot="1">
      <c r="B7" s="39" t="s">
        <v>197</v>
      </c>
      <c r="C7" s="34"/>
      <c r="D7" s="43" t="s">
        <v>198</v>
      </c>
      <c r="E7" s="185"/>
      <c r="J7" s="48" t="s">
        <v>199</v>
      </c>
      <c r="K7" s="48">
        <v>0.79</v>
      </c>
      <c r="O7" s="51">
        <v>5</v>
      </c>
      <c r="X7" s="2"/>
    </row>
    <row r="8" spans="2:25">
      <c r="B8" s="40" t="s">
        <v>200</v>
      </c>
      <c r="C8" s="4"/>
      <c r="D8" s="44" t="s">
        <v>201</v>
      </c>
      <c r="E8" s="185"/>
      <c r="O8" s="51">
        <v>7.5</v>
      </c>
    </row>
    <row r="9" spans="2:25">
      <c r="B9" s="40" t="s">
        <v>202</v>
      </c>
      <c r="D9" s="44" t="s">
        <v>203</v>
      </c>
      <c r="E9" s="185"/>
      <c r="O9" s="51">
        <v>10</v>
      </c>
      <c r="X9" s="2"/>
    </row>
    <row r="10" spans="2:25">
      <c r="B10" s="39" t="s">
        <v>204</v>
      </c>
      <c r="D10" s="44" t="s">
        <v>205</v>
      </c>
      <c r="E10" s="185"/>
      <c r="O10" s="51">
        <v>15</v>
      </c>
      <c r="X10" s="2"/>
    </row>
    <row r="11" spans="2:25" ht="15" thickBot="1">
      <c r="B11" s="161" t="s">
        <v>206</v>
      </c>
      <c r="C11" s="34"/>
      <c r="D11" s="187" t="s">
        <v>207</v>
      </c>
      <c r="O11" s="51">
        <v>20</v>
      </c>
      <c r="X11" s="2"/>
    </row>
    <row r="12" spans="2:25">
      <c r="B12" s="34"/>
      <c r="C12" s="34"/>
      <c r="D12" s="43" t="s">
        <v>208</v>
      </c>
      <c r="E12" s="185"/>
      <c r="O12" s="51">
        <v>25</v>
      </c>
      <c r="Y12" s="2"/>
    </row>
    <row r="13" spans="2:25">
      <c r="B13" s="34"/>
      <c r="C13" s="34"/>
      <c r="D13" s="43" t="s">
        <v>209</v>
      </c>
      <c r="E13" s="185"/>
      <c r="O13" s="51">
        <v>30</v>
      </c>
    </row>
    <row r="14" spans="2:25">
      <c r="B14" s="34"/>
      <c r="C14" s="34"/>
      <c r="D14" s="43" t="s">
        <v>210</v>
      </c>
      <c r="E14" s="185"/>
      <c r="O14" s="51">
        <v>40</v>
      </c>
    </row>
    <row r="15" spans="2:25">
      <c r="B15" s="3"/>
      <c r="C15" s="4"/>
      <c r="D15" s="43" t="s">
        <v>211</v>
      </c>
      <c r="E15" s="185"/>
      <c r="O15" s="51">
        <v>50</v>
      </c>
    </row>
    <row r="16" spans="2:25" ht="15" thickBot="1">
      <c r="D16" s="45" t="s">
        <v>212</v>
      </c>
      <c r="E16" s="185"/>
      <c r="O16" s="51">
        <v>60</v>
      </c>
      <c r="P16" s="5"/>
      <c r="X16" s="2"/>
    </row>
    <row r="17" spans="2:25" ht="18">
      <c r="B17" s="6"/>
      <c r="D17" s="162"/>
      <c r="E17" s="6"/>
      <c r="O17" s="51">
        <v>75</v>
      </c>
      <c r="X17" s="2"/>
    </row>
    <row r="18" spans="2:25" s="8" customFormat="1" ht="15">
      <c r="B18" s="35"/>
      <c r="C18" s="36"/>
      <c r="D18" s="162"/>
      <c r="E18" s="35"/>
      <c r="F18" s="36"/>
      <c r="G18" s="36"/>
      <c r="H18" s="2"/>
      <c r="I18" s="2"/>
      <c r="J18" s="2"/>
      <c r="K18" s="2"/>
      <c r="L18" s="2"/>
      <c r="M18" s="2"/>
      <c r="N18" s="2"/>
      <c r="O18" s="51">
        <v>100</v>
      </c>
      <c r="P18" s="2"/>
      <c r="Q18" s="2"/>
      <c r="R18" s="2"/>
      <c r="S18" s="2"/>
      <c r="T18" s="5"/>
      <c r="U18" s="5"/>
      <c r="V18" s="5"/>
      <c r="W18" s="5"/>
      <c r="X18" s="5"/>
      <c r="Y18" s="5"/>
    </row>
    <row r="19" spans="2:25">
      <c r="B19" s="37"/>
      <c r="C19" s="38"/>
      <c r="D19" s="162"/>
      <c r="E19" s="37"/>
      <c r="F19" s="38"/>
      <c r="G19" s="38"/>
      <c r="O19" s="51">
        <v>125</v>
      </c>
      <c r="T19" s="5"/>
      <c r="U19" s="5"/>
      <c r="V19" s="5"/>
      <c r="W19" s="5"/>
    </row>
    <row r="20" spans="2:25">
      <c r="B20" s="37"/>
      <c r="C20" s="38"/>
      <c r="D20" s="162"/>
      <c r="E20" s="37"/>
      <c r="F20" s="38"/>
      <c r="G20" s="38"/>
      <c r="O20" s="51">
        <v>150</v>
      </c>
      <c r="T20" s="5"/>
      <c r="U20" s="5"/>
      <c r="V20" s="5"/>
      <c r="W20" s="5"/>
    </row>
    <row r="21" spans="2:25">
      <c r="B21" s="37"/>
      <c r="C21" s="38"/>
      <c r="D21" s="162"/>
      <c r="E21" s="37"/>
      <c r="F21" s="38"/>
      <c r="G21" s="38"/>
      <c r="O21" s="51">
        <v>200</v>
      </c>
      <c r="T21" s="5"/>
      <c r="U21" s="5"/>
      <c r="V21" s="5"/>
      <c r="W21" s="5"/>
    </row>
    <row r="22" spans="2:25">
      <c r="B22" s="37"/>
      <c r="C22" s="38"/>
      <c r="D22" s="162"/>
      <c r="E22" s="37"/>
      <c r="F22" s="38"/>
      <c r="G22" s="38"/>
      <c r="O22" s="51">
        <v>250</v>
      </c>
      <c r="T22" s="5"/>
      <c r="U22" s="5"/>
      <c r="V22" s="5"/>
      <c r="W22" s="5"/>
    </row>
    <row r="23" spans="2:25">
      <c r="B23" s="37"/>
      <c r="C23" s="38"/>
      <c r="D23" s="162"/>
      <c r="E23" s="37"/>
      <c r="F23" s="38"/>
      <c r="G23" s="38"/>
      <c r="O23" s="51">
        <v>300</v>
      </c>
      <c r="T23" s="5"/>
      <c r="U23" s="5"/>
      <c r="V23" s="5"/>
      <c r="W23" s="5"/>
    </row>
    <row r="24" spans="2:25">
      <c r="B24" s="37"/>
      <c r="C24" s="38"/>
      <c r="E24" s="37"/>
      <c r="F24" s="38"/>
      <c r="G24" s="38"/>
      <c r="O24" s="51">
        <v>350</v>
      </c>
      <c r="T24" s="5"/>
      <c r="U24" s="5"/>
      <c r="V24" s="5"/>
      <c r="W24" s="5"/>
    </row>
    <row r="25" spans="2:25">
      <c r="B25" s="37"/>
      <c r="C25" s="38"/>
      <c r="E25" s="37"/>
      <c r="F25" s="38"/>
      <c r="G25" s="38"/>
      <c r="O25" s="51">
        <v>400</v>
      </c>
      <c r="T25" s="5"/>
      <c r="U25" s="5"/>
      <c r="V25" s="5"/>
      <c r="W25" s="5"/>
    </row>
    <row r="26" spans="2:25">
      <c r="O26" s="51">
        <v>450</v>
      </c>
      <c r="T26" s="5"/>
      <c r="U26" s="5"/>
      <c r="V26" s="5"/>
      <c r="W26" s="5"/>
    </row>
    <row r="27" spans="2:25" ht="15" thickBot="1">
      <c r="O27" s="52">
        <v>500</v>
      </c>
      <c r="T27" s="5"/>
      <c r="U27" s="5"/>
      <c r="V27" s="5"/>
      <c r="W27" s="5"/>
    </row>
    <row r="28" spans="2:25" ht="14.85" customHeight="1">
      <c r="R28" s="5"/>
      <c r="S28" s="5"/>
      <c r="T28" s="5"/>
      <c r="U28" s="5"/>
      <c r="V28" s="5"/>
      <c r="W28" s="5"/>
    </row>
    <row r="29" spans="2:25" ht="14.85" customHeight="1" thickBot="1">
      <c r="Q29" s="5"/>
      <c r="R29" s="5"/>
      <c r="S29" s="5"/>
      <c r="T29" s="5"/>
      <c r="U29" s="5"/>
      <c r="V29" s="5"/>
      <c r="W29" s="5"/>
    </row>
    <row r="30" spans="2:25" ht="18.75" thickBot="1">
      <c r="B30" s="515" t="s">
        <v>213</v>
      </c>
      <c r="C30" s="516"/>
      <c r="D30" s="516"/>
      <c r="E30" s="516"/>
      <c r="F30" s="516"/>
      <c r="G30" s="516"/>
      <c r="H30" s="516"/>
      <c r="I30" s="516"/>
      <c r="J30" s="516"/>
      <c r="K30" s="516"/>
      <c r="L30" s="516"/>
      <c r="M30" s="516"/>
      <c r="N30" s="516"/>
      <c r="O30" s="516"/>
      <c r="P30" s="516"/>
      <c r="Q30" s="516"/>
      <c r="R30" s="516"/>
      <c r="S30" s="516"/>
      <c r="T30" s="516"/>
      <c r="U30" s="517"/>
      <c r="V30" s="5"/>
      <c r="W30" s="5"/>
    </row>
    <row r="31" spans="2:25" ht="14.85" customHeight="1" thickBot="1">
      <c r="B31" s="72" t="s">
        <v>106</v>
      </c>
      <c r="C31" s="73" t="s">
        <v>214</v>
      </c>
      <c r="D31" s="74" t="s">
        <v>215</v>
      </c>
      <c r="E31" s="75" t="s">
        <v>216</v>
      </c>
      <c r="F31" s="73" t="s">
        <v>182</v>
      </c>
      <c r="G31" s="73" t="s">
        <v>112</v>
      </c>
      <c r="H31" s="74" t="s">
        <v>217</v>
      </c>
      <c r="I31" s="74" t="s">
        <v>218</v>
      </c>
      <c r="J31" s="74" t="s">
        <v>219</v>
      </c>
      <c r="K31" s="74" t="s">
        <v>220</v>
      </c>
      <c r="L31" s="74" t="s">
        <v>221</v>
      </c>
      <c r="M31" s="74" t="s">
        <v>222</v>
      </c>
      <c r="N31" s="74" t="s">
        <v>223</v>
      </c>
      <c r="O31" s="74" t="s">
        <v>224</v>
      </c>
      <c r="P31" s="74" t="s">
        <v>225</v>
      </c>
      <c r="Q31" s="74" t="s">
        <v>226</v>
      </c>
      <c r="R31" s="74" t="s">
        <v>227</v>
      </c>
      <c r="S31" s="74" t="s">
        <v>228</v>
      </c>
      <c r="T31" s="74" t="s">
        <v>229</v>
      </c>
      <c r="U31" s="76" t="s">
        <v>108</v>
      </c>
    </row>
    <row r="32" spans="2:25" ht="14.85" customHeight="1">
      <c r="B32" s="68">
        <v>1</v>
      </c>
      <c r="C32" s="69" t="str">
        <f>IF('Premium Eff Motor'!J8='Lookup Table'!$F$4,"No", "Yes")</f>
        <v>Yes</v>
      </c>
      <c r="D32" s="70">
        <f>'Premium Eff Motor'!G8</f>
        <v>0</v>
      </c>
      <c r="E32" s="70">
        <f>'Premium Eff Motor'!H8</f>
        <v>0</v>
      </c>
      <c r="F32" s="70">
        <f>'Premium Eff Motor'!I8</f>
        <v>0</v>
      </c>
      <c r="G32" s="70">
        <f>'Premium Eff Motor'!K8</f>
        <v>0</v>
      </c>
      <c r="H32" s="70">
        <f>IF(D32="Type C",10,9)</f>
        <v>9</v>
      </c>
      <c r="I32" s="70" t="e">
        <f>IF($H32=9,VLOOKUP($G32,$B$43:$J$70,2,FALSE),0)</f>
        <v>#N/A</v>
      </c>
      <c r="J32" s="70" t="e">
        <f>IF($H32=9,VLOOKUP($G32,$B$43:$J$70,3,FALSE),0)</f>
        <v>#N/A</v>
      </c>
      <c r="K32" s="70" t="e">
        <f>IF($H32=9,VLOOKUP($G32,$B$43:$J$70,4,FALSE),VLOOKUP($G32,$L$43:$R$64,2,FALSE))</f>
        <v>#N/A</v>
      </c>
      <c r="L32" s="70" t="e">
        <f>IF($H32=9,VLOOKUP($G32,$B$43:$J$70,5,FALSE),VLOOKUP($G32,$L$43:$R$64,3,FALSE))</f>
        <v>#N/A</v>
      </c>
      <c r="M32" s="70" t="e">
        <f>IF($H32=9,VLOOKUP($G32,$B$43:$J$70,6,FALSE),VLOOKUP($G32,$L$43:$R$64,4,FALSE))</f>
        <v>#N/A</v>
      </c>
      <c r="N32" s="70" t="e">
        <f>IF($H32=9,VLOOKUP($G32,$B$43:$J$70,7,FALSE),VLOOKUP($G32,$L$43:$R$64,5,FALSE))</f>
        <v>#N/A</v>
      </c>
      <c r="O32" s="70" t="e">
        <f>IF($H32=9,VLOOKUP($G32,$B$43:$J$70,8,FALSE),VLOOKUP($G32,$L$43:$R$64,6,FALSE))</f>
        <v>#N/A</v>
      </c>
      <c r="P32" s="70" t="e">
        <f>IF($H32=9,VLOOKUP($G32,$B$43:$J$70,9,FALSE),VLOOKUP($G32,$L$43:$R$64,7,FALSE))</f>
        <v>#N/A</v>
      </c>
      <c r="Q32" s="70" t="e">
        <f>IF($F32="Open",$J32,$I32)</f>
        <v>#N/A</v>
      </c>
      <c r="R32" s="70" t="e">
        <f>IF($F32="Open",$L32,$K32)</f>
        <v>#N/A</v>
      </c>
      <c r="S32" s="70" t="e">
        <f>IF($F32="Open",$N32,$M32)</f>
        <v>#N/A</v>
      </c>
      <c r="T32" s="70" t="e">
        <f>IF($F32="Open",$P32,$O32)</f>
        <v>#N/A</v>
      </c>
      <c r="U32" s="71">
        <f>IF(E32=2,Q32,IF(E32=4,R32,IF(E32=6,S32,IF(E32=8,T32,0))))</f>
        <v>0</v>
      </c>
    </row>
    <row r="33" spans="2:29" ht="14.85" customHeight="1">
      <c r="B33" s="59">
        <v>2</v>
      </c>
      <c r="C33" s="15" t="str">
        <f>IF('Premium Eff Motor'!J9='Lookup Table'!$F$4,"No", "Yes")</f>
        <v>Yes</v>
      </c>
      <c r="D33" s="58">
        <f>'Premium Eff Motor'!G9</f>
        <v>0</v>
      </c>
      <c r="E33" s="58">
        <f>'Premium Eff Motor'!H9</f>
        <v>0</v>
      </c>
      <c r="F33" s="58">
        <f>'Premium Eff Motor'!I9</f>
        <v>0</v>
      </c>
      <c r="G33" s="58">
        <f>'Premium Eff Motor'!K9</f>
        <v>0</v>
      </c>
      <c r="H33" s="58">
        <f t="shared" ref="H33:H41" si="0">IF(D33="Type C",10,9)</f>
        <v>9</v>
      </c>
      <c r="I33" s="58" t="e">
        <f t="shared" ref="I33:I41" si="1">IF($H33=9,VLOOKUP($G33,$B$43:$J$70,2,FALSE),0)</f>
        <v>#N/A</v>
      </c>
      <c r="J33" s="58" t="e">
        <f t="shared" ref="J33:J41" si="2">IF($H33=9,VLOOKUP($G33,$B$43:$J$70,3,FALSE),0)</f>
        <v>#N/A</v>
      </c>
      <c r="K33" s="58" t="e">
        <f t="shared" ref="K33:K41" si="3">IF($H33=9,VLOOKUP($G33,$B$43:$J$70,4,FALSE),VLOOKUP($G33,$L$43:$R$64,2,FALSE))</f>
        <v>#N/A</v>
      </c>
      <c r="L33" s="58" t="e">
        <f t="shared" ref="L33:L41" si="4">IF($H33=9,VLOOKUP($G33,$B$43:$J$70,5,FALSE),VLOOKUP($G33,$L$43:$R$64,3,FALSE))</f>
        <v>#N/A</v>
      </c>
      <c r="M33" s="58" t="e">
        <f t="shared" ref="M33:M41" si="5">IF($H33=9,VLOOKUP($G33,$B$43:$J$70,6,FALSE),VLOOKUP($G33,$L$43:$R$64,4,FALSE))</f>
        <v>#N/A</v>
      </c>
      <c r="N33" s="58" t="e">
        <f t="shared" ref="N33:N41" si="6">IF($H33=9,VLOOKUP($G33,$B$43:$J$70,7,FALSE),VLOOKUP($G33,$L$43:$R$64,5,FALSE))</f>
        <v>#N/A</v>
      </c>
      <c r="O33" s="58" t="e">
        <f t="shared" ref="O33:O41" si="7">IF($H33=9,VLOOKUP($G33,$B$43:$J$70,8,FALSE),VLOOKUP($G33,$L$43:$R$64,6,FALSE))</f>
        <v>#N/A</v>
      </c>
      <c r="P33" s="58" t="e">
        <f t="shared" ref="P33:P41" si="8">IF($H33=9,VLOOKUP($G33,$B$43:$J$70,9,FALSE),VLOOKUP($G33,$L$43:$R$64,7,FALSE))</f>
        <v>#N/A</v>
      </c>
      <c r="Q33" s="58" t="e">
        <f t="shared" ref="Q33:Q41" si="9">IF($F33="Open",$J33,$I33)</f>
        <v>#N/A</v>
      </c>
      <c r="R33" s="58" t="e">
        <f t="shared" ref="R33:R41" si="10">IF($F33="Open",$L33,$K33)</f>
        <v>#N/A</v>
      </c>
      <c r="S33" s="58" t="e">
        <f t="shared" ref="S33:S41" si="11">IF($F33="Open",$N33,$M33)</f>
        <v>#N/A</v>
      </c>
      <c r="T33" s="58" t="e">
        <f t="shared" ref="T33:T41" si="12">IF($F33="Open",$P33,$O33)</f>
        <v>#N/A</v>
      </c>
      <c r="U33" s="60">
        <f t="shared" ref="U33:U41" si="13">IF(E33=2,Q33,IF(E33=4,R33,IF(E33=6,S33,IF(E33=8,T33,0))))</f>
        <v>0</v>
      </c>
    </row>
    <row r="34" spans="2:29" s="8" customFormat="1" ht="14.85" customHeight="1">
      <c r="B34" s="59">
        <v>3</v>
      </c>
      <c r="C34" s="15" t="str">
        <f>IF('Premium Eff Motor'!J10='Lookup Table'!$F$4,"No", "Yes")</f>
        <v>Yes</v>
      </c>
      <c r="D34" s="58">
        <f>'Premium Eff Motor'!G10</f>
        <v>0</v>
      </c>
      <c r="E34" s="58">
        <f>'Premium Eff Motor'!H10</f>
        <v>0</v>
      </c>
      <c r="F34" s="58">
        <f>'Premium Eff Motor'!I10</f>
        <v>0</v>
      </c>
      <c r="G34" s="58">
        <f>'Premium Eff Motor'!K10</f>
        <v>0</v>
      </c>
      <c r="H34" s="58">
        <f t="shared" si="0"/>
        <v>9</v>
      </c>
      <c r="I34" s="58" t="e">
        <f t="shared" si="1"/>
        <v>#N/A</v>
      </c>
      <c r="J34" s="58" t="e">
        <f t="shared" si="2"/>
        <v>#N/A</v>
      </c>
      <c r="K34" s="58" t="e">
        <f t="shared" si="3"/>
        <v>#N/A</v>
      </c>
      <c r="L34" s="58" t="e">
        <f t="shared" si="4"/>
        <v>#N/A</v>
      </c>
      <c r="M34" s="58" t="e">
        <f t="shared" si="5"/>
        <v>#N/A</v>
      </c>
      <c r="N34" s="58" t="e">
        <f t="shared" si="6"/>
        <v>#N/A</v>
      </c>
      <c r="O34" s="58" t="e">
        <f t="shared" si="7"/>
        <v>#N/A</v>
      </c>
      <c r="P34" s="58" t="e">
        <f t="shared" si="8"/>
        <v>#N/A</v>
      </c>
      <c r="Q34" s="58" t="e">
        <f t="shared" si="9"/>
        <v>#N/A</v>
      </c>
      <c r="R34" s="58" t="e">
        <f t="shared" si="10"/>
        <v>#N/A</v>
      </c>
      <c r="S34" s="58" t="e">
        <f t="shared" si="11"/>
        <v>#N/A</v>
      </c>
      <c r="T34" s="58" t="e">
        <f t="shared" si="12"/>
        <v>#N/A</v>
      </c>
      <c r="U34" s="60">
        <f t="shared" si="13"/>
        <v>0</v>
      </c>
      <c r="V34" s="2"/>
      <c r="W34" s="2"/>
      <c r="X34" s="5"/>
      <c r="Y34" s="5"/>
      <c r="Z34" s="5"/>
      <c r="AA34" s="5"/>
      <c r="AB34" s="5"/>
      <c r="AC34" s="5"/>
    </row>
    <row r="35" spans="2:29" ht="14.85" customHeight="1">
      <c r="B35" s="61">
        <v>4</v>
      </c>
      <c r="C35" s="15" t="str">
        <f>IF('Premium Eff Motor'!J11='Lookup Table'!$F$4,"No", "Yes")</f>
        <v>Yes</v>
      </c>
      <c r="D35" s="58">
        <f>'Premium Eff Motor'!G11</f>
        <v>0</v>
      </c>
      <c r="E35" s="58">
        <f>'Premium Eff Motor'!H11</f>
        <v>0</v>
      </c>
      <c r="F35" s="58">
        <f>'Premium Eff Motor'!I11</f>
        <v>0</v>
      </c>
      <c r="G35" s="58">
        <f>'Premium Eff Motor'!K11</f>
        <v>0</v>
      </c>
      <c r="H35" s="58">
        <f t="shared" si="0"/>
        <v>9</v>
      </c>
      <c r="I35" s="58" t="e">
        <f t="shared" si="1"/>
        <v>#N/A</v>
      </c>
      <c r="J35" s="58" t="e">
        <f t="shared" si="2"/>
        <v>#N/A</v>
      </c>
      <c r="K35" s="58" t="e">
        <f t="shared" si="3"/>
        <v>#N/A</v>
      </c>
      <c r="L35" s="58" t="e">
        <f t="shared" si="4"/>
        <v>#N/A</v>
      </c>
      <c r="M35" s="58" t="e">
        <f t="shared" si="5"/>
        <v>#N/A</v>
      </c>
      <c r="N35" s="58" t="e">
        <f t="shared" si="6"/>
        <v>#N/A</v>
      </c>
      <c r="O35" s="58" t="e">
        <f t="shared" si="7"/>
        <v>#N/A</v>
      </c>
      <c r="P35" s="58" t="e">
        <f t="shared" si="8"/>
        <v>#N/A</v>
      </c>
      <c r="Q35" s="58" t="e">
        <f t="shared" si="9"/>
        <v>#N/A</v>
      </c>
      <c r="R35" s="58" t="e">
        <f t="shared" si="10"/>
        <v>#N/A</v>
      </c>
      <c r="S35" s="58" t="e">
        <f t="shared" si="11"/>
        <v>#N/A</v>
      </c>
      <c r="T35" s="58" t="e">
        <f t="shared" si="12"/>
        <v>#N/A</v>
      </c>
      <c r="U35" s="60">
        <f t="shared" si="13"/>
        <v>0</v>
      </c>
    </row>
    <row r="36" spans="2:29" ht="14.85" customHeight="1">
      <c r="B36" s="61">
        <v>5</v>
      </c>
      <c r="C36" s="15" t="str">
        <f>IF('Premium Eff Motor'!J12='Lookup Table'!$F$4,"No", "Yes")</f>
        <v>Yes</v>
      </c>
      <c r="D36" s="58">
        <f>'Premium Eff Motor'!G12</f>
        <v>0</v>
      </c>
      <c r="E36" s="58">
        <f>'Premium Eff Motor'!H12</f>
        <v>0</v>
      </c>
      <c r="F36" s="58">
        <f>'Premium Eff Motor'!I12</f>
        <v>0</v>
      </c>
      <c r="G36" s="58">
        <f>'Premium Eff Motor'!K12</f>
        <v>0</v>
      </c>
      <c r="H36" s="58">
        <f t="shared" si="0"/>
        <v>9</v>
      </c>
      <c r="I36" s="58" t="e">
        <f t="shared" si="1"/>
        <v>#N/A</v>
      </c>
      <c r="J36" s="58" t="e">
        <f t="shared" si="2"/>
        <v>#N/A</v>
      </c>
      <c r="K36" s="58" t="e">
        <f t="shared" si="3"/>
        <v>#N/A</v>
      </c>
      <c r="L36" s="58" t="e">
        <f t="shared" si="4"/>
        <v>#N/A</v>
      </c>
      <c r="M36" s="58" t="e">
        <f t="shared" si="5"/>
        <v>#N/A</v>
      </c>
      <c r="N36" s="58" t="e">
        <f t="shared" si="6"/>
        <v>#N/A</v>
      </c>
      <c r="O36" s="58" t="e">
        <f t="shared" si="7"/>
        <v>#N/A</v>
      </c>
      <c r="P36" s="58" t="e">
        <f t="shared" si="8"/>
        <v>#N/A</v>
      </c>
      <c r="Q36" s="58" t="e">
        <f t="shared" si="9"/>
        <v>#N/A</v>
      </c>
      <c r="R36" s="58" t="e">
        <f t="shared" si="10"/>
        <v>#N/A</v>
      </c>
      <c r="S36" s="58" t="e">
        <f t="shared" si="11"/>
        <v>#N/A</v>
      </c>
      <c r="T36" s="58" t="e">
        <f t="shared" si="12"/>
        <v>#N/A</v>
      </c>
      <c r="U36" s="60">
        <f t="shared" si="13"/>
        <v>0</v>
      </c>
    </row>
    <row r="37" spans="2:29" ht="14.85" customHeight="1">
      <c r="B37" s="62">
        <v>6</v>
      </c>
      <c r="C37" s="15" t="str">
        <f>IF('Premium Eff Motor'!J13='Lookup Table'!$F$4,"No", "Yes")</f>
        <v>Yes</v>
      </c>
      <c r="D37" s="58">
        <f>'Premium Eff Motor'!G13</f>
        <v>0</v>
      </c>
      <c r="E37" s="58">
        <f>'Premium Eff Motor'!H13</f>
        <v>0</v>
      </c>
      <c r="F37" s="58">
        <f>'Premium Eff Motor'!I13</f>
        <v>0</v>
      </c>
      <c r="G37" s="58">
        <f>'Premium Eff Motor'!K13</f>
        <v>0</v>
      </c>
      <c r="H37" s="58">
        <f t="shared" si="0"/>
        <v>9</v>
      </c>
      <c r="I37" s="58" t="e">
        <f t="shared" si="1"/>
        <v>#N/A</v>
      </c>
      <c r="J37" s="58" t="e">
        <f t="shared" si="2"/>
        <v>#N/A</v>
      </c>
      <c r="K37" s="58" t="e">
        <f t="shared" si="3"/>
        <v>#N/A</v>
      </c>
      <c r="L37" s="58" t="e">
        <f t="shared" si="4"/>
        <v>#N/A</v>
      </c>
      <c r="M37" s="58" t="e">
        <f t="shared" si="5"/>
        <v>#N/A</v>
      </c>
      <c r="N37" s="58" t="e">
        <f t="shared" si="6"/>
        <v>#N/A</v>
      </c>
      <c r="O37" s="58" t="e">
        <f t="shared" si="7"/>
        <v>#N/A</v>
      </c>
      <c r="P37" s="58" t="e">
        <f t="shared" si="8"/>
        <v>#N/A</v>
      </c>
      <c r="Q37" s="58" t="e">
        <f t="shared" si="9"/>
        <v>#N/A</v>
      </c>
      <c r="R37" s="58" t="e">
        <f t="shared" si="10"/>
        <v>#N/A</v>
      </c>
      <c r="S37" s="58" t="e">
        <f t="shared" si="11"/>
        <v>#N/A</v>
      </c>
      <c r="T37" s="58" t="e">
        <f t="shared" si="12"/>
        <v>#N/A</v>
      </c>
      <c r="U37" s="60">
        <f t="shared" si="13"/>
        <v>0</v>
      </c>
    </row>
    <row r="38" spans="2:29" ht="14.85" customHeight="1">
      <c r="B38" s="63">
        <v>7</v>
      </c>
      <c r="C38" s="15" t="str">
        <f>IF('Premium Eff Motor'!J14='Lookup Table'!$F$4,"No", "Yes")</f>
        <v>Yes</v>
      </c>
      <c r="D38" s="58">
        <f>'Premium Eff Motor'!G14</f>
        <v>0</v>
      </c>
      <c r="E38" s="58">
        <f>'Premium Eff Motor'!H14</f>
        <v>0</v>
      </c>
      <c r="F38" s="58">
        <f>'Premium Eff Motor'!I14</f>
        <v>0</v>
      </c>
      <c r="G38" s="58">
        <f>'Premium Eff Motor'!K14</f>
        <v>0</v>
      </c>
      <c r="H38" s="58">
        <f t="shared" si="0"/>
        <v>9</v>
      </c>
      <c r="I38" s="58" t="e">
        <f t="shared" si="1"/>
        <v>#N/A</v>
      </c>
      <c r="J38" s="58" t="e">
        <f t="shared" si="2"/>
        <v>#N/A</v>
      </c>
      <c r="K38" s="58" t="e">
        <f t="shared" si="3"/>
        <v>#N/A</v>
      </c>
      <c r="L38" s="58" t="e">
        <f t="shared" si="4"/>
        <v>#N/A</v>
      </c>
      <c r="M38" s="58" t="e">
        <f t="shared" si="5"/>
        <v>#N/A</v>
      </c>
      <c r="N38" s="58" t="e">
        <f t="shared" si="6"/>
        <v>#N/A</v>
      </c>
      <c r="O38" s="58" t="e">
        <f t="shared" si="7"/>
        <v>#N/A</v>
      </c>
      <c r="P38" s="58" t="e">
        <f t="shared" si="8"/>
        <v>#N/A</v>
      </c>
      <c r="Q38" s="58" t="e">
        <f t="shared" si="9"/>
        <v>#N/A</v>
      </c>
      <c r="R38" s="58" t="e">
        <f t="shared" si="10"/>
        <v>#N/A</v>
      </c>
      <c r="S38" s="58" t="e">
        <f t="shared" si="11"/>
        <v>#N/A</v>
      </c>
      <c r="T38" s="58" t="e">
        <f t="shared" si="12"/>
        <v>#N/A</v>
      </c>
      <c r="U38" s="60">
        <f t="shared" si="13"/>
        <v>0</v>
      </c>
    </row>
    <row r="39" spans="2:29" ht="14.85" customHeight="1">
      <c r="B39" s="59">
        <v>8</v>
      </c>
      <c r="C39" s="15" t="str">
        <f>IF('Premium Eff Motor'!J15='Lookup Table'!$F$4,"No", "Yes")</f>
        <v>Yes</v>
      </c>
      <c r="D39" s="58">
        <f>'Premium Eff Motor'!G15</f>
        <v>0</v>
      </c>
      <c r="E39" s="58">
        <f>'Premium Eff Motor'!H15</f>
        <v>0</v>
      </c>
      <c r="F39" s="58">
        <f>'Premium Eff Motor'!I15</f>
        <v>0</v>
      </c>
      <c r="G39" s="58">
        <f>'Premium Eff Motor'!K15</f>
        <v>0</v>
      </c>
      <c r="H39" s="58">
        <f t="shared" si="0"/>
        <v>9</v>
      </c>
      <c r="I39" s="58" t="e">
        <f t="shared" si="1"/>
        <v>#N/A</v>
      </c>
      <c r="J39" s="58" t="e">
        <f t="shared" si="2"/>
        <v>#N/A</v>
      </c>
      <c r="K39" s="58" t="e">
        <f t="shared" si="3"/>
        <v>#N/A</v>
      </c>
      <c r="L39" s="58" t="e">
        <f t="shared" si="4"/>
        <v>#N/A</v>
      </c>
      <c r="M39" s="58" t="e">
        <f t="shared" si="5"/>
        <v>#N/A</v>
      </c>
      <c r="N39" s="58" t="e">
        <f t="shared" si="6"/>
        <v>#N/A</v>
      </c>
      <c r="O39" s="58" t="e">
        <f t="shared" si="7"/>
        <v>#N/A</v>
      </c>
      <c r="P39" s="58" t="e">
        <f t="shared" si="8"/>
        <v>#N/A</v>
      </c>
      <c r="Q39" s="58" t="e">
        <f t="shared" si="9"/>
        <v>#N/A</v>
      </c>
      <c r="R39" s="58" t="e">
        <f t="shared" si="10"/>
        <v>#N/A</v>
      </c>
      <c r="S39" s="58" t="e">
        <f t="shared" si="11"/>
        <v>#N/A</v>
      </c>
      <c r="T39" s="58" t="e">
        <f t="shared" si="12"/>
        <v>#N/A</v>
      </c>
      <c r="U39" s="60">
        <f t="shared" si="13"/>
        <v>0</v>
      </c>
    </row>
    <row r="40" spans="2:29" ht="14.85" customHeight="1">
      <c r="B40" s="59">
        <v>9</v>
      </c>
      <c r="C40" s="15" t="str">
        <f>IF('Premium Eff Motor'!J16='Lookup Table'!$F$4,"No", "Yes")</f>
        <v>Yes</v>
      </c>
      <c r="D40" s="58">
        <f>'Premium Eff Motor'!G16</f>
        <v>0</v>
      </c>
      <c r="E40" s="58">
        <f>'Premium Eff Motor'!H16</f>
        <v>0</v>
      </c>
      <c r="F40" s="58">
        <f>'Premium Eff Motor'!I16</f>
        <v>0</v>
      </c>
      <c r="G40" s="58">
        <f>'Premium Eff Motor'!K16</f>
        <v>0</v>
      </c>
      <c r="H40" s="58">
        <f t="shared" si="0"/>
        <v>9</v>
      </c>
      <c r="I40" s="58" t="e">
        <f t="shared" si="1"/>
        <v>#N/A</v>
      </c>
      <c r="J40" s="58" t="e">
        <f t="shared" si="2"/>
        <v>#N/A</v>
      </c>
      <c r="K40" s="58" t="e">
        <f t="shared" si="3"/>
        <v>#N/A</v>
      </c>
      <c r="L40" s="58" t="e">
        <f t="shared" si="4"/>
        <v>#N/A</v>
      </c>
      <c r="M40" s="58" t="e">
        <f t="shared" si="5"/>
        <v>#N/A</v>
      </c>
      <c r="N40" s="58" t="e">
        <f t="shared" si="6"/>
        <v>#N/A</v>
      </c>
      <c r="O40" s="58" t="e">
        <f t="shared" si="7"/>
        <v>#N/A</v>
      </c>
      <c r="P40" s="58" t="e">
        <f t="shared" si="8"/>
        <v>#N/A</v>
      </c>
      <c r="Q40" s="58" t="e">
        <f t="shared" si="9"/>
        <v>#N/A</v>
      </c>
      <c r="R40" s="58" t="e">
        <f t="shared" si="10"/>
        <v>#N/A</v>
      </c>
      <c r="S40" s="58" t="e">
        <f t="shared" si="11"/>
        <v>#N/A</v>
      </c>
      <c r="T40" s="58" t="e">
        <f t="shared" si="12"/>
        <v>#N/A</v>
      </c>
      <c r="U40" s="60">
        <f t="shared" si="13"/>
        <v>0</v>
      </c>
    </row>
    <row r="41" spans="2:29" ht="14.85" customHeight="1" thickBot="1">
      <c r="B41" s="64">
        <v>10</v>
      </c>
      <c r="C41" s="65" t="str">
        <f>IF('Premium Eff Motor'!J17='Lookup Table'!$F$4,"No", "Yes")</f>
        <v>Yes</v>
      </c>
      <c r="D41" s="66">
        <f>'Premium Eff Motor'!G17</f>
        <v>0</v>
      </c>
      <c r="E41" s="66">
        <f>'Premium Eff Motor'!H17</f>
        <v>0</v>
      </c>
      <c r="F41" s="66">
        <f>'Premium Eff Motor'!I17</f>
        <v>0</v>
      </c>
      <c r="G41" s="66">
        <f>'Premium Eff Motor'!K17</f>
        <v>0</v>
      </c>
      <c r="H41" s="66">
        <f t="shared" si="0"/>
        <v>9</v>
      </c>
      <c r="I41" s="66" t="e">
        <f t="shared" si="1"/>
        <v>#N/A</v>
      </c>
      <c r="J41" s="66" t="e">
        <f t="shared" si="2"/>
        <v>#N/A</v>
      </c>
      <c r="K41" s="66" t="e">
        <f t="shared" si="3"/>
        <v>#N/A</v>
      </c>
      <c r="L41" s="66" t="e">
        <f t="shared" si="4"/>
        <v>#N/A</v>
      </c>
      <c r="M41" s="66" t="e">
        <f t="shared" si="5"/>
        <v>#N/A</v>
      </c>
      <c r="N41" s="66" t="e">
        <f t="shared" si="6"/>
        <v>#N/A</v>
      </c>
      <c r="O41" s="66" t="e">
        <f t="shared" si="7"/>
        <v>#N/A</v>
      </c>
      <c r="P41" s="66" t="e">
        <f t="shared" si="8"/>
        <v>#N/A</v>
      </c>
      <c r="Q41" s="66" t="e">
        <f t="shared" si="9"/>
        <v>#N/A</v>
      </c>
      <c r="R41" s="66" t="e">
        <f t="shared" si="10"/>
        <v>#N/A</v>
      </c>
      <c r="S41" s="66" t="e">
        <f t="shared" si="11"/>
        <v>#N/A</v>
      </c>
      <c r="T41" s="66" t="e">
        <f t="shared" si="12"/>
        <v>#N/A</v>
      </c>
      <c r="U41" s="67">
        <f t="shared" si="13"/>
        <v>0</v>
      </c>
    </row>
    <row r="42" spans="2:29" ht="15" thickBot="1">
      <c r="B42" s="37"/>
      <c r="C42" s="38"/>
      <c r="D42" s="38"/>
      <c r="E42" s="38"/>
      <c r="F42" s="38"/>
      <c r="G42" s="38"/>
      <c r="H42" s="38"/>
      <c r="I42" s="38"/>
      <c r="J42" s="38"/>
      <c r="K42" s="38"/>
    </row>
    <row r="43" spans="2:29" ht="18.75" thickBot="1">
      <c r="B43" s="515" t="s">
        <v>230</v>
      </c>
      <c r="C43" s="516"/>
      <c r="D43" s="516"/>
      <c r="E43" s="516"/>
      <c r="F43" s="516"/>
      <c r="G43" s="516"/>
      <c r="H43" s="516"/>
      <c r="I43" s="516"/>
      <c r="J43" s="517"/>
      <c r="K43" s="38"/>
      <c r="L43" s="501" t="s">
        <v>231</v>
      </c>
      <c r="M43" s="502"/>
      <c r="N43" s="502"/>
      <c r="O43" s="502"/>
      <c r="P43" s="502"/>
      <c r="Q43" s="502"/>
      <c r="R43" s="503"/>
    </row>
    <row r="44" spans="2:29">
      <c r="B44" s="77"/>
      <c r="C44" s="78" t="s">
        <v>232</v>
      </c>
      <c r="D44" s="78"/>
      <c r="E44" s="78" t="s">
        <v>233</v>
      </c>
      <c r="F44" s="78"/>
      <c r="G44" s="78" t="s">
        <v>234</v>
      </c>
      <c r="H44" s="78"/>
      <c r="I44" s="78" t="s">
        <v>235</v>
      </c>
      <c r="J44" s="79"/>
      <c r="K44" s="38"/>
      <c r="L44" s="84"/>
      <c r="M44" s="85" t="s">
        <v>233</v>
      </c>
      <c r="N44" s="85"/>
      <c r="O44" s="85" t="s">
        <v>234</v>
      </c>
      <c r="P44" s="85"/>
      <c r="Q44" s="85" t="s">
        <v>235</v>
      </c>
      <c r="R44" s="86"/>
    </row>
    <row r="45" spans="2:29" ht="15" thickBot="1">
      <c r="B45" s="80" t="s">
        <v>236</v>
      </c>
      <c r="C45" s="81" t="s">
        <v>237</v>
      </c>
      <c r="D45" s="81" t="s">
        <v>182</v>
      </c>
      <c r="E45" s="81" t="s">
        <v>237</v>
      </c>
      <c r="F45" s="81" t="s">
        <v>182</v>
      </c>
      <c r="G45" s="81" t="s">
        <v>237</v>
      </c>
      <c r="H45" s="81" t="s">
        <v>182</v>
      </c>
      <c r="I45" s="81" t="s">
        <v>237</v>
      </c>
      <c r="J45" s="82" t="s">
        <v>182</v>
      </c>
      <c r="K45" s="38"/>
      <c r="L45" s="87" t="s">
        <v>236</v>
      </c>
      <c r="M45" s="88" t="s">
        <v>237</v>
      </c>
      <c r="N45" s="88" t="s">
        <v>182</v>
      </c>
      <c r="O45" s="88" t="s">
        <v>237</v>
      </c>
      <c r="P45" s="88" t="s">
        <v>182</v>
      </c>
      <c r="Q45" s="88" t="s">
        <v>237</v>
      </c>
      <c r="R45" s="89" t="s">
        <v>182</v>
      </c>
    </row>
    <row r="46" spans="2:29">
      <c r="B46" s="90">
        <v>1</v>
      </c>
      <c r="C46" s="91">
        <v>0.77</v>
      </c>
      <c r="D46" s="91">
        <v>0.77</v>
      </c>
      <c r="E46" s="91">
        <v>0.85499999999999998</v>
      </c>
      <c r="F46" s="91">
        <v>0.85499999999999998</v>
      </c>
      <c r="G46" s="91">
        <v>0.82499999999999996</v>
      </c>
      <c r="H46" s="91">
        <v>0.82</v>
      </c>
      <c r="I46" s="91">
        <v>0.755</v>
      </c>
      <c r="J46" s="92">
        <v>0.755</v>
      </c>
      <c r="K46" s="38"/>
      <c r="L46" s="100">
        <v>1</v>
      </c>
      <c r="M46" s="101">
        <v>0.85499999999999998</v>
      </c>
      <c r="N46" s="101">
        <v>0.85499999999999998</v>
      </c>
      <c r="O46" s="101">
        <v>0.82499999999999996</v>
      </c>
      <c r="P46" s="101">
        <v>0.82499999999999996</v>
      </c>
      <c r="Q46" s="102">
        <v>0.755</v>
      </c>
      <c r="R46" s="103">
        <v>0.755</v>
      </c>
    </row>
    <row r="47" spans="2:29">
      <c r="B47" s="93">
        <v>1.5</v>
      </c>
      <c r="C47" s="56">
        <v>0.84</v>
      </c>
      <c r="D47" s="56">
        <v>0.84</v>
      </c>
      <c r="E47" s="56">
        <v>0.86499999999999999</v>
      </c>
      <c r="F47" s="56">
        <v>0.86499999999999999</v>
      </c>
      <c r="G47" s="56">
        <v>0.875</v>
      </c>
      <c r="H47" s="56">
        <v>0.86499999999999999</v>
      </c>
      <c r="I47" s="56">
        <v>0.78500000000000003</v>
      </c>
      <c r="J47" s="94">
        <v>0.77</v>
      </c>
      <c r="K47" s="38"/>
      <c r="L47" s="95">
        <v>1.5</v>
      </c>
      <c r="M47" s="50">
        <v>0.86499999999999999</v>
      </c>
      <c r="N47" s="50">
        <v>0.86499999999999999</v>
      </c>
      <c r="O47" s="50">
        <v>0.875</v>
      </c>
      <c r="P47" s="50">
        <v>0.86499999999999999</v>
      </c>
      <c r="Q47" s="46">
        <v>0.78500000000000003</v>
      </c>
      <c r="R47" s="104">
        <v>0.77</v>
      </c>
    </row>
    <row r="48" spans="2:29">
      <c r="B48" s="93">
        <v>2</v>
      </c>
      <c r="C48" s="56">
        <v>0.85499999999999998</v>
      </c>
      <c r="D48" s="56">
        <v>0.85499999999999998</v>
      </c>
      <c r="E48" s="56">
        <v>0.86499999999999999</v>
      </c>
      <c r="F48" s="56">
        <v>0.86499999999999999</v>
      </c>
      <c r="G48" s="56">
        <v>0.88500000000000001</v>
      </c>
      <c r="H48" s="56">
        <v>0.875</v>
      </c>
      <c r="I48" s="56">
        <v>0.84</v>
      </c>
      <c r="J48" s="94">
        <v>0.86499999999999999</v>
      </c>
      <c r="K48" s="38"/>
      <c r="L48" s="95">
        <v>2</v>
      </c>
      <c r="M48" s="50">
        <v>0.86499999999999999</v>
      </c>
      <c r="N48" s="50">
        <v>0.86499999999999999</v>
      </c>
      <c r="O48" s="50">
        <v>0.88500000000000001</v>
      </c>
      <c r="P48" s="50">
        <v>0.875</v>
      </c>
      <c r="Q48" s="46">
        <v>0.84</v>
      </c>
      <c r="R48" s="104">
        <v>0.86499999999999999</v>
      </c>
    </row>
    <row r="49" spans="2:18">
      <c r="B49" s="93">
        <v>3</v>
      </c>
      <c r="C49" s="56">
        <v>0.86499999999999999</v>
      </c>
      <c r="D49" s="56">
        <v>0.85499999999999998</v>
      </c>
      <c r="E49" s="56">
        <v>0.89500000000000002</v>
      </c>
      <c r="F49" s="56">
        <v>0.89500000000000002</v>
      </c>
      <c r="G49" s="56">
        <v>0.89500000000000002</v>
      </c>
      <c r="H49" s="56">
        <v>0.88500000000000001</v>
      </c>
      <c r="I49" s="56">
        <v>0.85499999999999998</v>
      </c>
      <c r="J49" s="94">
        <v>0.875</v>
      </c>
      <c r="K49" s="38"/>
      <c r="L49" s="95">
        <v>3</v>
      </c>
      <c r="M49" s="50">
        <v>0.89500000000000002</v>
      </c>
      <c r="N49" s="50">
        <v>0.89500000000000002</v>
      </c>
      <c r="O49" s="50">
        <v>0.89500000000000002</v>
      </c>
      <c r="P49" s="50">
        <v>0.88500000000000001</v>
      </c>
      <c r="Q49" s="46">
        <v>0.85499999999999998</v>
      </c>
      <c r="R49" s="104">
        <v>0.875</v>
      </c>
    </row>
    <row r="50" spans="2:18">
      <c r="B50" s="93">
        <v>5</v>
      </c>
      <c r="C50" s="56">
        <v>0.88500000000000001</v>
      </c>
      <c r="D50" s="56">
        <v>0.86499999999999999</v>
      </c>
      <c r="E50" s="56">
        <v>0.89500000000000002</v>
      </c>
      <c r="F50" s="56">
        <v>0.89500000000000002</v>
      </c>
      <c r="G50" s="56">
        <v>0.89500000000000002</v>
      </c>
      <c r="H50" s="56">
        <v>0.89500000000000002</v>
      </c>
      <c r="I50" s="56">
        <v>0.86499999999999999</v>
      </c>
      <c r="J50" s="94">
        <v>0.88500000000000001</v>
      </c>
      <c r="K50" s="38"/>
      <c r="L50" s="95">
        <v>5</v>
      </c>
      <c r="M50" s="50">
        <v>0.89500000000000002</v>
      </c>
      <c r="N50" s="50">
        <v>0.89500000000000002</v>
      </c>
      <c r="O50" s="50">
        <v>0.89500000000000002</v>
      </c>
      <c r="P50" s="50">
        <v>0.89500000000000002</v>
      </c>
      <c r="Q50" s="46">
        <v>0.86499999999999999</v>
      </c>
      <c r="R50" s="104">
        <v>0.88500000000000001</v>
      </c>
    </row>
    <row r="51" spans="2:18">
      <c r="B51" s="95">
        <v>7.5</v>
      </c>
      <c r="C51" s="57">
        <v>0.89500000000000002</v>
      </c>
      <c r="D51" s="57">
        <v>0.88500000000000001</v>
      </c>
      <c r="E51" s="57">
        <v>0.91700000000000004</v>
      </c>
      <c r="F51" s="57">
        <v>0.91</v>
      </c>
      <c r="G51" s="57">
        <v>0.91</v>
      </c>
      <c r="H51" s="57">
        <v>0.90200000000000002</v>
      </c>
      <c r="I51" s="57">
        <v>0.86499999999999999</v>
      </c>
      <c r="J51" s="96">
        <v>0.89500000000000002</v>
      </c>
      <c r="L51" s="95">
        <v>7.5</v>
      </c>
      <c r="M51" s="50">
        <v>0.91700000000000004</v>
      </c>
      <c r="N51" s="50">
        <v>0.91</v>
      </c>
      <c r="O51" s="50">
        <v>0.91</v>
      </c>
      <c r="P51" s="50">
        <v>0.90200000000000002</v>
      </c>
      <c r="Q51" s="46">
        <v>0.86499999999999999</v>
      </c>
      <c r="R51" s="104">
        <v>0.89500000000000002</v>
      </c>
    </row>
    <row r="52" spans="2:18">
      <c r="B52" s="95">
        <v>10</v>
      </c>
      <c r="C52" s="57">
        <v>0.90200000000000002</v>
      </c>
      <c r="D52" s="57">
        <v>0.89500000000000002</v>
      </c>
      <c r="E52" s="57">
        <v>0.91700000000000004</v>
      </c>
      <c r="F52" s="57">
        <v>0.91700000000000004</v>
      </c>
      <c r="G52" s="57">
        <v>0.91</v>
      </c>
      <c r="H52" s="57">
        <v>0.91700000000000004</v>
      </c>
      <c r="I52" s="57">
        <v>0.89500000000000002</v>
      </c>
      <c r="J52" s="96">
        <v>0.90200000000000002</v>
      </c>
      <c r="L52" s="95">
        <v>10</v>
      </c>
      <c r="M52" s="50">
        <v>0.91700000000000004</v>
      </c>
      <c r="N52" s="50">
        <v>0.91700000000000004</v>
      </c>
      <c r="O52" s="50">
        <v>0.91</v>
      </c>
      <c r="P52" s="50">
        <v>0.91700000000000004</v>
      </c>
      <c r="Q52" s="46">
        <v>0.89500000000000002</v>
      </c>
      <c r="R52" s="104">
        <v>0.90200000000000002</v>
      </c>
    </row>
    <row r="53" spans="2:18">
      <c r="B53" s="95">
        <v>15</v>
      </c>
      <c r="C53" s="57">
        <v>0.91</v>
      </c>
      <c r="D53" s="57">
        <v>0.90200000000000002</v>
      </c>
      <c r="E53" s="57">
        <v>0.92400000000000004</v>
      </c>
      <c r="F53" s="57">
        <v>0.93</v>
      </c>
      <c r="G53" s="57">
        <v>0.91700000000000004</v>
      </c>
      <c r="H53" s="57">
        <v>0.91700000000000004</v>
      </c>
      <c r="I53" s="57">
        <v>0.89500000000000002</v>
      </c>
      <c r="J53" s="96">
        <v>0.90200000000000002</v>
      </c>
      <c r="L53" s="95">
        <v>15</v>
      </c>
      <c r="M53" s="50">
        <v>0.92400000000000004</v>
      </c>
      <c r="N53" s="50">
        <v>0.93</v>
      </c>
      <c r="O53" s="50">
        <v>0.91700000000000004</v>
      </c>
      <c r="P53" s="50">
        <v>0.91700000000000004</v>
      </c>
      <c r="Q53" s="46">
        <v>0.89500000000000002</v>
      </c>
      <c r="R53" s="104">
        <v>0.90200000000000002</v>
      </c>
    </row>
    <row r="54" spans="2:18">
      <c r="B54" s="95">
        <v>20</v>
      </c>
      <c r="C54" s="57">
        <v>0.91</v>
      </c>
      <c r="D54" s="57">
        <v>0.91</v>
      </c>
      <c r="E54" s="57">
        <v>0.93</v>
      </c>
      <c r="F54" s="57">
        <v>0.93</v>
      </c>
      <c r="G54" s="57">
        <v>0.91700000000000004</v>
      </c>
      <c r="H54" s="57">
        <v>0.92400000000000004</v>
      </c>
      <c r="I54" s="57">
        <v>0.90200000000000002</v>
      </c>
      <c r="J54" s="96">
        <v>0.91</v>
      </c>
      <c r="L54" s="95">
        <v>20</v>
      </c>
      <c r="M54" s="50">
        <v>0.93</v>
      </c>
      <c r="N54" s="50">
        <v>0.93</v>
      </c>
      <c r="O54" s="50">
        <v>0.91700000000000004</v>
      </c>
      <c r="P54" s="50">
        <v>0.92400000000000004</v>
      </c>
      <c r="Q54" s="46">
        <v>0.90200000000000002</v>
      </c>
      <c r="R54" s="104">
        <v>0.91</v>
      </c>
    </row>
    <row r="55" spans="2:18">
      <c r="B55" s="95">
        <v>25</v>
      </c>
      <c r="C55" s="57">
        <v>0.91700000000000004</v>
      </c>
      <c r="D55" s="57">
        <v>0.91700000000000004</v>
      </c>
      <c r="E55" s="57">
        <v>0.93600000000000005</v>
      </c>
      <c r="F55" s="57">
        <v>0.93600000000000005</v>
      </c>
      <c r="G55" s="57">
        <v>0.93</v>
      </c>
      <c r="H55" s="57">
        <v>0.93</v>
      </c>
      <c r="I55" s="57">
        <v>0.90200000000000002</v>
      </c>
      <c r="J55" s="96">
        <v>0.91</v>
      </c>
      <c r="L55" s="95">
        <v>25</v>
      </c>
      <c r="M55" s="50">
        <v>0.93600000000000005</v>
      </c>
      <c r="N55" s="50">
        <v>0.93600000000000005</v>
      </c>
      <c r="O55" s="50">
        <v>0.93</v>
      </c>
      <c r="P55" s="50">
        <v>0.93</v>
      </c>
      <c r="Q55" s="46">
        <v>0.90200000000000002</v>
      </c>
      <c r="R55" s="104">
        <v>0.91</v>
      </c>
    </row>
    <row r="56" spans="2:18">
      <c r="B56" s="95">
        <v>30</v>
      </c>
      <c r="C56" s="57">
        <v>0.91700000000000004</v>
      </c>
      <c r="D56" s="57">
        <v>0.91700000000000004</v>
      </c>
      <c r="E56" s="57">
        <v>0.93600000000000005</v>
      </c>
      <c r="F56" s="57">
        <v>0.94099999999999995</v>
      </c>
      <c r="G56" s="57">
        <v>0.93</v>
      </c>
      <c r="H56" s="57">
        <v>0.93600000000000005</v>
      </c>
      <c r="I56" s="57">
        <v>0.91700000000000004</v>
      </c>
      <c r="J56" s="96">
        <v>0.91700000000000004</v>
      </c>
      <c r="L56" s="95">
        <v>30</v>
      </c>
      <c r="M56" s="50">
        <v>0.93600000000000005</v>
      </c>
      <c r="N56" s="50">
        <v>0.94099999999999995</v>
      </c>
      <c r="O56" s="50">
        <v>0.93</v>
      </c>
      <c r="P56" s="50">
        <v>0.93600000000000005</v>
      </c>
      <c r="Q56" s="46">
        <v>0.91700000000000004</v>
      </c>
      <c r="R56" s="104">
        <v>0.91700000000000004</v>
      </c>
    </row>
    <row r="57" spans="2:18">
      <c r="B57" s="95">
        <v>40</v>
      </c>
      <c r="C57" s="57">
        <v>0.92400000000000004</v>
      </c>
      <c r="D57" s="57">
        <v>0.92400000000000004</v>
      </c>
      <c r="E57" s="57">
        <v>0.94099999999999995</v>
      </c>
      <c r="F57" s="57">
        <v>0.94099999999999995</v>
      </c>
      <c r="G57" s="57">
        <v>0.94099999999999995</v>
      </c>
      <c r="H57" s="57">
        <v>0.94099999999999995</v>
      </c>
      <c r="I57" s="57">
        <v>0.91700000000000004</v>
      </c>
      <c r="J57" s="96">
        <v>0.91700000000000004</v>
      </c>
      <c r="L57" s="95">
        <v>40</v>
      </c>
      <c r="M57" s="50">
        <v>0.94099999999999995</v>
      </c>
      <c r="N57" s="50">
        <v>0.94099999999999995</v>
      </c>
      <c r="O57" s="50">
        <v>0.94099999999999995</v>
      </c>
      <c r="P57" s="50">
        <v>0.94099999999999995</v>
      </c>
      <c r="Q57" s="46">
        <v>0.91700000000000004</v>
      </c>
      <c r="R57" s="104">
        <v>0.91700000000000004</v>
      </c>
    </row>
    <row r="58" spans="2:18">
      <c r="B58" s="95">
        <v>50</v>
      </c>
      <c r="C58" s="57">
        <v>0.93</v>
      </c>
      <c r="D58" s="57">
        <v>0.93</v>
      </c>
      <c r="E58" s="57">
        <v>0.94499999999999995</v>
      </c>
      <c r="F58" s="57">
        <v>0.94499999999999995</v>
      </c>
      <c r="G58" s="57">
        <v>0.94099999999999995</v>
      </c>
      <c r="H58" s="57">
        <v>0.94099999999999995</v>
      </c>
      <c r="I58" s="57">
        <v>0.92400000000000004</v>
      </c>
      <c r="J58" s="96">
        <v>0.92400000000000004</v>
      </c>
      <c r="L58" s="95">
        <v>50</v>
      </c>
      <c r="M58" s="50">
        <v>0.94499999999999995</v>
      </c>
      <c r="N58" s="50">
        <v>0.94499999999999995</v>
      </c>
      <c r="O58" s="50">
        <v>0.94099999999999995</v>
      </c>
      <c r="P58" s="50">
        <v>0.94099999999999995</v>
      </c>
      <c r="Q58" s="46">
        <v>0.92400000000000004</v>
      </c>
      <c r="R58" s="104">
        <v>0.92400000000000004</v>
      </c>
    </row>
    <row r="59" spans="2:18">
      <c r="B59" s="95">
        <v>60</v>
      </c>
      <c r="C59" s="57">
        <v>0.93600000000000005</v>
      </c>
      <c r="D59" s="57">
        <v>0.93600000000000005</v>
      </c>
      <c r="E59" s="57">
        <v>0.95</v>
      </c>
      <c r="F59" s="57">
        <v>0.95</v>
      </c>
      <c r="G59" s="57">
        <v>0.94499999999999995</v>
      </c>
      <c r="H59" s="57">
        <v>0.94499999999999995</v>
      </c>
      <c r="I59" s="57">
        <v>0.92400000000000004</v>
      </c>
      <c r="J59" s="96">
        <v>0.93</v>
      </c>
      <c r="L59" s="95">
        <v>60</v>
      </c>
      <c r="M59" s="50">
        <v>0.95</v>
      </c>
      <c r="N59" s="50">
        <v>0.95</v>
      </c>
      <c r="O59" s="50">
        <v>0.94499999999999995</v>
      </c>
      <c r="P59" s="50">
        <v>0.94499999999999995</v>
      </c>
      <c r="Q59" s="46">
        <v>0.92400000000000004</v>
      </c>
      <c r="R59" s="104">
        <v>0.93</v>
      </c>
    </row>
    <row r="60" spans="2:18">
      <c r="B60" s="95">
        <v>75</v>
      </c>
      <c r="C60" s="57">
        <v>0.93600000000000005</v>
      </c>
      <c r="D60" s="57">
        <v>0.93600000000000005</v>
      </c>
      <c r="E60" s="57">
        <v>0.95399999999999996</v>
      </c>
      <c r="F60" s="57">
        <v>0.95</v>
      </c>
      <c r="G60" s="57">
        <v>0.94499999999999995</v>
      </c>
      <c r="H60" s="57">
        <v>0.94499999999999995</v>
      </c>
      <c r="I60" s="57">
        <v>0.93600000000000005</v>
      </c>
      <c r="J60" s="96">
        <v>0.94099999999999995</v>
      </c>
      <c r="L60" s="95">
        <v>75</v>
      </c>
      <c r="M60" s="50">
        <v>0.95399999999999996</v>
      </c>
      <c r="N60" s="50">
        <v>0.95</v>
      </c>
      <c r="O60" s="50">
        <v>0.94499999999999995</v>
      </c>
      <c r="P60" s="50">
        <v>0.94499999999999995</v>
      </c>
      <c r="Q60" s="46">
        <v>0.93600000000000005</v>
      </c>
      <c r="R60" s="104">
        <v>0.94099999999999995</v>
      </c>
    </row>
    <row r="61" spans="2:18">
      <c r="B61" s="95">
        <v>100</v>
      </c>
      <c r="C61" s="57">
        <v>0.94099999999999995</v>
      </c>
      <c r="D61" s="57">
        <v>0.93600000000000005</v>
      </c>
      <c r="E61" s="57">
        <v>0.95399999999999996</v>
      </c>
      <c r="F61" s="57">
        <v>0.95399999999999996</v>
      </c>
      <c r="G61" s="57">
        <v>0.95</v>
      </c>
      <c r="H61" s="57">
        <v>0.95</v>
      </c>
      <c r="I61" s="57">
        <v>0.93600000000000005</v>
      </c>
      <c r="J61" s="96">
        <v>0.94099999999999995</v>
      </c>
      <c r="L61" s="95">
        <v>100</v>
      </c>
      <c r="M61" s="50">
        <v>0.95399999999999996</v>
      </c>
      <c r="N61" s="50">
        <v>0.95399999999999996</v>
      </c>
      <c r="O61" s="50">
        <v>0.95</v>
      </c>
      <c r="P61" s="50">
        <v>0.95</v>
      </c>
      <c r="Q61" s="46">
        <v>0.93600000000000005</v>
      </c>
      <c r="R61" s="104">
        <v>0.94099999999999995</v>
      </c>
    </row>
    <row r="62" spans="2:18">
      <c r="B62" s="95">
        <v>125</v>
      </c>
      <c r="C62" s="57">
        <v>0.95</v>
      </c>
      <c r="D62" s="57">
        <v>0.94099999999999995</v>
      </c>
      <c r="E62" s="57">
        <v>0.95399999999999996</v>
      </c>
      <c r="F62" s="57">
        <v>0.95399999999999996</v>
      </c>
      <c r="G62" s="57">
        <v>0.95</v>
      </c>
      <c r="H62" s="57">
        <v>0.95</v>
      </c>
      <c r="I62" s="57">
        <v>0.94099999999999995</v>
      </c>
      <c r="J62" s="96">
        <v>0.94099999999999995</v>
      </c>
      <c r="L62" s="95">
        <v>125</v>
      </c>
      <c r="M62" s="50">
        <v>0.95399999999999996</v>
      </c>
      <c r="N62" s="50">
        <v>0.95399999999999996</v>
      </c>
      <c r="O62" s="50">
        <v>0.95</v>
      </c>
      <c r="P62" s="50">
        <v>0.95</v>
      </c>
      <c r="Q62" s="46">
        <v>0.94099999999999995</v>
      </c>
      <c r="R62" s="104">
        <v>0.94099999999999995</v>
      </c>
    </row>
    <row r="63" spans="2:18">
      <c r="B63" s="95">
        <v>150</v>
      </c>
      <c r="C63" s="57">
        <v>0.95</v>
      </c>
      <c r="D63" s="57">
        <v>0.94099999999999995</v>
      </c>
      <c r="E63" s="57">
        <v>0.95799999999999996</v>
      </c>
      <c r="F63" s="57">
        <v>0.95799999999999996</v>
      </c>
      <c r="G63" s="57">
        <v>0.95799999999999996</v>
      </c>
      <c r="H63" s="57">
        <v>0.95399999999999996</v>
      </c>
      <c r="I63" s="57">
        <v>0.94099999999999995</v>
      </c>
      <c r="J63" s="96">
        <v>0.94099999999999995</v>
      </c>
      <c r="L63" s="95">
        <v>150</v>
      </c>
      <c r="M63" s="50">
        <v>0.95799999999999996</v>
      </c>
      <c r="N63" s="50">
        <v>0.95799999999999996</v>
      </c>
      <c r="O63" s="50">
        <v>0.95799999999999996</v>
      </c>
      <c r="P63" s="50">
        <v>0.95399999999999996</v>
      </c>
      <c r="Q63" s="46">
        <v>0.94099999999999995</v>
      </c>
      <c r="R63" s="104">
        <v>0.94099999999999995</v>
      </c>
    </row>
    <row r="64" spans="2:18" ht="15" thickBot="1">
      <c r="B64" s="95">
        <v>200</v>
      </c>
      <c r="C64" s="57">
        <v>0.95399999999999996</v>
      </c>
      <c r="D64" s="57">
        <v>0.95</v>
      </c>
      <c r="E64" s="57">
        <v>0.96199999999999997</v>
      </c>
      <c r="F64" s="57">
        <v>0.95799999999999996</v>
      </c>
      <c r="G64" s="57">
        <v>0.95799999999999996</v>
      </c>
      <c r="H64" s="57">
        <v>0.95399999999999996</v>
      </c>
      <c r="I64" s="57">
        <v>0.94499999999999995</v>
      </c>
      <c r="J64" s="96">
        <v>0.94099999999999995</v>
      </c>
      <c r="L64" s="97">
        <v>200</v>
      </c>
      <c r="M64" s="105">
        <v>0.96199999999999997</v>
      </c>
      <c r="N64" s="105">
        <v>0.95799999999999996</v>
      </c>
      <c r="O64" s="105">
        <v>0.95799999999999996</v>
      </c>
      <c r="P64" s="105">
        <v>0.95399999999999996</v>
      </c>
      <c r="Q64" s="106">
        <v>0.94499999999999995</v>
      </c>
      <c r="R64" s="107">
        <v>0.94099999999999995</v>
      </c>
    </row>
    <row r="65" spans="2:19">
      <c r="B65" s="95">
        <v>250</v>
      </c>
      <c r="C65" s="57">
        <v>0.95799999999999996</v>
      </c>
      <c r="D65" s="57">
        <v>0.95</v>
      </c>
      <c r="E65" s="57">
        <v>0.96199999999999997</v>
      </c>
      <c r="F65" s="57">
        <v>0.95799999999999996</v>
      </c>
      <c r="G65" s="57">
        <v>0.95799999999999996</v>
      </c>
      <c r="H65" s="57">
        <v>0.95799999999999996</v>
      </c>
      <c r="I65" s="57">
        <v>0.95</v>
      </c>
      <c r="J65" s="96">
        <v>0.95</v>
      </c>
    </row>
    <row r="66" spans="2:19">
      <c r="B66" s="95">
        <v>300</v>
      </c>
      <c r="C66" s="57">
        <v>0.95799999999999996</v>
      </c>
      <c r="D66" s="57">
        <v>0.95399999999999996</v>
      </c>
      <c r="E66" s="57">
        <v>0.96199999999999997</v>
      </c>
      <c r="F66" s="57">
        <v>0.95799999999999996</v>
      </c>
      <c r="G66" s="57">
        <v>0.95799999999999996</v>
      </c>
      <c r="H66" s="57">
        <v>0.95799999999999996</v>
      </c>
      <c r="I66" s="57" t="s">
        <v>238</v>
      </c>
      <c r="J66" s="96" t="s">
        <v>238</v>
      </c>
    </row>
    <row r="67" spans="2:19">
      <c r="B67" s="95">
        <v>350</v>
      </c>
      <c r="C67" s="57">
        <v>0.95799999999999996</v>
      </c>
      <c r="D67" s="57">
        <v>0.95399999999999996</v>
      </c>
      <c r="E67" s="57">
        <v>0.96199999999999997</v>
      </c>
      <c r="F67" s="57">
        <v>0.95799999999999996</v>
      </c>
      <c r="G67" s="57">
        <v>0.95799999999999996</v>
      </c>
      <c r="H67" s="57">
        <v>0.95799999999999996</v>
      </c>
      <c r="I67" s="57" t="s">
        <v>238</v>
      </c>
      <c r="J67" s="96" t="s">
        <v>238</v>
      </c>
    </row>
    <row r="68" spans="2:19">
      <c r="B68" s="95">
        <v>400</v>
      </c>
      <c r="C68" s="57">
        <v>0.95799999999999996</v>
      </c>
      <c r="D68" s="57">
        <v>0.95799999999999996</v>
      </c>
      <c r="E68" s="57">
        <v>0.96199999999999997</v>
      </c>
      <c r="F68" s="57">
        <v>0.95799999999999996</v>
      </c>
      <c r="G68" s="57" t="s">
        <v>238</v>
      </c>
      <c r="H68" s="57" t="s">
        <v>238</v>
      </c>
      <c r="I68" s="57" t="s">
        <v>238</v>
      </c>
      <c r="J68" s="96" t="s">
        <v>238</v>
      </c>
    </row>
    <row r="69" spans="2:19">
      <c r="B69" s="95">
        <v>450</v>
      </c>
      <c r="C69" s="57">
        <v>0.95799999999999996</v>
      </c>
      <c r="D69" s="57">
        <v>0.96199999999999997</v>
      </c>
      <c r="E69" s="57">
        <v>0.96199999999999997</v>
      </c>
      <c r="F69" s="57">
        <v>0.96199999999999997</v>
      </c>
      <c r="G69" s="57" t="s">
        <v>238</v>
      </c>
      <c r="H69" s="57" t="s">
        <v>238</v>
      </c>
      <c r="I69" s="57" t="s">
        <v>238</v>
      </c>
      <c r="J69" s="96" t="s">
        <v>238</v>
      </c>
    </row>
    <row r="70" spans="2:19" ht="15" thickBot="1">
      <c r="B70" s="97">
        <v>500</v>
      </c>
      <c r="C70" s="98">
        <v>0.95799999999999996</v>
      </c>
      <c r="D70" s="98">
        <v>0.96199999999999997</v>
      </c>
      <c r="E70" s="98">
        <v>0.96199999999999997</v>
      </c>
      <c r="F70" s="98">
        <v>0.96199999999999997</v>
      </c>
      <c r="G70" s="98" t="s">
        <v>238</v>
      </c>
      <c r="H70" s="98" t="s">
        <v>238</v>
      </c>
      <c r="I70" s="98" t="s">
        <v>238</v>
      </c>
      <c r="J70" s="99" t="s">
        <v>238</v>
      </c>
    </row>
    <row r="71" spans="2:19" ht="15" thickBot="1"/>
    <row r="72" spans="2:19" ht="18.75" thickBot="1">
      <c r="B72" s="501" t="s">
        <v>239</v>
      </c>
      <c r="C72" s="502"/>
      <c r="D72" s="502"/>
      <c r="E72" s="502"/>
      <c r="F72" s="502"/>
      <c r="G72" s="502"/>
      <c r="H72" s="502"/>
      <c r="I72" s="503"/>
      <c r="L72" s="501" t="s">
        <v>240</v>
      </c>
      <c r="M72" s="502"/>
      <c r="N72" s="502"/>
      <c r="O72" s="502"/>
      <c r="P72" s="502"/>
      <c r="Q72" s="502"/>
      <c r="R72" s="502"/>
      <c r="S72" s="503"/>
    </row>
    <row r="73" spans="2:19" ht="29.25" thickBot="1">
      <c r="B73" s="109" t="s">
        <v>241</v>
      </c>
      <c r="C73" s="110" t="s">
        <v>242</v>
      </c>
      <c r="D73" s="110" t="s">
        <v>243</v>
      </c>
      <c r="E73" s="110" t="s">
        <v>193</v>
      </c>
      <c r="F73" s="110" t="s">
        <v>187</v>
      </c>
      <c r="G73" s="110" t="s">
        <v>199</v>
      </c>
      <c r="H73" s="110" t="s">
        <v>196</v>
      </c>
      <c r="I73" s="111" t="s">
        <v>181</v>
      </c>
      <c r="L73" s="116" t="s">
        <v>241</v>
      </c>
      <c r="M73" s="117" t="s">
        <v>242</v>
      </c>
      <c r="N73" s="117" t="s">
        <v>243</v>
      </c>
      <c r="O73" s="117" t="s">
        <v>193</v>
      </c>
      <c r="P73" s="117" t="s">
        <v>187</v>
      </c>
      <c r="Q73" s="117" t="s">
        <v>199</v>
      </c>
      <c r="R73" s="117" t="s">
        <v>196</v>
      </c>
      <c r="S73" s="118" t="s">
        <v>181</v>
      </c>
    </row>
    <row r="74" spans="2:19" ht="15" thickBot="1">
      <c r="B74" s="112" t="s">
        <v>177</v>
      </c>
      <c r="C74" s="83" t="s">
        <v>178</v>
      </c>
      <c r="D74" s="83" t="s">
        <v>244</v>
      </c>
      <c r="E74" s="83">
        <f>INDEX('Chilled Water Pumps'!$O$2:$W$9,MATCH('Lookup Table'!C74,'Chilled Water Pumps'!$M$2:$M$9,0),MATCH('Lookup Table'!B74,'Chilled Water Pumps'!$O$1:$W$1,0))</f>
        <v>4007</v>
      </c>
      <c r="F74" s="83">
        <f>INDEX('Cooling Tower Fan'!$O$2:$W$9,MATCH(C74,'Cooling Tower Fan'!$M$2:$M$9,0),MATCH(B74,'Cooling Tower Fan'!$O$1:$W$1,0))</f>
        <v>4006</v>
      </c>
      <c r="G74" s="83">
        <f>INDEX('Condenser Water Pumps'!$O$2:$W$9,MATCH(C74,'Condenser Water Pumps'!$M$2:$M$9,0),MATCH(B74,'Condenser Water Pumps'!$O$1:$W$1,0))</f>
        <v>3527</v>
      </c>
      <c r="H74" s="83">
        <f>INDEX('Heating Hot Water Pumps'!$O$2:$W$9,MATCH(C74,'Heating Hot Water Pumps'!$M$2:$M$9,0),MATCH(B74,'Heating Hot Water Pumps'!$O$1:$W$1,0))</f>
        <v>4548</v>
      </c>
      <c r="I74" s="113">
        <f>INDEX('Supply Fans'!$O$2:$W$14,MATCH(C74,'Supply Fans'!$M$2:$M$14,0),MATCH(B74,'Supply Fans'!$O$1:$W$1,0))</f>
        <v>6042</v>
      </c>
      <c r="J74" s="55"/>
      <c r="K74" s="55"/>
      <c r="L74" s="112" t="s">
        <v>177</v>
      </c>
      <c r="M74" s="83" t="s">
        <v>178</v>
      </c>
      <c r="N74" s="83" t="s">
        <v>244</v>
      </c>
      <c r="O74" s="101">
        <f>INDEX('Chilled Water Pumps'!$AA$2:$AI$9,MATCH('Lookup Table'!M74,'Chilled Water Pumps'!$Y$2:$Y$9,0),MATCH('Lookup Table'!L74,'Chilled Water Pumps'!$AA$1:$AI$1,0))</f>
        <v>0.41</v>
      </c>
      <c r="P74" s="101">
        <f>INDEX('Cooling Tower Fan'!$AA$2:$AI$9,MATCH(M74,'Cooling Tower Fan'!$Y$2:$Y$9,0),MATCH(L74,'Cooling Tower Fan'!$AA$1:$AI$1,0))</f>
        <v>0.41</v>
      </c>
      <c r="Q74" s="101">
        <f>INDEX('Condenser Water Pumps'!$AA$2:$AI$9,MATCH(M74,'Condenser Water Pumps'!$Y$2:$Y$9,0),MATCH(L74,'Condenser Water Pumps'!$AA$1:$AI$1,0))</f>
        <v>0.41</v>
      </c>
      <c r="R74" s="101">
        <f>INDEX('Heating Hot Water Pumps'!$AA$2:$AI$9,MATCH(M74,'Heating Hot Water Pumps'!$Y$2:$Y$9,0),MATCH(L74,'Heating Hot Water Pumps'!$AA$1:$AI$1,0))</f>
        <v>0.01</v>
      </c>
      <c r="S74" s="119">
        <f>INDEX('Supply Fans'!$AA$2:$AI$14,MATCH(M74,'Supply Fans'!$Y$2:$Y$14,0),MATCH(L74,'Supply Fans'!$AA$1:$AI$1,0))</f>
        <v>0.43</v>
      </c>
    </row>
    <row r="75" spans="2:19" ht="15" thickBot="1">
      <c r="B75" s="95" t="s">
        <v>177</v>
      </c>
      <c r="C75" s="50" t="s">
        <v>184</v>
      </c>
      <c r="D75" s="50" t="s">
        <v>245</v>
      </c>
      <c r="E75" s="83">
        <f>INDEX('Chilled Water Pumps'!$O$2:$W$9,MATCH('Lookup Table'!C75,'Chilled Water Pumps'!$M$2:$M$9,0),MATCH('Lookup Table'!B75,'Chilled Water Pumps'!$O$1:$W$1,0))</f>
        <v>2721</v>
      </c>
      <c r="F75" s="83">
        <f>INDEX('Cooling Tower Fan'!$O$2:$W$9,MATCH(C75,'Cooling Tower Fan'!$M$2:$M$9,0),MATCH(B75,'Cooling Tower Fan'!$O$1:$W$1,0))</f>
        <v>2742</v>
      </c>
      <c r="G75" s="83">
        <f>INDEX('Condenser Water Pumps'!$O$2:$W$9,MATCH(C75,'Condenser Water Pumps'!$M$2:$M$9,0),MATCH(B75,'Condenser Water Pumps'!$O$1:$W$1,0))</f>
        <v>2448</v>
      </c>
      <c r="H75" s="83">
        <f>INDEX('Heating Hot Water Pumps'!$O$2:$W$9,MATCH(C75,'Heating Hot Water Pumps'!$M$2:$M$9,0),MATCH(B75,'Heating Hot Water Pumps'!$O$1:$W$1,0))</f>
        <v>3651</v>
      </c>
      <c r="I75" s="113">
        <f>INDEX('Supply Fans'!$O$2:$W$14,MATCH(C75,'Supply Fans'!$M$2:$M$14,0),MATCH(B75,'Supply Fans'!$O$1:$W$1,0))</f>
        <v>4380</v>
      </c>
      <c r="J75" s="55"/>
      <c r="K75" s="55"/>
      <c r="L75" s="95" t="s">
        <v>177</v>
      </c>
      <c r="M75" s="50" t="s">
        <v>184</v>
      </c>
      <c r="N75" s="83" t="s">
        <v>245</v>
      </c>
      <c r="O75" s="101">
        <f>INDEX('Chilled Water Pumps'!$AA$2:$AI$9,MATCH('Lookup Table'!M75,'Chilled Water Pumps'!$Y$2:$Y$9,0),MATCH('Lookup Table'!L75,'Chilled Water Pumps'!$AA$1:$AI$1,0))</f>
        <v>0.1</v>
      </c>
      <c r="P75" s="101">
        <f>INDEX('Cooling Tower Fan'!$AA$2:$AI$9,MATCH(M75,'Cooling Tower Fan'!$Y$2:$Y$9,0),MATCH(L75,'Cooling Tower Fan'!$AA$1:$AI$1,0))</f>
        <v>0.11</v>
      </c>
      <c r="Q75" s="101">
        <f>INDEX('Condenser Water Pumps'!$AA$2:$AI$9,MATCH(M75,'Condenser Water Pumps'!$Y$2:$Y$9,0),MATCH(L75,'Condenser Water Pumps'!$AA$1:$AI$1,0))</f>
        <v>0.11</v>
      </c>
      <c r="R75" s="101">
        <f>INDEX('Heating Hot Water Pumps'!$AA$2:$AI$9,MATCH(M75,'Heating Hot Water Pumps'!$Y$2:$Y$9,0),MATCH(L75,'Heating Hot Water Pumps'!$AA$1:$AI$1,0))</f>
        <v>0</v>
      </c>
      <c r="S75" s="119">
        <f>INDEX('Supply Fans'!$AA$2:$AI$14,MATCH(M75,'Supply Fans'!$Y$2:$Y$14,0),MATCH(L75,'Supply Fans'!$AA$1:$AI$1,0))</f>
        <v>0.12</v>
      </c>
    </row>
    <row r="76" spans="2:19" ht="15" thickBot="1">
      <c r="B76" s="95" t="s">
        <v>177</v>
      </c>
      <c r="C76" s="50" t="s">
        <v>190</v>
      </c>
      <c r="D76" s="50" t="s">
        <v>246</v>
      </c>
      <c r="E76" s="83" t="e">
        <f>INDEX('Chilled Water Pumps'!$O$2:$W$9,MATCH('Lookup Table'!C76,'Chilled Water Pumps'!$M$2:$M$9,0),MATCH('Lookup Table'!B76,'Chilled Water Pumps'!$O$1:$W$1,0))</f>
        <v>#N/A</v>
      </c>
      <c r="F76" s="83" t="e">
        <f>INDEX('Cooling Tower Fan'!$O$2:$W$9,MATCH(C76,'Cooling Tower Fan'!$M$2:$M$9,0),MATCH(B76,'Cooling Tower Fan'!$O$1:$W$1,0))</f>
        <v>#N/A</v>
      </c>
      <c r="G76" s="83" t="e">
        <f>INDEX('Condenser Water Pumps'!$O$2:$W$9,MATCH(C76,'Condenser Water Pumps'!$M$2:$M$9,0),MATCH(B76,'Condenser Water Pumps'!$O$1:$W$1,0))</f>
        <v>#N/A</v>
      </c>
      <c r="H76" s="83" t="e">
        <f>INDEX('Heating Hot Water Pumps'!$O$2:$W$9,MATCH(C76,'Heating Hot Water Pumps'!$M$2:$M$9,0),MATCH(B76,'Heating Hot Water Pumps'!$O$1:$W$1,0))</f>
        <v>#N/A</v>
      </c>
      <c r="I76" s="113">
        <f>INDEX('Supply Fans'!$O$2:$W$14,MATCH(C76,'Supply Fans'!$M$2:$M$14,0),MATCH(B76,'Supply Fans'!$O$1:$W$1,0))</f>
        <v>6708</v>
      </c>
      <c r="J76" s="55"/>
      <c r="K76" s="55"/>
      <c r="L76" s="95" t="s">
        <v>177</v>
      </c>
      <c r="M76" s="50" t="s">
        <v>190</v>
      </c>
      <c r="N76" s="83" t="s">
        <v>246</v>
      </c>
      <c r="O76" s="101" t="e">
        <f>INDEX('Chilled Water Pumps'!$AA$2:$AI$9,MATCH('Lookup Table'!M76,'Chilled Water Pumps'!$Y$2:$Y$9,0),MATCH('Lookup Table'!L76,'Chilled Water Pumps'!$AA$1:$AI$1,0))</f>
        <v>#N/A</v>
      </c>
      <c r="P76" s="101" t="e">
        <f>INDEX('Cooling Tower Fan'!$AA$2:$AI$9,MATCH(M76,'Cooling Tower Fan'!$Y$2:$Y$9,0),MATCH(L76,'Cooling Tower Fan'!$AA$1:$AI$1,0))</f>
        <v>#N/A</v>
      </c>
      <c r="Q76" s="101" t="e">
        <f>INDEX('Condenser Water Pumps'!$AA$2:$AI$9,MATCH(M76,'Condenser Water Pumps'!$Y$2:$Y$9,0),MATCH(L76,'Condenser Water Pumps'!$AA$1:$AI$1,0))</f>
        <v>#N/A</v>
      </c>
      <c r="R76" s="101" t="e">
        <f>INDEX('Heating Hot Water Pumps'!$AA$2:$AI$9,MATCH(M76,'Heating Hot Water Pumps'!$Y$2:$Y$9,0),MATCH(L76,'Heating Hot Water Pumps'!$AA$1:$AI$1,0))</f>
        <v>#N/A</v>
      </c>
      <c r="S76" s="119">
        <f>INDEX('Supply Fans'!$AA$2:$AI$14,MATCH(M76,'Supply Fans'!$Y$2:$Y$14,0),MATCH(L76,'Supply Fans'!$AA$1:$AI$1,0))</f>
        <v>0.24</v>
      </c>
    </row>
    <row r="77" spans="2:19" ht="15" thickBot="1">
      <c r="B77" s="95" t="s">
        <v>177</v>
      </c>
      <c r="C77" s="50" t="s">
        <v>195</v>
      </c>
      <c r="D77" s="50" t="s">
        <v>247</v>
      </c>
      <c r="E77" s="83">
        <f>INDEX('Chilled Water Pumps'!$O$2:$W$9,MATCH('Lookup Table'!C77,'Chilled Water Pumps'!$M$2:$M$9,0),MATCH('Lookup Table'!B77,'Chilled Water Pumps'!$O$1:$W$1,0))</f>
        <v>5588</v>
      </c>
      <c r="F77" s="83">
        <f>INDEX('Cooling Tower Fan'!$O$2:$W$9,MATCH(C77,'Cooling Tower Fan'!$M$2:$M$9,0),MATCH(B77,'Cooling Tower Fan'!$O$1:$W$1,0))</f>
        <v>5587</v>
      </c>
      <c r="G77" s="83">
        <f>INDEX('Condenser Water Pumps'!$O$2:$W$9,MATCH(C77,'Condenser Water Pumps'!$M$2:$M$9,0),MATCH(B77,'Condenser Water Pumps'!$O$1:$W$1,0))</f>
        <v>3950</v>
      </c>
      <c r="H77" s="83">
        <f>INDEX('Heating Hot Water Pumps'!$O$2:$W$9,MATCH(C77,'Heating Hot Water Pumps'!$M$2:$M$9,0),MATCH(B77,'Heating Hot Water Pumps'!$O$1:$W$1,0))</f>
        <v>8760</v>
      </c>
      <c r="I77" s="113">
        <f>INDEX('Supply Fans'!$O$2:$W$14,MATCH(C77,'Supply Fans'!$M$2:$M$14,0),MATCH(B77,'Supply Fans'!$O$1:$W$1,0))</f>
        <v>8760</v>
      </c>
      <c r="J77" s="55"/>
      <c r="K77" s="55"/>
      <c r="L77" s="95" t="s">
        <v>177</v>
      </c>
      <c r="M77" s="50" t="s">
        <v>195</v>
      </c>
      <c r="N77" s="83" t="s">
        <v>247</v>
      </c>
      <c r="O77" s="101">
        <f>INDEX('Chilled Water Pumps'!$AA$2:$AI$9,MATCH('Lookup Table'!M77,'Chilled Water Pumps'!$Y$2:$Y$9,0),MATCH('Lookup Table'!L77,'Chilled Water Pumps'!$AA$1:$AI$1,0))</f>
        <v>0.46</v>
      </c>
      <c r="P77" s="101">
        <f>INDEX('Cooling Tower Fan'!$AA$2:$AI$9,MATCH(M77,'Cooling Tower Fan'!$Y$2:$Y$9,0),MATCH(L77,'Cooling Tower Fan'!$AA$1:$AI$1,0))</f>
        <v>0.45</v>
      </c>
      <c r="Q77" s="101">
        <f>INDEX('Condenser Water Pumps'!$AA$2:$AI$9,MATCH(M77,'Condenser Water Pumps'!$Y$2:$Y$9,0),MATCH(L77,'Condenser Water Pumps'!$AA$1:$AI$1,0))</f>
        <v>0.45</v>
      </c>
      <c r="R77" s="101">
        <f>INDEX('Heating Hot Water Pumps'!$AA$2:$AI$9,MATCH(M77,'Heating Hot Water Pumps'!$Y$2:$Y$9,0),MATCH(L77,'Heating Hot Water Pumps'!$AA$1:$AI$1,0))</f>
        <v>0.09</v>
      </c>
      <c r="S77" s="119">
        <f>INDEX('Supply Fans'!$AA$2:$AI$14,MATCH(M77,'Supply Fans'!$Y$2:$Y$14,0),MATCH(L77,'Supply Fans'!$AA$1:$AI$1,0))</f>
        <v>0.43</v>
      </c>
    </row>
    <row r="78" spans="2:19" ht="15" thickBot="1">
      <c r="B78" s="95" t="s">
        <v>177</v>
      </c>
      <c r="C78" s="50" t="s">
        <v>198</v>
      </c>
      <c r="D78" s="50" t="s">
        <v>248</v>
      </c>
      <c r="E78" s="83">
        <f>INDEX('Chilled Water Pumps'!$O$2:$W$9,MATCH('Lookup Table'!C78,'Chilled Water Pumps'!$M$2:$M$9,0),MATCH('Lookup Table'!B78,'Chilled Water Pumps'!$O$1:$W$1,0))</f>
        <v>3892</v>
      </c>
      <c r="F78" s="83">
        <f>INDEX('Cooling Tower Fan'!$O$2:$W$9,MATCH(C78,'Cooling Tower Fan'!$M$2:$M$9,0),MATCH(B78,'Cooling Tower Fan'!$O$1:$W$1,0))</f>
        <v>3894</v>
      </c>
      <c r="G78" s="83">
        <f>INDEX('Condenser Water Pumps'!$O$2:$W$9,MATCH(C78,'Condenser Water Pumps'!$M$2:$M$9,0),MATCH(B78,'Condenser Water Pumps'!$O$1:$W$1,0))</f>
        <v>3675</v>
      </c>
      <c r="H78" s="83">
        <f>INDEX('Heating Hot Water Pumps'!$O$2:$W$9,MATCH(C78,'Heating Hot Water Pumps'!$M$2:$M$9,0),MATCH(B78,'Heating Hot Water Pumps'!$O$1:$W$1,0))</f>
        <v>5934</v>
      </c>
      <c r="I78" s="113">
        <f>INDEX('Supply Fans'!$O$2:$W$14,MATCH(C78,'Supply Fans'!$M$2:$M$14,0),MATCH(B78,'Supply Fans'!$O$1:$W$1,0))</f>
        <v>8760</v>
      </c>
      <c r="J78" s="55"/>
      <c r="K78" s="55"/>
      <c r="L78" s="95" t="s">
        <v>177</v>
      </c>
      <c r="M78" s="50" t="s">
        <v>198</v>
      </c>
      <c r="N78" s="83" t="s">
        <v>248</v>
      </c>
      <c r="O78" s="101">
        <f>INDEX('Chilled Water Pumps'!$AA$2:$AI$9,MATCH('Lookup Table'!M78,'Chilled Water Pumps'!$Y$2:$Y$9,0),MATCH('Lookup Table'!L78,'Chilled Water Pumps'!$AA$1:$AI$1,0))</f>
        <v>0.24</v>
      </c>
      <c r="P78" s="101">
        <f>INDEX('Cooling Tower Fan'!$AA$2:$AI$9,MATCH(M78,'Cooling Tower Fan'!$Y$2:$Y$9,0),MATCH(L78,'Cooling Tower Fan'!$AA$1:$AI$1,0))</f>
        <v>0.24</v>
      </c>
      <c r="Q78" s="101">
        <f>INDEX('Condenser Water Pumps'!$AA$2:$AI$9,MATCH(M78,'Condenser Water Pumps'!$Y$2:$Y$9,0),MATCH(L78,'Condenser Water Pumps'!$AA$1:$AI$1,0))</f>
        <v>0.24</v>
      </c>
      <c r="R78" s="101">
        <f>INDEX('Heating Hot Water Pumps'!$AA$2:$AI$9,MATCH(M78,'Heating Hot Water Pumps'!$Y$2:$Y$9,0),MATCH(L78,'Heating Hot Water Pumps'!$AA$1:$AI$1,0))</f>
        <v>0</v>
      </c>
      <c r="S78" s="119">
        <f>INDEX('Supply Fans'!$AA$2:$AI$14,MATCH(M78,'Supply Fans'!$Y$2:$Y$14,0),MATCH(L78,'Supply Fans'!$AA$1:$AI$1,0))</f>
        <v>0.24</v>
      </c>
    </row>
    <row r="79" spans="2:19" ht="15" thickBot="1">
      <c r="B79" s="95" t="s">
        <v>177</v>
      </c>
      <c r="C79" s="50" t="s">
        <v>201</v>
      </c>
      <c r="D79" s="50" t="s">
        <v>249</v>
      </c>
      <c r="E79" s="83">
        <f>INDEX('Chilled Water Pumps'!$O$2:$W$9,MATCH('Lookup Table'!C79,'Chilled Water Pumps'!$M$2:$M$9,0),MATCH('Lookup Table'!B79,'Chilled Water Pumps'!$O$1:$W$1,0))</f>
        <v>1735</v>
      </c>
      <c r="F79" s="83">
        <f>INDEX('Cooling Tower Fan'!$O$2:$W$9,MATCH(C79,'Cooling Tower Fan'!$M$2:$M$9,0),MATCH(B79,'Cooling Tower Fan'!$O$1:$W$1,0))</f>
        <v>1735</v>
      </c>
      <c r="G79" s="83">
        <f>INDEX('Condenser Water Pumps'!$O$2:$W$9,MATCH(C79,'Condenser Water Pumps'!$M$2:$M$9,0),MATCH(B79,'Condenser Water Pumps'!$O$1:$W$1,0))</f>
        <v>1735</v>
      </c>
      <c r="H79" s="83">
        <f>INDEX('Heating Hot Water Pumps'!$O$2:$W$9,MATCH(C79,'Heating Hot Water Pumps'!$M$2:$M$9,0),MATCH(B79,'Heating Hot Water Pumps'!$O$1:$W$1,0))</f>
        <v>1258</v>
      </c>
      <c r="I79" s="113">
        <f>INDEX('Supply Fans'!$O$2:$W$14,MATCH(C79,'Supply Fans'!$M$2:$M$14,0),MATCH(B79,'Supply Fans'!$O$1:$W$1,0))</f>
        <v>3831</v>
      </c>
      <c r="J79" s="55"/>
      <c r="K79" s="55"/>
      <c r="L79" s="95" t="s">
        <v>177</v>
      </c>
      <c r="M79" s="50" t="s">
        <v>201</v>
      </c>
      <c r="N79" s="83" t="s">
        <v>249</v>
      </c>
      <c r="O79" s="101">
        <f>INDEX('Chilled Water Pumps'!$AA$2:$AI$9,MATCH('Lookup Table'!M79,'Chilled Water Pumps'!$Y$2:$Y$9,0),MATCH('Lookup Table'!L79,'Chilled Water Pumps'!$AA$1:$AI$1,0))</f>
        <v>0.53</v>
      </c>
      <c r="P79" s="101">
        <f>INDEX('Cooling Tower Fan'!$AA$2:$AI$9,MATCH(M79,'Cooling Tower Fan'!$Y$2:$Y$9,0),MATCH(L79,'Cooling Tower Fan'!$AA$1:$AI$1,0))</f>
        <v>0.53</v>
      </c>
      <c r="Q79" s="101">
        <f>INDEX('Condenser Water Pumps'!$AA$2:$AI$9,MATCH(M79,'Condenser Water Pumps'!$Y$2:$Y$9,0),MATCH(L79,'Condenser Water Pumps'!$AA$1:$AI$1,0))</f>
        <v>0.53</v>
      </c>
      <c r="R79" s="101">
        <f>INDEX('Heating Hot Water Pumps'!$AA$2:$AI$9,MATCH(M79,'Heating Hot Water Pumps'!$Y$2:$Y$9,0),MATCH(L79,'Heating Hot Water Pumps'!$AA$1:$AI$1,0))</f>
        <v>0</v>
      </c>
      <c r="S79" s="119">
        <f>INDEX('Supply Fans'!$AA$2:$AI$14,MATCH(M79,'Supply Fans'!$Y$2:$Y$14,0),MATCH(L79,'Supply Fans'!$AA$1:$AI$1,0))</f>
        <v>0.48</v>
      </c>
    </row>
    <row r="80" spans="2:19" ht="15" thickBot="1">
      <c r="B80" s="95" t="s">
        <v>177</v>
      </c>
      <c r="C80" s="50" t="s">
        <v>203</v>
      </c>
      <c r="D80" s="50" t="s">
        <v>250</v>
      </c>
      <c r="E80" s="83" t="e">
        <f>INDEX('Chilled Water Pumps'!$O$2:$W$9,MATCH('Lookup Table'!C80,'Chilled Water Pumps'!$M$2:$M$9,0),MATCH('Lookup Table'!B80,'Chilled Water Pumps'!$O$1:$W$1,0))</f>
        <v>#N/A</v>
      </c>
      <c r="F80" s="83" t="e">
        <f>INDEX('Cooling Tower Fan'!$O$2:$W$9,MATCH(C80,'Cooling Tower Fan'!$M$2:$M$9,0),MATCH(B80,'Cooling Tower Fan'!$O$1:$W$1,0))</f>
        <v>#N/A</v>
      </c>
      <c r="G80" s="83" t="e">
        <f>INDEX('Condenser Water Pumps'!$O$2:$W$9,MATCH(C80,'Condenser Water Pumps'!$M$2:$M$9,0),MATCH(B80,'Condenser Water Pumps'!$O$1:$W$1,0))</f>
        <v>#N/A</v>
      </c>
      <c r="H80" s="83" t="e">
        <f>INDEX('Heating Hot Water Pumps'!$O$2:$W$9,MATCH(C80,'Heating Hot Water Pumps'!$M$2:$M$9,0),MATCH(B80,'Heating Hot Water Pumps'!$O$1:$W$1,0))</f>
        <v>#N/A</v>
      </c>
      <c r="I80" s="113">
        <f>INDEX('Supply Fans'!$O$2:$W$14,MATCH(C80,'Supply Fans'!$M$2:$M$14,0),MATCH(B80,'Supply Fans'!$O$1:$W$1,0))</f>
        <v>5188</v>
      </c>
      <c r="J80" s="55"/>
      <c r="K80" s="55"/>
      <c r="L80" s="95" t="s">
        <v>177</v>
      </c>
      <c r="M80" s="50" t="s">
        <v>203</v>
      </c>
      <c r="N80" s="83" t="s">
        <v>250</v>
      </c>
      <c r="O80" s="101" t="e">
        <f>INDEX('Chilled Water Pumps'!$AA$2:$AI$9,MATCH('Lookup Table'!M80,'Chilled Water Pumps'!$Y$2:$Y$9,0),MATCH('Lookup Table'!L80,'Chilled Water Pumps'!$AA$1:$AI$1,0))</f>
        <v>#N/A</v>
      </c>
      <c r="P80" s="101" t="e">
        <f>INDEX('Cooling Tower Fan'!$AA$2:$AI$9,MATCH(M80,'Cooling Tower Fan'!$Y$2:$Y$9,0),MATCH(L80,'Cooling Tower Fan'!$AA$1:$AI$1,0))</f>
        <v>#N/A</v>
      </c>
      <c r="Q80" s="101" t="e">
        <f>INDEX('Condenser Water Pumps'!$AA$2:$AI$9,MATCH(M80,'Condenser Water Pumps'!$Y$2:$Y$9,0),MATCH(L80,'Condenser Water Pumps'!$AA$1:$AI$1,0))</f>
        <v>#N/A</v>
      </c>
      <c r="R80" s="101" t="e">
        <f>INDEX('Heating Hot Water Pumps'!$AA$2:$AI$9,MATCH(M80,'Heating Hot Water Pumps'!$Y$2:$Y$9,0),MATCH(L80,'Heating Hot Water Pumps'!$AA$1:$AI$1,0))</f>
        <v>#N/A</v>
      </c>
      <c r="S80" s="119">
        <f>INDEX('Supply Fans'!$AA$2:$AI$14,MATCH(M80,'Supply Fans'!$Y$2:$Y$14,0),MATCH(L80,'Supply Fans'!$AA$1:$AI$1,0))</f>
        <v>0.53</v>
      </c>
    </row>
    <row r="81" spans="2:19" ht="15" thickBot="1">
      <c r="B81" s="95" t="s">
        <v>177</v>
      </c>
      <c r="C81" s="50" t="s">
        <v>205</v>
      </c>
      <c r="D81" s="50" t="s">
        <v>251</v>
      </c>
      <c r="E81" s="83">
        <f>INDEX('Chilled Water Pumps'!$O$2:$W$9,MATCH('Lookup Table'!C81,'Chilled Water Pumps'!$M$2:$M$9,0),MATCH('Lookup Table'!B81,'Chilled Water Pumps'!$O$1:$W$1,0))</f>
        <v>5845</v>
      </c>
      <c r="F81" s="83">
        <f>INDEX('Cooling Tower Fan'!$O$2:$W$9,MATCH(C81,'Cooling Tower Fan'!$M$2:$M$9,0),MATCH(B81,'Cooling Tower Fan'!$O$1:$W$1,0))</f>
        <v>5844</v>
      </c>
      <c r="G81" s="83">
        <f>INDEX('Condenser Water Pumps'!$O$2:$W$9,MATCH(C81,'Condenser Water Pumps'!$M$2:$M$9,0),MATCH(B81,'Condenser Water Pumps'!$O$1:$W$1,0))</f>
        <v>5544</v>
      </c>
      <c r="H81" s="83">
        <f>INDEX('Heating Hot Water Pumps'!$O$2:$W$9,MATCH(C81,'Heating Hot Water Pumps'!$M$2:$M$9,0),MATCH(B81,'Heating Hot Water Pumps'!$O$1:$W$1,0))</f>
        <v>6469</v>
      </c>
      <c r="I81" s="113">
        <f>INDEX('Supply Fans'!$O$2:$W$14,MATCH(C81,'Supply Fans'!$M$2:$M$14,0),MATCH(B81,'Supply Fans'!$O$1:$W$1,0))</f>
        <v>8760</v>
      </c>
      <c r="J81" s="55"/>
      <c r="K81" s="55"/>
      <c r="L81" s="95" t="s">
        <v>177</v>
      </c>
      <c r="M81" s="50" t="s">
        <v>205</v>
      </c>
      <c r="N81" s="83" t="s">
        <v>251</v>
      </c>
      <c r="O81" s="101">
        <f>INDEX('Chilled Water Pumps'!$AA$2:$AI$9,MATCH('Lookup Table'!M81,'Chilled Water Pumps'!$Y$2:$Y$9,0),MATCH('Lookup Table'!L81,'Chilled Water Pumps'!$AA$1:$AI$1,0))</f>
        <v>0.61</v>
      </c>
      <c r="P81" s="101">
        <f>INDEX('Cooling Tower Fan'!$AA$2:$AI$9,MATCH(M81,'Cooling Tower Fan'!$Y$2:$Y$9,0),MATCH(L81,'Cooling Tower Fan'!$AA$1:$AI$1,0))</f>
        <v>0.61</v>
      </c>
      <c r="Q81" s="101">
        <f>INDEX('Condenser Water Pumps'!$AA$2:$AI$9,MATCH(M81,'Condenser Water Pumps'!$Y$2:$Y$9,0),MATCH(L81,'Condenser Water Pumps'!$AA$1:$AI$1,0))</f>
        <v>0.61</v>
      </c>
      <c r="R81" s="101">
        <f>INDEX('Heating Hot Water Pumps'!$AA$2:$AI$9,MATCH(M81,'Heating Hot Water Pumps'!$Y$2:$Y$9,0),MATCH(L81,'Heating Hot Water Pumps'!$AA$1:$AI$1,0))</f>
        <v>0</v>
      </c>
      <c r="S81" s="119">
        <f>INDEX('Supply Fans'!$AA$2:$AI$14,MATCH(M81,'Supply Fans'!$Y$2:$Y$14,0),MATCH(L81,'Supply Fans'!$AA$1:$AI$1,0))</f>
        <v>0.64</v>
      </c>
    </row>
    <row r="82" spans="2:19" ht="15" thickBot="1">
      <c r="B82" s="95" t="s">
        <v>177</v>
      </c>
      <c r="C82" s="50" t="s">
        <v>208</v>
      </c>
      <c r="D82" s="50" t="s">
        <v>252</v>
      </c>
      <c r="E82" s="83">
        <f>INDEX('Chilled Water Pumps'!$O$2:$W$9,MATCH('Lookup Table'!C82,'Chilled Water Pumps'!$M$2:$M$9,0),MATCH('Lookup Table'!B82,'Chilled Water Pumps'!$O$1:$W$1,0))</f>
        <v>1789</v>
      </c>
      <c r="F82" s="83">
        <f>INDEX('Cooling Tower Fan'!$O$2:$W$9,MATCH(C82,'Cooling Tower Fan'!$M$2:$M$9,0),MATCH(B82,'Cooling Tower Fan'!$O$1:$W$1,0))</f>
        <v>1789</v>
      </c>
      <c r="G82" s="83">
        <f>INDEX('Condenser Water Pumps'!$O$2:$W$9,MATCH(C82,'Condenser Water Pumps'!$M$2:$M$9,0),MATCH(B82,'Condenser Water Pumps'!$O$1:$W$1,0))</f>
        <v>1781</v>
      </c>
      <c r="H82" s="83">
        <f>INDEX('Heating Hot Water Pumps'!$O$2:$W$9,MATCH(C82,'Heating Hot Water Pumps'!$M$2:$M$9,0),MATCH(B82,'Heating Hot Water Pumps'!$O$1:$W$1,0))</f>
        <v>3214</v>
      </c>
      <c r="I82" s="113">
        <f>INDEX('Supply Fans'!$O$2:$W$14,MATCH(C82,'Supply Fans'!$M$2:$M$14,0),MATCH(B82,'Supply Fans'!$O$1:$W$1,0))</f>
        <v>4195</v>
      </c>
      <c r="J82" s="55"/>
      <c r="K82" s="55"/>
      <c r="L82" s="95" t="s">
        <v>177</v>
      </c>
      <c r="M82" s="50" t="s">
        <v>208</v>
      </c>
      <c r="N82" s="83" t="s">
        <v>252</v>
      </c>
      <c r="O82" s="101">
        <f>INDEX('Chilled Water Pumps'!$AA$2:$AI$9,MATCH('Lookup Table'!M82,'Chilled Water Pumps'!$Y$2:$Y$9,0),MATCH('Lookup Table'!L82,'Chilled Water Pumps'!$AA$1:$AI$1,0))</f>
        <v>0.28999999999999998</v>
      </c>
      <c r="P82" s="101">
        <f>INDEX('Cooling Tower Fan'!$AA$2:$AI$9,MATCH(M82,'Cooling Tower Fan'!$Y$2:$Y$9,0),MATCH(L82,'Cooling Tower Fan'!$AA$1:$AI$1,0))</f>
        <v>0.28999999999999998</v>
      </c>
      <c r="Q82" s="101">
        <f>INDEX('Condenser Water Pumps'!$AA$2:$AI$9,MATCH(M82,'Condenser Water Pumps'!$Y$2:$Y$9,0),MATCH(L82,'Condenser Water Pumps'!$AA$1:$AI$1,0))</f>
        <v>0.28999999999999998</v>
      </c>
      <c r="R82" s="101">
        <f>INDEX('Heating Hot Water Pumps'!$AA$2:$AI$9,MATCH(M82,'Heating Hot Water Pumps'!$Y$2:$Y$9,0),MATCH(L82,'Heating Hot Water Pumps'!$AA$1:$AI$1,0))</f>
        <v>0</v>
      </c>
      <c r="S82" s="119">
        <f>INDEX('Supply Fans'!$AA$2:$AI$14,MATCH(M82,'Supply Fans'!$Y$2:$Y$14,0),MATCH(L82,'Supply Fans'!$AA$1:$AI$1,0))</f>
        <v>0.3</v>
      </c>
    </row>
    <row r="83" spans="2:19" ht="15" thickBot="1">
      <c r="B83" s="95" t="s">
        <v>177</v>
      </c>
      <c r="C83" s="50" t="s">
        <v>209</v>
      </c>
      <c r="D83" s="50" t="s">
        <v>253</v>
      </c>
      <c r="E83" s="83" t="e">
        <f>INDEX('Chilled Water Pumps'!$O$2:$W$9,MATCH('Lookup Table'!C83,'Chilled Water Pumps'!$M$2:$M$9,0),MATCH('Lookup Table'!B83,'Chilled Water Pumps'!$O$1:$W$1,0))</f>
        <v>#N/A</v>
      </c>
      <c r="F83" s="83" t="e">
        <f>INDEX('Cooling Tower Fan'!$O$2:$W$9,MATCH(C83,'Cooling Tower Fan'!$M$2:$M$9,0),MATCH(B83,'Cooling Tower Fan'!$O$1:$W$1,0))</f>
        <v>#N/A</v>
      </c>
      <c r="G83" s="83" t="e">
        <f>INDEX('Condenser Water Pumps'!$O$2:$W$9,MATCH(C83,'Condenser Water Pumps'!$M$2:$M$9,0),MATCH(B83,'Condenser Water Pumps'!$O$1:$W$1,0))</f>
        <v>#N/A</v>
      </c>
      <c r="H83" s="83" t="e">
        <f>INDEX('Heating Hot Water Pumps'!$O$2:$W$9,MATCH(C83,'Heating Hot Water Pumps'!$M$2:$M$9,0),MATCH(B83,'Heating Hot Water Pumps'!$O$1:$W$1,0))</f>
        <v>#N/A</v>
      </c>
      <c r="I83" s="113">
        <f>INDEX('Supply Fans'!$O$2:$W$14,MATCH(C83,'Supply Fans'!$M$2:$M$14,0),MATCH(B83,'Supply Fans'!$O$1:$W$1,0))</f>
        <v>6282</v>
      </c>
      <c r="J83" s="55"/>
      <c r="K83" s="55"/>
      <c r="L83" s="95" t="s">
        <v>177</v>
      </c>
      <c r="M83" s="50" t="s">
        <v>209</v>
      </c>
      <c r="N83" s="83" t="s">
        <v>253</v>
      </c>
      <c r="O83" s="101" t="e">
        <f>INDEX('Chilled Water Pumps'!$AA$2:$AI$9,MATCH('Lookup Table'!M83,'Chilled Water Pumps'!$Y$2:$Y$9,0),MATCH('Lookup Table'!L83,'Chilled Water Pumps'!$AA$1:$AI$1,0))</f>
        <v>#N/A</v>
      </c>
      <c r="P83" s="101" t="e">
        <f>INDEX('Cooling Tower Fan'!$AA$2:$AI$9,MATCH(M83,'Cooling Tower Fan'!$Y$2:$Y$9,0),MATCH(L83,'Cooling Tower Fan'!$AA$1:$AI$1,0))</f>
        <v>#N/A</v>
      </c>
      <c r="Q83" s="101" t="e">
        <f>INDEX('Condenser Water Pumps'!$AA$2:$AI$9,MATCH(M83,'Condenser Water Pumps'!$Y$2:$Y$9,0),MATCH(L83,'Condenser Water Pumps'!$AA$1:$AI$1,0))</f>
        <v>#N/A</v>
      </c>
      <c r="R83" s="101" t="e">
        <f>INDEX('Heating Hot Water Pumps'!$AA$2:$AI$9,MATCH(M83,'Heating Hot Water Pumps'!$Y$2:$Y$9,0),MATCH(L83,'Heating Hot Water Pumps'!$AA$1:$AI$1,0))</f>
        <v>#N/A</v>
      </c>
      <c r="S83" s="119">
        <f>INDEX('Supply Fans'!$AA$2:$AI$14,MATCH(M83,'Supply Fans'!$Y$2:$Y$14,0),MATCH(L83,'Supply Fans'!$AA$1:$AI$1,0))</f>
        <v>0.38</v>
      </c>
    </row>
    <row r="84" spans="2:19" ht="15" thickBot="1">
      <c r="B84" s="95" t="s">
        <v>177</v>
      </c>
      <c r="C84" s="50" t="s">
        <v>210</v>
      </c>
      <c r="D84" s="50" t="s">
        <v>254</v>
      </c>
      <c r="E84" s="83">
        <f>INDEX('Chilled Water Pumps'!$O$2:$W$9,MATCH('Lookup Table'!C84,'Chilled Water Pumps'!$M$2:$M$9,0),MATCH('Lookup Table'!B84,'Chilled Water Pumps'!$O$1:$W$1,0))</f>
        <v>2957</v>
      </c>
      <c r="F84" s="83">
        <f>INDEX('Cooling Tower Fan'!$O$2:$W$9,MATCH(C84,'Cooling Tower Fan'!$M$2:$M$9,0),MATCH(B84,'Cooling Tower Fan'!$O$1:$W$1,0))</f>
        <v>2957</v>
      </c>
      <c r="G84" s="83">
        <f>INDEX('Condenser Water Pumps'!$O$2:$W$9,MATCH(C84,'Condenser Water Pumps'!$M$2:$M$9,0),MATCH(B84,'Condenser Water Pumps'!$O$1:$W$1,0))</f>
        <v>2889</v>
      </c>
      <c r="H84" s="83">
        <f>INDEX('Heating Hot Water Pumps'!$O$2:$W$9,MATCH(C84,'Heating Hot Water Pumps'!$M$2:$M$9,0),MATCH(B84,'Heating Hot Water Pumps'!$O$1:$W$1,0))</f>
        <v>2676</v>
      </c>
      <c r="I84" s="113">
        <f>INDEX('Supply Fans'!$O$2:$W$14,MATCH(C84,'Supply Fans'!$M$2:$M$14,0),MATCH(B84,'Supply Fans'!$O$1:$W$1,0))</f>
        <v>5137</v>
      </c>
      <c r="J84" s="55"/>
      <c r="K84" s="55"/>
      <c r="L84" s="95" t="s">
        <v>177</v>
      </c>
      <c r="M84" s="50" t="s">
        <v>210</v>
      </c>
      <c r="N84" s="83" t="s">
        <v>254</v>
      </c>
      <c r="O84" s="101">
        <f>INDEX('Chilled Water Pumps'!$AA$2:$AI$9,MATCH('Lookup Table'!M84,'Chilled Water Pumps'!$Y$2:$Y$9,0),MATCH('Lookup Table'!L84,'Chilled Water Pumps'!$AA$1:$AI$1,0))</f>
        <v>0.46</v>
      </c>
      <c r="P84" s="101">
        <f>INDEX('Cooling Tower Fan'!$AA$2:$AI$9,MATCH(M84,'Cooling Tower Fan'!$Y$2:$Y$9,0),MATCH(L84,'Cooling Tower Fan'!$AA$1:$AI$1,0))</f>
        <v>0.46</v>
      </c>
      <c r="Q84" s="101">
        <f>INDEX('Condenser Water Pumps'!$AA$2:$AI$9,MATCH(M84,'Condenser Water Pumps'!$Y$2:$Y$9,0),MATCH(L84,'Condenser Water Pumps'!$AA$1:$AI$1,0))</f>
        <v>0.46</v>
      </c>
      <c r="R84" s="101">
        <f>INDEX('Heating Hot Water Pumps'!$AA$2:$AI$9,MATCH(M84,'Heating Hot Water Pumps'!$Y$2:$Y$9,0),MATCH(L84,'Heating Hot Water Pumps'!$AA$1:$AI$1,0))</f>
        <v>0</v>
      </c>
      <c r="S84" s="119">
        <f>INDEX('Supply Fans'!$AA$2:$AI$14,MATCH(M84,'Supply Fans'!$Y$2:$Y$14,0),MATCH(L84,'Supply Fans'!$AA$1:$AI$1,0))</f>
        <v>0.5</v>
      </c>
    </row>
    <row r="85" spans="2:19" ht="15" thickBot="1">
      <c r="B85" s="95" t="s">
        <v>177</v>
      </c>
      <c r="C85" s="50" t="s">
        <v>211</v>
      </c>
      <c r="D85" s="50" t="s">
        <v>255</v>
      </c>
      <c r="E85" s="83" t="e">
        <f>INDEX('Chilled Water Pumps'!$O$2:$W$9,MATCH('Lookup Table'!C85,'Chilled Water Pumps'!$M$2:$M$9,0),MATCH('Lookup Table'!B85,'Chilled Water Pumps'!$O$1:$W$1,0))</f>
        <v>#N/A</v>
      </c>
      <c r="F85" s="83" t="e">
        <f>INDEX('Cooling Tower Fan'!$O$2:$W$9,MATCH(C85,'Cooling Tower Fan'!$M$2:$M$9,0),MATCH(B85,'Cooling Tower Fan'!$O$1:$W$1,0))</f>
        <v>#N/A</v>
      </c>
      <c r="G85" s="83" t="e">
        <f>INDEX('Condenser Water Pumps'!$O$2:$W$9,MATCH(C85,'Condenser Water Pumps'!$M$2:$M$9,0),MATCH(B85,'Condenser Water Pumps'!$O$1:$W$1,0))</f>
        <v>#N/A</v>
      </c>
      <c r="H85" s="83" t="e">
        <f>INDEX('Heating Hot Water Pumps'!$O$2:$W$9,MATCH(C85,'Heating Hot Water Pumps'!$M$2:$M$9,0),MATCH(B85,'Heating Hot Water Pumps'!$O$1:$W$1,0))</f>
        <v>#N/A</v>
      </c>
      <c r="I85" s="113">
        <f>INDEX('Supply Fans'!$O$2:$W$14,MATCH(C85,'Supply Fans'!$M$2:$M$14,0),MATCH(B85,'Supply Fans'!$O$1:$W$1,0))</f>
        <v>5037</v>
      </c>
      <c r="J85" s="55"/>
      <c r="K85" s="55"/>
      <c r="L85" s="95" t="s">
        <v>177</v>
      </c>
      <c r="M85" s="50" t="s">
        <v>211</v>
      </c>
      <c r="N85" s="83" t="s">
        <v>255</v>
      </c>
      <c r="O85" s="101" t="e">
        <f>INDEX('Chilled Water Pumps'!$AA$2:$AI$9,MATCH('Lookup Table'!M85,'Chilled Water Pumps'!$Y$2:$Y$9,0),MATCH('Lookup Table'!L85,'Chilled Water Pumps'!$AA$1:$AI$1,0))</f>
        <v>#N/A</v>
      </c>
      <c r="P85" s="101" t="e">
        <f>INDEX('Cooling Tower Fan'!$AA$2:$AI$9,MATCH(M85,'Cooling Tower Fan'!$Y$2:$Y$9,0),MATCH(L85,'Cooling Tower Fan'!$AA$1:$AI$1,0))</f>
        <v>#N/A</v>
      </c>
      <c r="Q85" s="101" t="e">
        <f>INDEX('Condenser Water Pumps'!$AA$2:$AI$9,MATCH(M85,'Condenser Water Pumps'!$Y$2:$Y$9,0),MATCH(L85,'Condenser Water Pumps'!$AA$1:$AI$1,0))</f>
        <v>#N/A</v>
      </c>
      <c r="R85" s="101" t="e">
        <f>INDEX('Heating Hot Water Pumps'!$AA$2:$AI$9,MATCH(M85,'Heating Hot Water Pumps'!$Y$2:$Y$9,0),MATCH(L85,'Heating Hot Water Pumps'!$AA$1:$AI$1,0))</f>
        <v>#N/A</v>
      </c>
      <c r="S85" s="119">
        <f>INDEX('Supply Fans'!$AA$2:$AI$14,MATCH(M85,'Supply Fans'!$Y$2:$Y$14,0),MATCH(L85,'Supply Fans'!$AA$1:$AI$1,0))</f>
        <v>0.18</v>
      </c>
    </row>
    <row r="86" spans="2:19" ht="15" thickBot="1">
      <c r="B86" s="95" t="s">
        <v>177</v>
      </c>
      <c r="C86" s="50" t="s">
        <v>212</v>
      </c>
      <c r="D86" s="50" t="s">
        <v>256</v>
      </c>
      <c r="E86" s="83" t="e">
        <f>INDEX('Chilled Water Pumps'!$O$2:$W$9,MATCH('Lookup Table'!C86,'Chilled Water Pumps'!$M$2:$M$9,0),MATCH('Lookup Table'!B86,'Chilled Water Pumps'!$O$1:$W$1,0))</f>
        <v>#N/A</v>
      </c>
      <c r="F86" s="83" t="e">
        <f>INDEX('Cooling Tower Fan'!$O$2:$W$9,MATCH(C86,'Cooling Tower Fan'!$M$2:$M$9,0),MATCH(B86,'Cooling Tower Fan'!$O$1:$W$1,0))</f>
        <v>#N/A</v>
      </c>
      <c r="G86" s="83" t="e">
        <f>INDEX('Condenser Water Pumps'!$O$2:$W$9,MATCH(C86,'Condenser Water Pumps'!$M$2:$M$9,0),MATCH(B86,'Condenser Water Pumps'!$O$1:$W$1,0))</f>
        <v>#N/A</v>
      </c>
      <c r="H86" s="83" t="e">
        <f>INDEX('Heating Hot Water Pumps'!$O$2:$W$9,MATCH(C86,'Heating Hot Water Pumps'!$M$2:$M$9,0),MATCH(B86,'Heating Hot Water Pumps'!$O$1:$W$1,0))</f>
        <v>#N/A</v>
      </c>
      <c r="I86" s="113">
        <f>INDEX('Supply Fans'!$O$2:$W$14,MATCH(C86,'Supply Fans'!$M$2:$M$14,0),MATCH(B86,'Supply Fans'!$O$1:$W$1,0))</f>
        <v>4041</v>
      </c>
      <c r="J86" s="55"/>
      <c r="K86" s="55"/>
      <c r="L86" s="95" t="s">
        <v>177</v>
      </c>
      <c r="M86" s="50" t="s">
        <v>212</v>
      </c>
      <c r="N86" s="83" t="s">
        <v>256</v>
      </c>
      <c r="O86" s="101" t="e">
        <f>INDEX('Chilled Water Pumps'!$AA$2:$AI$9,MATCH('Lookup Table'!M86,'Chilled Water Pumps'!$Y$2:$Y$9,0),MATCH('Lookup Table'!L86,'Chilled Water Pumps'!$AA$1:$AI$1,0))</f>
        <v>#N/A</v>
      </c>
      <c r="P86" s="101" t="e">
        <f>INDEX('Cooling Tower Fan'!$AA$2:$AI$9,MATCH(M86,'Cooling Tower Fan'!$Y$2:$Y$9,0),MATCH(L86,'Cooling Tower Fan'!$AA$1:$AI$1,0))</f>
        <v>#N/A</v>
      </c>
      <c r="Q86" s="101" t="e">
        <f>INDEX('Condenser Water Pumps'!$AA$2:$AI$9,MATCH(M86,'Condenser Water Pumps'!$Y$2:$Y$9,0),MATCH(L86,'Condenser Water Pumps'!$AA$1:$AI$1,0))</f>
        <v>#N/A</v>
      </c>
      <c r="R86" s="101" t="e">
        <f>INDEX('Heating Hot Water Pumps'!$AA$2:$AI$9,MATCH(M86,'Heating Hot Water Pumps'!$Y$2:$Y$9,0),MATCH(L86,'Heating Hot Water Pumps'!$AA$1:$AI$1,0))</f>
        <v>#N/A</v>
      </c>
      <c r="S86" s="119">
        <f>INDEX('Supply Fans'!$AA$2:$AI$14,MATCH(M86,'Supply Fans'!$Y$2:$Y$14,0),MATCH(L86,'Supply Fans'!$AA$1:$AI$1,0))</f>
        <v>0.5</v>
      </c>
    </row>
    <row r="87" spans="2:19" ht="15" thickBot="1">
      <c r="B87" s="112" t="s">
        <v>183</v>
      </c>
      <c r="C87" s="83" t="s">
        <v>178</v>
      </c>
      <c r="D87" s="50" t="s">
        <v>257</v>
      </c>
      <c r="E87" s="83">
        <f>INDEX('Chilled Water Pumps'!$O$2:$W$9,MATCH('Lookup Table'!C87,'Chilled Water Pumps'!$M$2:$M$9,0),MATCH('Lookup Table'!B87,'Chilled Water Pumps'!$O$1:$W$1,0))</f>
        <v>3436</v>
      </c>
      <c r="F87" s="83">
        <f>INDEX('Cooling Tower Fan'!$O$2:$W$9,MATCH(C87,'Cooling Tower Fan'!$M$2:$M$9,0),MATCH(B87,'Cooling Tower Fan'!$O$1:$W$1,0))</f>
        <v>3435</v>
      </c>
      <c r="G87" s="83">
        <f>INDEX('Condenser Water Pumps'!$O$2:$W$9,MATCH(C87,'Condenser Water Pumps'!$M$2:$M$9,0),MATCH(B87,'Condenser Water Pumps'!$O$1:$W$1,0))</f>
        <v>2938</v>
      </c>
      <c r="H87" s="83">
        <f>INDEX('Heating Hot Water Pumps'!$O$2:$W$9,MATCH(C87,'Heating Hot Water Pumps'!$M$2:$M$9,0),MATCH(B87,'Heating Hot Water Pumps'!$O$1:$W$1,0))</f>
        <v>5271</v>
      </c>
      <c r="I87" s="113">
        <f>INDEX('Supply Fans'!$O$2:$W$14,MATCH(C87,'Supply Fans'!$M$2:$M$14,0),MATCH(B87,'Supply Fans'!$O$1:$W$1,0))</f>
        <v>6054</v>
      </c>
      <c r="J87" s="55"/>
      <c r="K87" s="55"/>
      <c r="L87" s="112" t="s">
        <v>183</v>
      </c>
      <c r="M87" s="83" t="s">
        <v>178</v>
      </c>
      <c r="N87" s="83" t="s">
        <v>257</v>
      </c>
      <c r="O87" s="101">
        <f>INDEX('Chilled Water Pumps'!$AA$2:$AI$9,MATCH('Lookup Table'!M87,'Chilled Water Pumps'!$Y$2:$Y$9,0),MATCH('Lookup Table'!L87,'Chilled Water Pumps'!$AA$1:$AI$1,0))</f>
        <v>0.27</v>
      </c>
      <c r="P87" s="101">
        <f>INDEX('Cooling Tower Fan'!$AA$2:$AI$9,MATCH(M87,'Cooling Tower Fan'!$Y$2:$Y$9,0),MATCH(L87,'Cooling Tower Fan'!$AA$1:$AI$1,0))</f>
        <v>0.26</v>
      </c>
      <c r="Q87" s="101">
        <f>INDEX('Condenser Water Pumps'!$AA$2:$AI$9,MATCH(M87,'Condenser Water Pumps'!$Y$2:$Y$9,0),MATCH(L87,'Condenser Water Pumps'!$AA$1:$AI$1,0))</f>
        <v>0.26</v>
      </c>
      <c r="R87" s="101">
        <f>INDEX('Heating Hot Water Pumps'!$AA$2:$AI$9,MATCH(M87,'Heating Hot Water Pumps'!$Y$2:$Y$9,0),MATCH(L87,'Heating Hot Water Pumps'!$AA$1:$AI$1,0))</f>
        <v>0.01</v>
      </c>
      <c r="S87" s="119">
        <f>INDEX('Supply Fans'!$AA$2:$AI$14,MATCH(M87,'Supply Fans'!$Y$2:$Y$14,0),MATCH(L87,'Supply Fans'!$AA$1:$AI$1,0))</f>
        <v>0.3</v>
      </c>
    </row>
    <row r="88" spans="2:19" ht="15" thickBot="1">
      <c r="B88" s="112" t="s">
        <v>183</v>
      </c>
      <c r="C88" s="50" t="s">
        <v>184</v>
      </c>
      <c r="D88" s="50" t="s">
        <v>258</v>
      </c>
      <c r="E88" s="83">
        <f>INDEX('Chilled Water Pumps'!$O$2:$W$9,MATCH('Lookup Table'!C88,'Chilled Water Pumps'!$M$2:$M$9,0),MATCH('Lookup Table'!B88,'Chilled Water Pumps'!$O$1:$W$1,0))</f>
        <v>1849</v>
      </c>
      <c r="F88" s="83">
        <f>INDEX('Cooling Tower Fan'!$O$2:$W$9,MATCH(C88,'Cooling Tower Fan'!$M$2:$M$9,0),MATCH(B88,'Cooling Tower Fan'!$O$1:$W$1,0))</f>
        <v>1851</v>
      </c>
      <c r="G88" s="83">
        <f>INDEX('Condenser Water Pumps'!$O$2:$W$9,MATCH(C88,'Condenser Water Pumps'!$M$2:$M$9,0),MATCH(B88,'Condenser Water Pumps'!$O$1:$W$1,0))</f>
        <v>1733</v>
      </c>
      <c r="H88" s="83">
        <f>INDEX('Heating Hot Water Pumps'!$O$2:$W$9,MATCH(C88,'Heating Hot Water Pumps'!$M$2:$M$9,0),MATCH(B88,'Heating Hot Water Pumps'!$O$1:$W$1,0))</f>
        <v>4251</v>
      </c>
      <c r="I88" s="113">
        <f>INDEX('Supply Fans'!$O$2:$W$14,MATCH(C88,'Supply Fans'!$M$2:$M$14,0),MATCH(B88,'Supply Fans'!$O$1:$W$1,0))</f>
        <v>4583</v>
      </c>
      <c r="J88" s="55"/>
      <c r="K88" s="55"/>
      <c r="L88" s="112" t="s">
        <v>183</v>
      </c>
      <c r="M88" s="50" t="s">
        <v>184</v>
      </c>
      <c r="N88" s="83" t="s">
        <v>258</v>
      </c>
      <c r="O88" s="101">
        <f>INDEX('Chilled Water Pumps'!$AA$2:$AI$9,MATCH('Lookup Table'!M88,'Chilled Water Pumps'!$Y$2:$Y$9,0),MATCH('Lookup Table'!L88,'Chilled Water Pumps'!$AA$1:$AI$1,0))</f>
        <v>0.08</v>
      </c>
      <c r="P88" s="101">
        <f>INDEX('Cooling Tower Fan'!$AA$2:$AI$9,MATCH(M88,'Cooling Tower Fan'!$Y$2:$Y$9,0),MATCH(L88,'Cooling Tower Fan'!$AA$1:$AI$1,0))</f>
        <v>0.08</v>
      </c>
      <c r="Q88" s="101">
        <f>INDEX('Condenser Water Pumps'!$AA$2:$AI$9,MATCH(M88,'Condenser Water Pumps'!$Y$2:$Y$9,0),MATCH(L88,'Condenser Water Pumps'!$AA$1:$AI$1,0))</f>
        <v>0.08</v>
      </c>
      <c r="R88" s="101">
        <f>INDEX('Heating Hot Water Pumps'!$AA$2:$AI$9,MATCH(M88,'Heating Hot Water Pumps'!$Y$2:$Y$9,0),MATCH(L88,'Heating Hot Water Pumps'!$AA$1:$AI$1,0))</f>
        <v>0</v>
      </c>
      <c r="S88" s="119">
        <f>INDEX('Supply Fans'!$AA$2:$AI$14,MATCH(M88,'Supply Fans'!$Y$2:$Y$14,0),MATCH(L88,'Supply Fans'!$AA$1:$AI$1,0))</f>
        <v>0.08</v>
      </c>
    </row>
    <row r="89" spans="2:19" ht="15" thickBot="1">
      <c r="B89" s="112" t="s">
        <v>183</v>
      </c>
      <c r="C89" s="50" t="s">
        <v>190</v>
      </c>
      <c r="D89" s="50" t="s">
        <v>259</v>
      </c>
      <c r="E89" s="83" t="e">
        <f>INDEX('Chilled Water Pumps'!$O$2:$W$9,MATCH('Lookup Table'!C89,'Chilled Water Pumps'!$M$2:$M$9,0),MATCH('Lookup Table'!B89,'Chilled Water Pumps'!$O$1:$W$1,0))</f>
        <v>#N/A</v>
      </c>
      <c r="F89" s="83" t="e">
        <f>INDEX('Cooling Tower Fan'!$O$2:$W$9,MATCH(C89,'Cooling Tower Fan'!$M$2:$M$9,0),MATCH(B89,'Cooling Tower Fan'!$O$1:$W$1,0))</f>
        <v>#N/A</v>
      </c>
      <c r="G89" s="83" t="e">
        <f>INDEX('Condenser Water Pumps'!$O$2:$W$9,MATCH(C89,'Condenser Water Pumps'!$M$2:$M$9,0),MATCH(B89,'Condenser Water Pumps'!$O$1:$W$1,0))</f>
        <v>#N/A</v>
      </c>
      <c r="H89" s="83" t="e">
        <f>INDEX('Heating Hot Water Pumps'!$O$2:$W$9,MATCH(C89,'Heating Hot Water Pumps'!$M$2:$M$9,0),MATCH(B89,'Heating Hot Water Pumps'!$O$1:$W$1,0))</f>
        <v>#N/A</v>
      </c>
      <c r="I89" s="113">
        <f>INDEX('Supply Fans'!$O$2:$W$14,MATCH(C89,'Supply Fans'!$M$2:$M$14,0),MATCH(B89,'Supply Fans'!$O$1:$W$1,0))</f>
        <v>6764</v>
      </c>
      <c r="J89" s="55"/>
      <c r="K89" s="55"/>
      <c r="L89" s="112" t="s">
        <v>183</v>
      </c>
      <c r="M89" s="50" t="s">
        <v>190</v>
      </c>
      <c r="N89" s="83" t="s">
        <v>259</v>
      </c>
      <c r="O89" s="101" t="e">
        <f>INDEX('Chilled Water Pumps'!$AA$2:$AI$9,MATCH('Lookup Table'!M89,'Chilled Water Pumps'!$Y$2:$Y$9,0),MATCH('Lookup Table'!L89,'Chilled Water Pumps'!$AA$1:$AI$1,0))</f>
        <v>#N/A</v>
      </c>
      <c r="P89" s="101" t="e">
        <f>INDEX('Cooling Tower Fan'!$AA$2:$AI$9,MATCH(M89,'Cooling Tower Fan'!$Y$2:$Y$9,0),MATCH(L89,'Cooling Tower Fan'!$AA$1:$AI$1,0))</f>
        <v>#N/A</v>
      </c>
      <c r="Q89" s="101" t="e">
        <f>INDEX('Condenser Water Pumps'!$AA$2:$AI$9,MATCH(M89,'Condenser Water Pumps'!$Y$2:$Y$9,0),MATCH(L89,'Condenser Water Pumps'!$AA$1:$AI$1,0))</f>
        <v>#N/A</v>
      </c>
      <c r="R89" s="101" t="e">
        <f>INDEX('Heating Hot Water Pumps'!$AA$2:$AI$9,MATCH(M89,'Heating Hot Water Pumps'!$Y$2:$Y$9,0),MATCH(L89,'Heating Hot Water Pumps'!$AA$1:$AI$1,0))</f>
        <v>#N/A</v>
      </c>
      <c r="S89" s="119">
        <f>INDEX('Supply Fans'!$AA$2:$AI$14,MATCH(M89,'Supply Fans'!$Y$2:$Y$14,0),MATCH(L89,'Supply Fans'!$AA$1:$AI$1,0))</f>
        <v>0.21</v>
      </c>
    </row>
    <row r="90" spans="2:19" ht="15" thickBot="1">
      <c r="B90" s="112" t="s">
        <v>183</v>
      </c>
      <c r="C90" s="50" t="s">
        <v>195</v>
      </c>
      <c r="D90" s="50" t="s">
        <v>260</v>
      </c>
      <c r="E90" s="83">
        <f>INDEX('Chilled Water Pumps'!$O$2:$W$9,MATCH('Lookup Table'!C90,'Chilled Water Pumps'!$M$2:$M$9,0),MATCH('Lookup Table'!B90,'Chilled Water Pumps'!$O$1:$W$1,0))</f>
        <v>4801</v>
      </c>
      <c r="F90" s="83">
        <f>INDEX('Cooling Tower Fan'!$O$2:$W$9,MATCH(C90,'Cooling Tower Fan'!$M$2:$M$9,0),MATCH(B90,'Cooling Tower Fan'!$O$1:$W$1,0))</f>
        <v>4798</v>
      </c>
      <c r="G90" s="83">
        <f>INDEX('Condenser Water Pumps'!$O$2:$W$9,MATCH(C90,'Condenser Water Pumps'!$M$2:$M$9,0),MATCH(B90,'Condenser Water Pumps'!$O$1:$W$1,0))</f>
        <v>3546</v>
      </c>
      <c r="H90" s="83">
        <f>INDEX('Heating Hot Water Pumps'!$O$2:$W$9,MATCH(C90,'Heating Hot Water Pumps'!$M$2:$M$9,0),MATCH(B90,'Heating Hot Water Pumps'!$O$1:$W$1,0))</f>
        <v>8760</v>
      </c>
      <c r="I90" s="113">
        <f>INDEX('Supply Fans'!$O$2:$W$14,MATCH(C90,'Supply Fans'!$M$2:$M$14,0),MATCH(B90,'Supply Fans'!$O$1:$W$1,0))</f>
        <v>8760</v>
      </c>
      <c r="J90" s="55"/>
      <c r="K90" s="55"/>
      <c r="L90" s="112" t="s">
        <v>183</v>
      </c>
      <c r="M90" s="50" t="s">
        <v>195</v>
      </c>
      <c r="N90" s="83" t="s">
        <v>260</v>
      </c>
      <c r="O90" s="101">
        <f>INDEX('Chilled Water Pumps'!$AA$2:$AI$9,MATCH('Lookup Table'!M90,'Chilled Water Pumps'!$Y$2:$Y$9,0),MATCH('Lookup Table'!L90,'Chilled Water Pumps'!$AA$1:$AI$1,0))</f>
        <v>0.38</v>
      </c>
      <c r="P90" s="101">
        <f>INDEX('Cooling Tower Fan'!$AA$2:$AI$9,MATCH(M90,'Cooling Tower Fan'!$Y$2:$Y$9,0),MATCH(L90,'Cooling Tower Fan'!$AA$1:$AI$1,0))</f>
        <v>0.37</v>
      </c>
      <c r="Q90" s="101">
        <f>INDEX('Condenser Water Pumps'!$AA$2:$AI$9,MATCH(M90,'Condenser Water Pumps'!$Y$2:$Y$9,0),MATCH(L90,'Condenser Water Pumps'!$AA$1:$AI$1,0))</f>
        <v>0.37</v>
      </c>
      <c r="R90" s="101">
        <f>INDEX('Heating Hot Water Pumps'!$AA$2:$AI$9,MATCH(M90,'Heating Hot Water Pumps'!$Y$2:$Y$9,0),MATCH(L90,'Heating Hot Water Pumps'!$AA$1:$AI$1,0))</f>
        <v>0.09</v>
      </c>
      <c r="S90" s="119">
        <f>INDEX('Supply Fans'!$AA$2:$AI$14,MATCH(M90,'Supply Fans'!$Y$2:$Y$14,0),MATCH(L90,'Supply Fans'!$AA$1:$AI$1,0))</f>
        <v>0.24</v>
      </c>
    </row>
    <row r="91" spans="2:19" ht="15" thickBot="1">
      <c r="B91" s="112" t="s">
        <v>183</v>
      </c>
      <c r="C91" s="50" t="s">
        <v>198</v>
      </c>
      <c r="D91" s="50" t="s">
        <v>261</v>
      </c>
      <c r="E91" s="83">
        <f>INDEX('Chilled Water Pumps'!$O$2:$W$9,MATCH('Lookup Table'!C91,'Chilled Water Pumps'!$M$2:$M$9,0),MATCH('Lookup Table'!B91,'Chilled Water Pumps'!$O$1:$W$1,0))</f>
        <v>3093</v>
      </c>
      <c r="F91" s="83">
        <f>INDEX('Cooling Tower Fan'!$O$2:$W$9,MATCH(C91,'Cooling Tower Fan'!$M$2:$M$9,0),MATCH(B91,'Cooling Tower Fan'!$O$1:$W$1,0))</f>
        <v>3093</v>
      </c>
      <c r="G91" s="83">
        <f>INDEX('Condenser Water Pumps'!$O$2:$W$9,MATCH(C91,'Condenser Water Pumps'!$M$2:$M$9,0),MATCH(B91,'Condenser Water Pumps'!$O$1:$W$1,0))</f>
        <v>3100</v>
      </c>
      <c r="H91" s="83">
        <f>INDEX('Heating Hot Water Pumps'!$O$2:$W$9,MATCH(C91,'Heating Hot Water Pumps'!$M$2:$M$9,0),MATCH(B91,'Heating Hot Water Pumps'!$O$1:$W$1,0))</f>
        <v>6627</v>
      </c>
      <c r="I91" s="113">
        <f>INDEX('Supply Fans'!$O$2:$W$14,MATCH(C91,'Supply Fans'!$M$2:$M$14,0),MATCH(B91,'Supply Fans'!$O$1:$W$1,0))</f>
        <v>8760</v>
      </c>
      <c r="J91" s="55"/>
      <c r="K91" s="55"/>
      <c r="L91" s="112" t="s">
        <v>183</v>
      </c>
      <c r="M91" s="50" t="s">
        <v>198</v>
      </c>
      <c r="N91" s="83" t="s">
        <v>261</v>
      </c>
      <c r="O91" s="101">
        <f>INDEX('Chilled Water Pumps'!$AA$2:$AI$9,MATCH('Lookup Table'!M91,'Chilled Water Pumps'!$Y$2:$Y$9,0),MATCH('Lookup Table'!L91,'Chilled Water Pumps'!$AA$1:$AI$1,0))</f>
        <v>0.2</v>
      </c>
      <c r="P91" s="101">
        <f>INDEX('Cooling Tower Fan'!$AA$2:$AI$9,MATCH(M91,'Cooling Tower Fan'!$Y$2:$Y$9,0),MATCH(L91,'Cooling Tower Fan'!$AA$1:$AI$1,0))</f>
        <v>0.2</v>
      </c>
      <c r="Q91" s="101">
        <f>INDEX('Condenser Water Pumps'!$AA$2:$AI$9,MATCH(M91,'Condenser Water Pumps'!$Y$2:$Y$9,0),MATCH(L91,'Condenser Water Pumps'!$AA$1:$AI$1,0))</f>
        <v>0.2</v>
      </c>
      <c r="R91" s="101">
        <f>INDEX('Heating Hot Water Pumps'!$AA$2:$AI$9,MATCH(M91,'Heating Hot Water Pumps'!$Y$2:$Y$9,0),MATCH(L91,'Heating Hot Water Pumps'!$AA$1:$AI$1,0))</f>
        <v>0</v>
      </c>
      <c r="S91" s="119">
        <f>INDEX('Supply Fans'!$AA$2:$AI$14,MATCH(M91,'Supply Fans'!$Y$2:$Y$14,0),MATCH(L91,'Supply Fans'!$AA$1:$AI$1,0))</f>
        <v>0.21</v>
      </c>
    </row>
    <row r="92" spans="2:19" ht="15" thickBot="1">
      <c r="B92" s="112" t="s">
        <v>183</v>
      </c>
      <c r="C92" s="50" t="s">
        <v>201</v>
      </c>
      <c r="D92" s="50" t="s">
        <v>262</v>
      </c>
      <c r="E92" s="83">
        <f>INDEX('Chilled Water Pumps'!$O$2:$W$9,MATCH('Lookup Table'!C92,'Chilled Water Pumps'!$M$2:$M$9,0),MATCH('Lookup Table'!B92,'Chilled Water Pumps'!$O$1:$W$1,0))</f>
        <v>1306</v>
      </c>
      <c r="F92" s="83">
        <f>INDEX('Cooling Tower Fan'!$O$2:$W$9,MATCH(C92,'Cooling Tower Fan'!$M$2:$M$9,0),MATCH(B92,'Cooling Tower Fan'!$O$1:$W$1,0))</f>
        <v>1306</v>
      </c>
      <c r="G92" s="83">
        <f>INDEX('Condenser Water Pumps'!$O$2:$W$9,MATCH(C92,'Condenser Water Pumps'!$M$2:$M$9,0),MATCH(B92,'Condenser Water Pumps'!$O$1:$W$1,0))</f>
        <v>1305</v>
      </c>
      <c r="H92" s="83">
        <f>INDEX('Heating Hot Water Pumps'!$O$2:$W$9,MATCH(C92,'Heating Hot Water Pumps'!$M$2:$M$9,0),MATCH(B92,'Heating Hot Water Pumps'!$O$1:$W$1,0))</f>
        <v>1684</v>
      </c>
      <c r="I92" s="113">
        <f>INDEX('Supply Fans'!$O$2:$W$14,MATCH(C92,'Supply Fans'!$M$2:$M$14,0),MATCH(B92,'Supply Fans'!$O$1:$W$1,0))</f>
        <v>3981</v>
      </c>
      <c r="J92" s="55"/>
      <c r="K92" s="55"/>
      <c r="L92" s="112" t="s">
        <v>183</v>
      </c>
      <c r="M92" s="50" t="s">
        <v>201</v>
      </c>
      <c r="N92" s="83" t="s">
        <v>262</v>
      </c>
      <c r="O92" s="101">
        <f>INDEX('Chilled Water Pumps'!$AA$2:$AI$9,MATCH('Lookup Table'!M92,'Chilled Water Pumps'!$Y$2:$Y$9,0),MATCH('Lookup Table'!L92,'Chilled Water Pumps'!$AA$1:$AI$1,0))</f>
        <v>0.4</v>
      </c>
      <c r="P92" s="101">
        <f>INDEX('Cooling Tower Fan'!$AA$2:$AI$9,MATCH(M92,'Cooling Tower Fan'!$Y$2:$Y$9,0),MATCH(L92,'Cooling Tower Fan'!$AA$1:$AI$1,0))</f>
        <v>0.4</v>
      </c>
      <c r="Q92" s="101">
        <f>INDEX('Condenser Water Pumps'!$AA$2:$AI$9,MATCH(M92,'Condenser Water Pumps'!$Y$2:$Y$9,0),MATCH(L92,'Condenser Water Pumps'!$AA$1:$AI$1,0))</f>
        <v>0.4</v>
      </c>
      <c r="R92" s="101">
        <f>INDEX('Heating Hot Water Pumps'!$AA$2:$AI$9,MATCH(M92,'Heating Hot Water Pumps'!$Y$2:$Y$9,0),MATCH(L92,'Heating Hot Water Pumps'!$AA$1:$AI$1,0))</f>
        <v>0</v>
      </c>
      <c r="S92" s="119">
        <f>INDEX('Supply Fans'!$AA$2:$AI$14,MATCH(M92,'Supply Fans'!$Y$2:$Y$14,0),MATCH(L92,'Supply Fans'!$AA$1:$AI$1,0))</f>
        <v>0.34</v>
      </c>
    </row>
    <row r="93" spans="2:19" ht="15" thickBot="1">
      <c r="B93" s="112" t="s">
        <v>183</v>
      </c>
      <c r="C93" s="50" t="s">
        <v>203</v>
      </c>
      <c r="D93" s="50" t="s">
        <v>263</v>
      </c>
      <c r="E93" s="83" t="e">
        <f>INDEX('Chilled Water Pumps'!$O$2:$W$9,MATCH('Lookup Table'!C93,'Chilled Water Pumps'!$M$2:$M$9,0),MATCH('Lookup Table'!B93,'Chilled Water Pumps'!$O$1:$W$1,0))</f>
        <v>#N/A</v>
      </c>
      <c r="F93" s="83" t="e">
        <f>INDEX('Cooling Tower Fan'!$O$2:$W$9,MATCH(C93,'Cooling Tower Fan'!$M$2:$M$9,0),MATCH(B93,'Cooling Tower Fan'!$O$1:$W$1,0))</f>
        <v>#N/A</v>
      </c>
      <c r="G93" s="83" t="e">
        <f>INDEX('Condenser Water Pumps'!$O$2:$W$9,MATCH(C93,'Condenser Water Pumps'!$M$2:$M$9,0),MATCH(B93,'Condenser Water Pumps'!$O$1:$W$1,0))</f>
        <v>#N/A</v>
      </c>
      <c r="H93" s="83" t="e">
        <f>INDEX('Heating Hot Water Pumps'!$O$2:$W$9,MATCH(C93,'Heating Hot Water Pumps'!$M$2:$M$9,0),MATCH(B93,'Heating Hot Water Pumps'!$O$1:$W$1,0))</f>
        <v>#N/A</v>
      </c>
      <c r="I93" s="113">
        <f>INDEX('Supply Fans'!$O$2:$W$14,MATCH(C93,'Supply Fans'!$M$2:$M$14,0),MATCH(B93,'Supply Fans'!$O$1:$W$1,0))</f>
        <v>5223</v>
      </c>
      <c r="J93" s="55"/>
      <c r="K93" s="55"/>
      <c r="L93" s="112" t="s">
        <v>183</v>
      </c>
      <c r="M93" s="50" t="s">
        <v>203</v>
      </c>
      <c r="N93" s="83" t="s">
        <v>263</v>
      </c>
      <c r="O93" s="101" t="e">
        <f>INDEX('Chilled Water Pumps'!$AA$2:$AI$9,MATCH('Lookup Table'!M93,'Chilled Water Pumps'!$Y$2:$Y$9,0),MATCH('Lookup Table'!L93,'Chilled Water Pumps'!$AA$1:$AI$1,0))</f>
        <v>#N/A</v>
      </c>
      <c r="P93" s="101" t="e">
        <f>INDEX('Cooling Tower Fan'!$AA$2:$AI$9,MATCH(M93,'Cooling Tower Fan'!$Y$2:$Y$9,0),MATCH(L93,'Cooling Tower Fan'!$AA$1:$AI$1,0))</f>
        <v>#N/A</v>
      </c>
      <c r="Q93" s="101" t="e">
        <f>INDEX('Condenser Water Pumps'!$AA$2:$AI$9,MATCH(M93,'Condenser Water Pumps'!$Y$2:$Y$9,0),MATCH(L93,'Condenser Water Pumps'!$AA$1:$AI$1,0))</f>
        <v>#N/A</v>
      </c>
      <c r="R93" s="101" t="e">
        <f>INDEX('Heating Hot Water Pumps'!$AA$2:$AI$9,MATCH(M93,'Heating Hot Water Pumps'!$Y$2:$Y$9,0),MATCH(L93,'Heating Hot Water Pumps'!$AA$1:$AI$1,0))</f>
        <v>#N/A</v>
      </c>
      <c r="S93" s="119">
        <f>INDEX('Supply Fans'!$AA$2:$AI$14,MATCH(M93,'Supply Fans'!$Y$2:$Y$14,0),MATCH(L93,'Supply Fans'!$AA$1:$AI$1,0))</f>
        <v>0.38</v>
      </c>
    </row>
    <row r="94" spans="2:19" ht="15" thickBot="1">
      <c r="B94" s="112" t="s">
        <v>183</v>
      </c>
      <c r="C94" s="50" t="s">
        <v>205</v>
      </c>
      <c r="D94" s="50" t="s">
        <v>264</v>
      </c>
      <c r="E94" s="83">
        <f>INDEX('Chilled Water Pumps'!$O$2:$W$9,MATCH('Lookup Table'!C94,'Chilled Water Pumps'!$M$2:$M$9,0),MATCH('Lookup Table'!B94,'Chilled Water Pumps'!$O$1:$W$1,0))</f>
        <v>5042</v>
      </c>
      <c r="F94" s="83">
        <f>INDEX('Cooling Tower Fan'!$O$2:$W$9,MATCH(C94,'Cooling Tower Fan'!$M$2:$M$9,0),MATCH(B94,'Cooling Tower Fan'!$O$1:$W$1,0))</f>
        <v>5039</v>
      </c>
      <c r="G94" s="83">
        <f>INDEX('Condenser Water Pumps'!$O$2:$W$9,MATCH(C94,'Condenser Water Pumps'!$M$2:$M$9,0),MATCH(B94,'Condenser Water Pumps'!$O$1:$W$1,0))</f>
        <v>4591</v>
      </c>
      <c r="H94" s="83">
        <f>INDEX('Heating Hot Water Pumps'!$O$2:$W$9,MATCH(C94,'Heating Hot Water Pumps'!$M$2:$M$9,0),MATCH(B94,'Heating Hot Water Pumps'!$O$1:$W$1,0))</f>
        <v>7072</v>
      </c>
      <c r="I94" s="113">
        <f>INDEX('Supply Fans'!$O$2:$W$14,MATCH(C94,'Supply Fans'!$M$2:$M$14,0),MATCH(B94,'Supply Fans'!$O$1:$W$1,0))</f>
        <v>8760</v>
      </c>
      <c r="J94" s="55"/>
      <c r="K94" s="55"/>
      <c r="L94" s="112" t="s">
        <v>183</v>
      </c>
      <c r="M94" s="50" t="s">
        <v>205</v>
      </c>
      <c r="N94" s="83" t="s">
        <v>264</v>
      </c>
      <c r="O94" s="101">
        <f>INDEX('Chilled Water Pumps'!$AA$2:$AI$9,MATCH('Lookup Table'!M94,'Chilled Water Pumps'!$Y$2:$Y$9,0),MATCH('Lookup Table'!L94,'Chilled Water Pumps'!$AA$1:$AI$1,0))</f>
        <v>0.57999999999999996</v>
      </c>
      <c r="P94" s="101">
        <f>INDEX('Cooling Tower Fan'!$AA$2:$AI$9,MATCH(M94,'Cooling Tower Fan'!$Y$2:$Y$9,0),MATCH(L94,'Cooling Tower Fan'!$AA$1:$AI$1,0))</f>
        <v>0.57999999999999996</v>
      </c>
      <c r="Q94" s="101">
        <f>INDEX('Condenser Water Pumps'!$AA$2:$AI$9,MATCH(M94,'Condenser Water Pumps'!$Y$2:$Y$9,0),MATCH(L94,'Condenser Water Pumps'!$AA$1:$AI$1,0))</f>
        <v>0.57999999999999996</v>
      </c>
      <c r="R94" s="101">
        <f>INDEX('Heating Hot Water Pumps'!$AA$2:$AI$9,MATCH(M94,'Heating Hot Water Pumps'!$Y$2:$Y$9,0),MATCH(L94,'Heating Hot Water Pumps'!$AA$1:$AI$1,0))</f>
        <v>0</v>
      </c>
      <c r="S94" s="119">
        <f>INDEX('Supply Fans'!$AA$2:$AI$14,MATCH(M94,'Supply Fans'!$Y$2:$Y$14,0),MATCH(L94,'Supply Fans'!$AA$1:$AI$1,0))</f>
        <v>0.64</v>
      </c>
    </row>
    <row r="95" spans="2:19" ht="15" thickBot="1">
      <c r="B95" s="112" t="s">
        <v>183</v>
      </c>
      <c r="C95" s="50" t="s">
        <v>208</v>
      </c>
      <c r="D95" s="50" t="s">
        <v>265</v>
      </c>
      <c r="E95" s="83">
        <f>INDEX('Chilled Water Pumps'!$O$2:$W$9,MATCH('Lookup Table'!C95,'Chilled Water Pumps'!$M$2:$M$9,0),MATCH('Lookup Table'!B95,'Chilled Water Pumps'!$O$1:$W$1,0))</f>
        <v>1402</v>
      </c>
      <c r="F95" s="83">
        <f>INDEX('Cooling Tower Fan'!$O$2:$W$9,MATCH(C95,'Cooling Tower Fan'!$M$2:$M$9,0),MATCH(B95,'Cooling Tower Fan'!$O$1:$W$1,0))</f>
        <v>1402</v>
      </c>
      <c r="G95" s="83">
        <f>INDEX('Condenser Water Pumps'!$O$2:$W$9,MATCH(C95,'Condenser Water Pumps'!$M$2:$M$9,0),MATCH(B95,'Condenser Water Pumps'!$O$1:$W$1,0))</f>
        <v>1389</v>
      </c>
      <c r="H95" s="83">
        <f>INDEX('Heating Hot Water Pumps'!$O$2:$W$9,MATCH(C95,'Heating Hot Water Pumps'!$M$2:$M$9,0),MATCH(B95,'Heating Hot Water Pumps'!$O$1:$W$1,0))</f>
        <v>3876</v>
      </c>
      <c r="I95" s="113">
        <f>INDEX('Supply Fans'!$O$2:$W$14,MATCH(C95,'Supply Fans'!$M$2:$M$14,0),MATCH(B95,'Supply Fans'!$O$1:$W$1,0))</f>
        <v>4473</v>
      </c>
      <c r="J95" s="55"/>
      <c r="K95" s="55"/>
      <c r="L95" s="112" t="s">
        <v>183</v>
      </c>
      <c r="M95" s="50" t="s">
        <v>208</v>
      </c>
      <c r="N95" s="83" t="s">
        <v>265</v>
      </c>
      <c r="O95" s="101">
        <f>INDEX('Chilled Water Pumps'!$AA$2:$AI$9,MATCH('Lookup Table'!M95,'Chilled Water Pumps'!$Y$2:$Y$9,0),MATCH('Lookup Table'!L95,'Chilled Water Pumps'!$AA$1:$AI$1,0))</f>
        <v>0.25</v>
      </c>
      <c r="P95" s="101">
        <f>INDEX('Cooling Tower Fan'!$AA$2:$AI$9,MATCH(M95,'Cooling Tower Fan'!$Y$2:$Y$9,0),MATCH(L95,'Cooling Tower Fan'!$AA$1:$AI$1,0))</f>
        <v>0.25</v>
      </c>
      <c r="Q95" s="101">
        <f>INDEX('Condenser Water Pumps'!$AA$2:$AI$9,MATCH(M95,'Condenser Water Pumps'!$Y$2:$Y$9,0),MATCH(L95,'Condenser Water Pumps'!$AA$1:$AI$1,0))</f>
        <v>0.25</v>
      </c>
      <c r="R95" s="101">
        <f>INDEX('Heating Hot Water Pumps'!$AA$2:$AI$9,MATCH(M95,'Heating Hot Water Pumps'!$Y$2:$Y$9,0),MATCH(L95,'Heating Hot Water Pumps'!$AA$1:$AI$1,0))</f>
        <v>0</v>
      </c>
      <c r="S95" s="119">
        <f>INDEX('Supply Fans'!$AA$2:$AI$14,MATCH(M95,'Supply Fans'!$Y$2:$Y$14,0),MATCH(L95,'Supply Fans'!$AA$1:$AI$1,0))</f>
        <v>0.26</v>
      </c>
    </row>
    <row r="96" spans="2:19" ht="15" thickBot="1">
      <c r="B96" s="112" t="s">
        <v>183</v>
      </c>
      <c r="C96" s="50" t="s">
        <v>209</v>
      </c>
      <c r="D96" s="50" t="s">
        <v>266</v>
      </c>
      <c r="E96" s="83" t="e">
        <f>INDEX('Chilled Water Pumps'!$O$2:$W$9,MATCH('Lookup Table'!C96,'Chilled Water Pumps'!$M$2:$M$9,0),MATCH('Lookup Table'!B96,'Chilled Water Pumps'!$O$1:$W$1,0))</f>
        <v>#N/A</v>
      </c>
      <c r="F96" s="83" t="e">
        <f>INDEX('Cooling Tower Fan'!$O$2:$W$9,MATCH(C96,'Cooling Tower Fan'!$M$2:$M$9,0),MATCH(B96,'Cooling Tower Fan'!$O$1:$W$1,0))</f>
        <v>#N/A</v>
      </c>
      <c r="G96" s="83" t="e">
        <f>INDEX('Condenser Water Pumps'!$O$2:$W$9,MATCH(C96,'Condenser Water Pumps'!$M$2:$M$9,0),MATCH(B96,'Condenser Water Pumps'!$O$1:$W$1,0))</f>
        <v>#N/A</v>
      </c>
      <c r="H96" s="83" t="e">
        <f>INDEX('Heating Hot Water Pumps'!$O$2:$W$9,MATCH(C96,'Heating Hot Water Pumps'!$M$2:$M$9,0),MATCH(B96,'Heating Hot Water Pumps'!$O$1:$W$1,0))</f>
        <v>#N/A</v>
      </c>
      <c r="I96" s="113">
        <f>INDEX('Supply Fans'!$O$2:$W$14,MATCH(C96,'Supply Fans'!$M$2:$M$14,0),MATCH(B96,'Supply Fans'!$O$1:$W$1,0))</f>
        <v>2680</v>
      </c>
      <c r="J96" s="55"/>
      <c r="K96" s="55"/>
      <c r="L96" s="112" t="s">
        <v>183</v>
      </c>
      <c r="M96" s="50" t="s">
        <v>209</v>
      </c>
      <c r="N96" s="83" t="s">
        <v>266</v>
      </c>
      <c r="O96" s="101" t="e">
        <f>INDEX('Chilled Water Pumps'!$AA$2:$AI$9,MATCH('Lookup Table'!M96,'Chilled Water Pumps'!$Y$2:$Y$9,0),MATCH('Lookup Table'!L96,'Chilled Water Pumps'!$AA$1:$AI$1,0))</f>
        <v>#N/A</v>
      </c>
      <c r="P96" s="101" t="e">
        <f>INDEX('Cooling Tower Fan'!$AA$2:$AI$9,MATCH(M96,'Cooling Tower Fan'!$Y$2:$Y$9,0),MATCH(L96,'Cooling Tower Fan'!$AA$1:$AI$1,0))</f>
        <v>#N/A</v>
      </c>
      <c r="Q96" s="101" t="e">
        <f>INDEX('Condenser Water Pumps'!$AA$2:$AI$9,MATCH(M96,'Condenser Water Pumps'!$Y$2:$Y$9,0),MATCH(L96,'Condenser Water Pumps'!$AA$1:$AI$1,0))</f>
        <v>#N/A</v>
      </c>
      <c r="R96" s="101" t="e">
        <f>INDEX('Heating Hot Water Pumps'!$AA$2:$AI$9,MATCH(M96,'Heating Hot Water Pumps'!$Y$2:$Y$9,0),MATCH(L96,'Heating Hot Water Pumps'!$AA$1:$AI$1,0))</f>
        <v>#N/A</v>
      </c>
      <c r="S96" s="119">
        <f>INDEX('Supply Fans'!$AA$2:$AI$14,MATCH(M96,'Supply Fans'!$Y$2:$Y$14,0),MATCH(L96,'Supply Fans'!$AA$1:$AI$1,0))</f>
        <v>0.19</v>
      </c>
    </row>
    <row r="97" spans="2:19" ht="15" thickBot="1">
      <c r="B97" s="112" t="s">
        <v>183</v>
      </c>
      <c r="C97" s="50" t="s">
        <v>210</v>
      </c>
      <c r="D97" s="50" t="s">
        <v>267</v>
      </c>
      <c r="E97" s="83">
        <f>INDEX('Chilled Water Pumps'!$O$2:$W$9,MATCH('Lookup Table'!C97,'Chilled Water Pumps'!$M$2:$M$9,0),MATCH('Lookup Table'!B97,'Chilled Water Pumps'!$O$1:$W$1,0))</f>
        <v>2416</v>
      </c>
      <c r="F97" s="83">
        <f>INDEX('Cooling Tower Fan'!$O$2:$W$9,MATCH(C97,'Cooling Tower Fan'!$M$2:$M$9,0),MATCH(B97,'Cooling Tower Fan'!$O$1:$W$1,0))</f>
        <v>2416</v>
      </c>
      <c r="G97" s="83">
        <f>INDEX('Condenser Water Pumps'!$O$2:$W$9,MATCH(C97,'Condenser Water Pumps'!$M$2:$M$9,0),MATCH(B97,'Condenser Water Pumps'!$O$1:$W$1,0))</f>
        <v>2381</v>
      </c>
      <c r="H97" s="83">
        <f>INDEX('Heating Hot Water Pumps'!$O$2:$W$9,MATCH(C97,'Heating Hot Water Pumps'!$M$2:$M$9,0),MATCH(B97,'Heating Hot Water Pumps'!$O$1:$W$1,0))</f>
        <v>3183</v>
      </c>
      <c r="I97" s="113">
        <f>INDEX('Supply Fans'!$O$2:$W$14,MATCH(C97,'Supply Fans'!$M$2:$M$14,0),MATCH(B97,'Supply Fans'!$O$1:$W$1,0))</f>
        <v>5188</v>
      </c>
      <c r="J97" s="55"/>
      <c r="K97" s="55"/>
      <c r="L97" s="112" t="s">
        <v>183</v>
      </c>
      <c r="M97" s="50" t="s">
        <v>210</v>
      </c>
      <c r="N97" s="83" t="s">
        <v>267</v>
      </c>
      <c r="O97" s="101">
        <f>INDEX('Chilled Water Pumps'!$AA$2:$AI$9,MATCH('Lookup Table'!M97,'Chilled Water Pumps'!$Y$2:$Y$9,0),MATCH('Lookup Table'!L97,'Chilled Water Pumps'!$AA$1:$AI$1,0))</f>
        <v>0.33</v>
      </c>
      <c r="P97" s="101">
        <f>INDEX('Cooling Tower Fan'!$AA$2:$AI$9,MATCH(M97,'Cooling Tower Fan'!$Y$2:$Y$9,0),MATCH(L97,'Cooling Tower Fan'!$AA$1:$AI$1,0))</f>
        <v>0.33</v>
      </c>
      <c r="Q97" s="101">
        <f>INDEX('Condenser Water Pumps'!$AA$2:$AI$9,MATCH(M97,'Condenser Water Pumps'!$Y$2:$Y$9,0),MATCH(L97,'Condenser Water Pumps'!$AA$1:$AI$1,0))</f>
        <v>0.33</v>
      </c>
      <c r="R97" s="101">
        <f>INDEX('Heating Hot Water Pumps'!$AA$2:$AI$9,MATCH(M97,'Heating Hot Water Pumps'!$Y$2:$Y$9,0),MATCH(L97,'Heating Hot Water Pumps'!$AA$1:$AI$1,0))</f>
        <v>0</v>
      </c>
      <c r="S97" s="119">
        <f>INDEX('Supply Fans'!$AA$2:$AI$14,MATCH(M97,'Supply Fans'!$Y$2:$Y$14,0),MATCH(L97,'Supply Fans'!$AA$1:$AI$1,0))</f>
        <v>0.4</v>
      </c>
    </row>
    <row r="98" spans="2:19" ht="15" thickBot="1">
      <c r="B98" s="112" t="s">
        <v>183</v>
      </c>
      <c r="C98" s="50" t="s">
        <v>211</v>
      </c>
      <c r="D98" s="50" t="s">
        <v>268</v>
      </c>
      <c r="E98" s="83" t="e">
        <f>INDEX('Chilled Water Pumps'!$O$2:$W$9,MATCH('Lookup Table'!C98,'Chilled Water Pumps'!$M$2:$M$9,0),MATCH('Lookup Table'!B98,'Chilled Water Pumps'!$O$1:$W$1,0))</f>
        <v>#N/A</v>
      </c>
      <c r="F98" s="83" t="e">
        <f>INDEX('Cooling Tower Fan'!$O$2:$W$9,MATCH(C98,'Cooling Tower Fan'!$M$2:$M$9,0),MATCH(B98,'Cooling Tower Fan'!$O$1:$W$1,0))</f>
        <v>#N/A</v>
      </c>
      <c r="G98" s="83" t="e">
        <f>INDEX('Condenser Water Pumps'!$O$2:$W$9,MATCH(C98,'Condenser Water Pumps'!$M$2:$M$9,0),MATCH(B98,'Condenser Water Pumps'!$O$1:$W$1,0))</f>
        <v>#N/A</v>
      </c>
      <c r="H98" s="83" t="e">
        <f>INDEX('Heating Hot Water Pumps'!$O$2:$W$9,MATCH(C98,'Heating Hot Water Pumps'!$M$2:$M$9,0),MATCH(B98,'Heating Hot Water Pumps'!$O$1:$W$1,0))</f>
        <v>#N/A</v>
      </c>
      <c r="I98" s="113">
        <f>INDEX('Supply Fans'!$O$2:$W$14,MATCH(C98,'Supply Fans'!$M$2:$M$14,0),MATCH(B98,'Supply Fans'!$O$1:$W$1,0))</f>
        <v>5189</v>
      </c>
      <c r="J98" s="55"/>
      <c r="K98" s="55"/>
      <c r="L98" s="112" t="s">
        <v>183</v>
      </c>
      <c r="M98" s="50" t="s">
        <v>211</v>
      </c>
      <c r="N98" s="83" t="s">
        <v>268</v>
      </c>
      <c r="O98" s="101" t="e">
        <f>INDEX('Chilled Water Pumps'!$AA$2:$AI$9,MATCH('Lookup Table'!M98,'Chilled Water Pumps'!$Y$2:$Y$9,0),MATCH('Lookup Table'!L98,'Chilled Water Pumps'!$AA$1:$AI$1,0))</f>
        <v>#N/A</v>
      </c>
      <c r="P98" s="101" t="e">
        <f>INDEX('Cooling Tower Fan'!$AA$2:$AI$9,MATCH(M98,'Cooling Tower Fan'!$Y$2:$Y$9,0),MATCH(L98,'Cooling Tower Fan'!$AA$1:$AI$1,0))</f>
        <v>#N/A</v>
      </c>
      <c r="Q98" s="101" t="e">
        <f>INDEX('Condenser Water Pumps'!$AA$2:$AI$9,MATCH(M98,'Condenser Water Pumps'!$Y$2:$Y$9,0),MATCH(L98,'Condenser Water Pumps'!$AA$1:$AI$1,0))</f>
        <v>#N/A</v>
      </c>
      <c r="R98" s="101" t="e">
        <f>INDEX('Heating Hot Water Pumps'!$AA$2:$AI$9,MATCH(M98,'Heating Hot Water Pumps'!$Y$2:$Y$9,0),MATCH(L98,'Heating Hot Water Pumps'!$AA$1:$AI$1,0))</f>
        <v>#N/A</v>
      </c>
      <c r="S98" s="119">
        <f>INDEX('Supply Fans'!$AA$2:$AI$14,MATCH(M98,'Supply Fans'!$Y$2:$Y$14,0),MATCH(L98,'Supply Fans'!$AA$1:$AI$1,0))</f>
        <v>0.11</v>
      </c>
    </row>
    <row r="99" spans="2:19" ht="15" thickBot="1">
      <c r="B99" s="112" t="s">
        <v>183</v>
      </c>
      <c r="C99" s="50" t="s">
        <v>212</v>
      </c>
      <c r="D99" s="50" t="s">
        <v>269</v>
      </c>
      <c r="E99" s="83" t="e">
        <f>INDEX('Chilled Water Pumps'!$O$2:$W$9,MATCH('Lookup Table'!C99,'Chilled Water Pumps'!$M$2:$M$9,0),MATCH('Lookup Table'!B99,'Chilled Water Pumps'!$O$1:$W$1,0))</f>
        <v>#N/A</v>
      </c>
      <c r="F99" s="83" t="e">
        <f>INDEX('Cooling Tower Fan'!$O$2:$W$9,MATCH(C99,'Cooling Tower Fan'!$M$2:$M$9,0),MATCH(B99,'Cooling Tower Fan'!$O$1:$W$1,0))</f>
        <v>#N/A</v>
      </c>
      <c r="G99" s="83" t="e">
        <f>INDEX('Condenser Water Pumps'!$O$2:$W$9,MATCH(C99,'Condenser Water Pumps'!$M$2:$M$9,0),MATCH(B99,'Condenser Water Pumps'!$O$1:$W$1,0))</f>
        <v>#N/A</v>
      </c>
      <c r="H99" s="83" t="e">
        <f>INDEX('Heating Hot Water Pumps'!$O$2:$W$9,MATCH(C99,'Heating Hot Water Pumps'!$M$2:$M$9,0),MATCH(B99,'Heating Hot Water Pumps'!$O$1:$W$1,0))</f>
        <v>#N/A</v>
      </c>
      <c r="I99" s="113">
        <f>INDEX('Supply Fans'!$O$2:$W$14,MATCH(C99,'Supply Fans'!$M$2:$M$14,0),MATCH(B99,'Supply Fans'!$O$1:$W$1,0))</f>
        <v>4041</v>
      </c>
      <c r="J99" s="55"/>
      <c r="K99" s="55"/>
      <c r="L99" s="112" t="s">
        <v>183</v>
      </c>
      <c r="M99" s="50" t="s">
        <v>212</v>
      </c>
      <c r="N99" s="83" t="s">
        <v>269</v>
      </c>
      <c r="O99" s="101" t="e">
        <f>INDEX('Chilled Water Pumps'!$AA$2:$AI$9,MATCH('Lookup Table'!M99,'Chilled Water Pumps'!$Y$2:$Y$9,0),MATCH('Lookup Table'!L99,'Chilled Water Pumps'!$AA$1:$AI$1,0))</f>
        <v>#N/A</v>
      </c>
      <c r="P99" s="101" t="e">
        <f>INDEX('Cooling Tower Fan'!$AA$2:$AI$9,MATCH(M99,'Cooling Tower Fan'!$Y$2:$Y$9,0),MATCH(L99,'Cooling Tower Fan'!$AA$1:$AI$1,0))</f>
        <v>#N/A</v>
      </c>
      <c r="Q99" s="101" t="e">
        <f>INDEX('Condenser Water Pumps'!$AA$2:$AI$9,MATCH(M99,'Condenser Water Pumps'!$Y$2:$Y$9,0),MATCH(L99,'Condenser Water Pumps'!$AA$1:$AI$1,0))</f>
        <v>#N/A</v>
      </c>
      <c r="R99" s="101" t="e">
        <f>INDEX('Heating Hot Water Pumps'!$AA$2:$AI$9,MATCH(M99,'Heating Hot Water Pumps'!$Y$2:$Y$9,0),MATCH(L99,'Heating Hot Water Pumps'!$AA$1:$AI$1,0))</f>
        <v>#N/A</v>
      </c>
      <c r="S99" s="119">
        <f>INDEX('Supply Fans'!$AA$2:$AI$14,MATCH(M99,'Supply Fans'!$Y$2:$Y$14,0),MATCH(L99,'Supply Fans'!$AA$1:$AI$1,0))</f>
        <v>0.46</v>
      </c>
    </row>
    <row r="100" spans="2:19" ht="15" thickBot="1">
      <c r="B100" s="112" t="s">
        <v>189</v>
      </c>
      <c r="C100" s="83" t="s">
        <v>178</v>
      </c>
      <c r="D100" s="50" t="s">
        <v>270</v>
      </c>
      <c r="E100" s="83">
        <f>INDEX('Chilled Water Pumps'!$O$2:$W$9,MATCH('Lookup Table'!C100,'Chilled Water Pumps'!$M$2:$M$9,0),MATCH('Lookup Table'!B100,'Chilled Water Pumps'!$O$1:$W$1,0))</f>
        <v>3096</v>
      </c>
      <c r="F100" s="83">
        <f>INDEX('Cooling Tower Fan'!$O$2:$W$9,MATCH(C100,'Cooling Tower Fan'!$M$2:$M$9,0),MATCH(B100,'Cooling Tower Fan'!$O$1:$W$1,0))</f>
        <v>3096</v>
      </c>
      <c r="G100" s="83">
        <f>INDEX('Condenser Water Pumps'!$O$2:$W$9,MATCH(C100,'Condenser Water Pumps'!$M$2:$M$9,0),MATCH(B100,'Condenser Water Pumps'!$O$1:$W$1,0))</f>
        <v>2466</v>
      </c>
      <c r="H100" s="83">
        <f>INDEX('Heating Hot Water Pumps'!$O$2:$W$9,MATCH(C100,'Heating Hot Water Pumps'!$M$2:$M$9,0),MATCH(B100,'Heating Hot Water Pumps'!$O$1:$W$1,0))</f>
        <v>5900</v>
      </c>
      <c r="I100" s="113">
        <f>INDEX('Supply Fans'!$O$2:$W$14,MATCH(C100,'Supply Fans'!$M$2:$M$14,0),MATCH(B100,'Supply Fans'!$O$1:$W$1,0))</f>
        <v>6126</v>
      </c>
      <c r="J100" s="55"/>
      <c r="K100" s="55"/>
      <c r="L100" s="112" t="s">
        <v>189</v>
      </c>
      <c r="M100" s="83" t="s">
        <v>178</v>
      </c>
      <c r="N100" s="83" t="s">
        <v>270</v>
      </c>
      <c r="O100" s="101">
        <f>INDEX('Chilled Water Pumps'!$AA$2:$AI$9,MATCH('Lookup Table'!M100,'Chilled Water Pumps'!$Y$2:$Y$9,0),MATCH('Lookup Table'!L100,'Chilled Water Pumps'!$AA$1:$AI$1,0))</f>
        <v>0.23</v>
      </c>
      <c r="P100" s="101">
        <f>INDEX('Cooling Tower Fan'!$AA$2:$AI$9,MATCH(M100,'Cooling Tower Fan'!$Y$2:$Y$9,0),MATCH(L100,'Cooling Tower Fan'!$AA$1:$AI$1,0))</f>
        <v>0.23</v>
      </c>
      <c r="Q100" s="101">
        <f>INDEX('Condenser Water Pumps'!$AA$2:$AI$9,MATCH(M100,'Condenser Water Pumps'!$Y$2:$Y$9,0),MATCH(L100,'Condenser Water Pumps'!$AA$1:$AI$1,0))</f>
        <v>0.2</v>
      </c>
      <c r="R100" s="101">
        <f>INDEX('Heating Hot Water Pumps'!$AA$2:$AI$9,MATCH(M100,'Heating Hot Water Pumps'!$Y$2:$Y$9,0),MATCH(L100,'Heating Hot Water Pumps'!$AA$1:$AI$1,0))</f>
        <v>0.01</v>
      </c>
      <c r="S100" s="119">
        <f>INDEX('Supply Fans'!$AA$2:$AI$14,MATCH(M100,'Supply Fans'!$Y$2:$Y$14,0),MATCH(L100,'Supply Fans'!$AA$1:$AI$1,0))</f>
        <v>0.24</v>
      </c>
    </row>
    <row r="101" spans="2:19" ht="15" thickBot="1">
      <c r="B101" s="112" t="s">
        <v>189</v>
      </c>
      <c r="C101" s="50" t="s">
        <v>184</v>
      </c>
      <c r="D101" s="50" t="s">
        <v>271</v>
      </c>
      <c r="E101" s="83">
        <f>INDEX('Chilled Water Pumps'!$O$2:$W$9,MATCH('Lookup Table'!C101,'Chilled Water Pumps'!$M$2:$M$9,0),MATCH('Lookup Table'!B101,'Chilled Water Pumps'!$O$1:$W$1,0))</f>
        <v>1631</v>
      </c>
      <c r="F101" s="83">
        <f>INDEX('Cooling Tower Fan'!$O$2:$W$9,MATCH(C101,'Cooling Tower Fan'!$M$2:$M$9,0),MATCH(B101,'Cooling Tower Fan'!$O$1:$W$1,0))</f>
        <v>1634</v>
      </c>
      <c r="G101" s="83">
        <f>INDEX('Condenser Water Pumps'!$O$2:$W$9,MATCH(C101,'Condenser Water Pumps'!$M$2:$M$9,0),MATCH(B101,'Condenser Water Pumps'!$O$1:$W$1,0))</f>
        <v>1529</v>
      </c>
      <c r="H101" s="83">
        <f>INDEX('Heating Hot Water Pumps'!$O$2:$W$9,MATCH(C101,'Heating Hot Water Pumps'!$M$2:$M$9,0),MATCH(B101,'Heating Hot Water Pumps'!$O$1:$W$1,0))</f>
        <v>4722</v>
      </c>
      <c r="I101" s="113">
        <f>INDEX('Supply Fans'!$O$2:$W$14,MATCH(C101,'Supply Fans'!$M$2:$M$14,0),MATCH(B101,'Supply Fans'!$O$1:$W$1,0))</f>
        <v>4718</v>
      </c>
      <c r="J101" s="55"/>
      <c r="K101" s="55"/>
      <c r="L101" s="112" t="s">
        <v>189</v>
      </c>
      <c r="M101" s="50" t="s">
        <v>184</v>
      </c>
      <c r="N101" s="83" t="s">
        <v>271</v>
      </c>
      <c r="O101" s="101">
        <f>INDEX('Chilled Water Pumps'!$AA$2:$AI$9,MATCH('Lookup Table'!M101,'Chilled Water Pumps'!$Y$2:$Y$9,0),MATCH('Lookup Table'!L101,'Chilled Water Pumps'!$AA$1:$AI$1,0))</f>
        <v>7.0000000000000007E-2</v>
      </c>
      <c r="P101" s="101">
        <f>INDEX('Cooling Tower Fan'!$AA$2:$AI$9,MATCH(M101,'Cooling Tower Fan'!$Y$2:$Y$9,0),MATCH(L101,'Cooling Tower Fan'!$AA$1:$AI$1,0))</f>
        <v>7.0000000000000007E-2</v>
      </c>
      <c r="Q101" s="101">
        <f>INDEX('Condenser Water Pumps'!$AA$2:$AI$9,MATCH(M101,'Condenser Water Pumps'!$Y$2:$Y$9,0),MATCH(L101,'Condenser Water Pumps'!$AA$1:$AI$1,0))</f>
        <v>7.0000000000000007E-2</v>
      </c>
      <c r="R101" s="101">
        <f>INDEX('Heating Hot Water Pumps'!$AA$2:$AI$9,MATCH(M101,'Heating Hot Water Pumps'!$Y$2:$Y$9,0),MATCH(L101,'Heating Hot Water Pumps'!$AA$1:$AI$1,0))</f>
        <v>0</v>
      </c>
      <c r="S101" s="119">
        <f>INDEX('Supply Fans'!$AA$2:$AI$14,MATCH(M101,'Supply Fans'!$Y$2:$Y$14,0),MATCH(L101,'Supply Fans'!$AA$1:$AI$1,0))</f>
        <v>7.0000000000000007E-2</v>
      </c>
    </row>
    <row r="102" spans="2:19" ht="15" thickBot="1">
      <c r="B102" s="112" t="s">
        <v>189</v>
      </c>
      <c r="C102" s="50" t="s">
        <v>190</v>
      </c>
      <c r="D102" s="50" t="s">
        <v>272</v>
      </c>
      <c r="E102" s="83" t="e">
        <f>INDEX('Chilled Water Pumps'!$O$2:$W$9,MATCH('Lookup Table'!C102,'Chilled Water Pumps'!$M$2:$M$9,0),MATCH('Lookup Table'!B102,'Chilled Water Pumps'!$O$1:$W$1,0))</f>
        <v>#N/A</v>
      </c>
      <c r="F102" s="83" t="e">
        <f>INDEX('Cooling Tower Fan'!$O$2:$W$9,MATCH(C102,'Cooling Tower Fan'!$M$2:$M$9,0),MATCH(B102,'Cooling Tower Fan'!$O$1:$W$1,0))</f>
        <v>#N/A</v>
      </c>
      <c r="G102" s="83" t="e">
        <f>INDEX('Condenser Water Pumps'!$O$2:$W$9,MATCH(C102,'Condenser Water Pumps'!$M$2:$M$9,0),MATCH(B102,'Condenser Water Pumps'!$O$1:$W$1,0))</f>
        <v>#N/A</v>
      </c>
      <c r="H102" s="83" t="e">
        <f>INDEX('Heating Hot Water Pumps'!$O$2:$W$9,MATCH(C102,'Heating Hot Water Pumps'!$M$2:$M$9,0),MATCH(B102,'Heating Hot Water Pumps'!$O$1:$W$1,0))</f>
        <v>#N/A</v>
      </c>
      <c r="I102" s="113">
        <f>INDEX('Supply Fans'!$O$2:$W$14,MATCH(C102,'Supply Fans'!$M$2:$M$14,0),MATCH(B102,'Supply Fans'!$O$1:$W$1,0))</f>
        <v>6810</v>
      </c>
      <c r="J102" s="55"/>
      <c r="K102" s="55"/>
      <c r="L102" s="112" t="s">
        <v>189</v>
      </c>
      <c r="M102" s="50" t="s">
        <v>190</v>
      </c>
      <c r="N102" s="83" t="s">
        <v>272</v>
      </c>
      <c r="O102" s="101" t="e">
        <f>INDEX('Chilled Water Pumps'!$AA$2:$AI$9,MATCH('Lookup Table'!M102,'Chilled Water Pumps'!$Y$2:$Y$9,0),MATCH('Lookup Table'!L102,'Chilled Water Pumps'!$AA$1:$AI$1,0))</f>
        <v>#N/A</v>
      </c>
      <c r="P102" s="101" t="e">
        <f>INDEX('Cooling Tower Fan'!$AA$2:$AI$9,MATCH(M102,'Cooling Tower Fan'!$Y$2:$Y$9,0),MATCH(L102,'Cooling Tower Fan'!$AA$1:$AI$1,0))</f>
        <v>#N/A</v>
      </c>
      <c r="Q102" s="101" t="e">
        <f>INDEX('Condenser Water Pumps'!$AA$2:$AI$9,MATCH(M102,'Condenser Water Pumps'!$Y$2:$Y$9,0),MATCH(L102,'Condenser Water Pumps'!$AA$1:$AI$1,0))</f>
        <v>#N/A</v>
      </c>
      <c r="R102" s="101" t="e">
        <f>INDEX('Heating Hot Water Pumps'!$AA$2:$AI$9,MATCH(M102,'Heating Hot Water Pumps'!$Y$2:$Y$9,0),MATCH(L102,'Heating Hot Water Pumps'!$AA$1:$AI$1,0))</f>
        <v>#N/A</v>
      </c>
      <c r="S102" s="119">
        <f>INDEX('Supply Fans'!$AA$2:$AI$14,MATCH(M102,'Supply Fans'!$Y$2:$Y$14,0),MATCH(L102,'Supply Fans'!$AA$1:$AI$1,0))</f>
        <v>0.19</v>
      </c>
    </row>
    <row r="103" spans="2:19" ht="15" thickBot="1">
      <c r="B103" s="112" t="s">
        <v>189</v>
      </c>
      <c r="C103" s="50" t="s">
        <v>195</v>
      </c>
      <c r="D103" s="50" t="s">
        <v>273</v>
      </c>
      <c r="E103" s="83">
        <f>INDEX('Chilled Water Pumps'!$O$2:$W$9,MATCH('Lookup Table'!C103,'Chilled Water Pumps'!$M$2:$M$9,0),MATCH('Lookup Table'!B103,'Chilled Water Pumps'!$O$1:$W$1,0))</f>
        <v>4167</v>
      </c>
      <c r="F103" s="83">
        <f>INDEX('Cooling Tower Fan'!$O$2:$W$9,MATCH(C103,'Cooling Tower Fan'!$M$2:$M$9,0),MATCH(B103,'Cooling Tower Fan'!$O$1:$W$1,0))</f>
        <v>4165</v>
      </c>
      <c r="G103" s="83">
        <f>INDEX('Condenser Water Pumps'!$O$2:$W$9,MATCH(C103,'Condenser Water Pumps'!$M$2:$M$9,0),MATCH(B103,'Condenser Water Pumps'!$O$1:$W$1,0))</f>
        <v>3293</v>
      </c>
      <c r="H103" s="83">
        <f>INDEX('Heating Hot Water Pumps'!$O$2:$W$9,MATCH(C103,'Heating Hot Water Pumps'!$M$2:$M$9,0),MATCH(B103,'Heating Hot Water Pumps'!$O$1:$W$1,0))</f>
        <v>8760</v>
      </c>
      <c r="I103" s="113">
        <f>INDEX('Supply Fans'!$O$2:$W$14,MATCH(C103,'Supply Fans'!$M$2:$M$14,0),MATCH(B103,'Supply Fans'!$O$1:$W$1,0))</f>
        <v>8760</v>
      </c>
      <c r="J103" s="55"/>
      <c r="K103" s="55"/>
      <c r="L103" s="112" t="s">
        <v>189</v>
      </c>
      <c r="M103" s="50" t="s">
        <v>195</v>
      </c>
      <c r="N103" s="83" t="s">
        <v>273</v>
      </c>
      <c r="O103" s="101">
        <f>INDEX('Chilled Water Pumps'!$AA$2:$AI$9,MATCH('Lookup Table'!M103,'Chilled Water Pumps'!$Y$2:$Y$9,0),MATCH('Lookup Table'!L103,'Chilled Water Pumps'!$AA$1:$AI$1,0))</f>
        <v>0.31</v>
      </c>
      <c r="P103" s="101">
        <f>INDEX('Cooling Tower Fan'!$AA$2:$AI$9,MATCH(M103,'Cooling Tower Fan'!$Y$2:$Y$9,0),MATCH(L103,'Cooling Tower Fan'!$AA$1:$AI$1,0))</f>
        <v>0.31</v>
      </c>
      <c r="Q103" s="101">
        <f>INDEX('Condenser Water Pumps'!$AA$2:$AI$9,MATCH(M103,'Condenser Water Pumps'!$Y$2:$Y$9,0),MATCH(L103,'Condenser Water Pumps'!$AA$1:$AI$1,0))</f>
        <v>0.28999999999999998</v>
      </c>
      <c r="R103" s="101">
        <f>INDEX('Heating Hot Water Pumps'!$AA$2:$AI$9,MATCH(M103,'Heating Hot Water Pumps'!$Y$2:$Y$9,0),MATCH(L103,'Heating Hot Water Pumps'!$AA$1:$AI$1,0))</f>
        <v>0.09</v>
      </c>
      <c r="S103" s="119">
        <f>INDEX('Supply Fans'!$AA$2:$AI$14,MATCH(M103,'Supply Fans'!$Y$2:$Y$14,0),MATCH(L103,'Supply Fans'!$AA$1:$AI$1,0))</f>
        <v>0.28999999999999998</v>
      </c>
    </row>
    <row r="104" spans="2:19" ht="15" thickBot="1">
      <c r="B104" s="112" t="s">
        <v>189</v>
      </c>
      <c r="C104" s="50" t="s">
        <v>198</v>
      </c>
      <c r="D104" s="50" t="s">
        <v>274</v>
      </c>
      <c r="E104" s="83">
        <f>INDEX('Chilled Water Pumps'!$O$2:$W$9,MATCH('Lookup Table'!C104,'Chilled Water Pumps'!$M$2:$M$9,0),MATCH('Lookup Table'!B104,'Chilled Water Pumps'!$O$1:$W$1,0))</f>
        <v>2592</v>
      </c>
      <c r="F104" s="83">
        <f>INDEX('Cooling Tower Fan'!$O$2:$W$9,MATCH(C104,'Cooling Tower Fan'!$M$2:$M$9,0),MATCH(B104,'Cooling Tower Fan'!$O$1:$W$1,0))</f>
        <v>2593</v>
      </c>
      <c r="G104" s="83">
        <f>INDEX('Condenser Water Pumps'!$O$2:$W$9,MATCH(C104,'Condenser Water Pumps'!$M$2:$M$9,0),MATCH(B104,'Condenser Water Pumps'!$O$1:$W$1,0))</f>
        <v>2585</v>
      </c>
      <c r="H104" s="83">
        <f>INDEX('Heating Hot Water Pumps'!$O$2:$W$9,MATCH(C104,'Heating Hot Water Pumps'!$M$2:$M$9,0),MATCH(B104,'Heating Hot Water Pumps'!$O$1:$W$1,0))</f>
        <v>7170</v>
      </c>
      <c r="I104" s="113">
        <f>INDEX('Supply Fans'!$O$2:$W$14,MATCH(C104,'Supply Fans'!$M$2:$M$14,0),MATCH(B104,'Supply Fans'!$O$1:$W$1,0))</f>
        <v>8760</v>
      </c>
      <c r="J104" s="55"/>
      <c r="K104" s="55"/>
      <c r="L104" s="112" t="s">
        <v>189</v>
      </c>
      <c r="M104" s="50" t="s">
        <v>198</v>
      </c>
      <c r="N104" s="83" t="s">
        <v>274</v>
      </c>
      <c r="O104" s="101">
        <f>INDEX('Chilled Water Pumps'!$AA$2:$AI$9,MATCH('Lookup Table'!M104,'Chilled Water Pumps'!$Y$2:$Y$9,0),MATCH('Lookup Table'!L104,'Chilled Water Pumps'!$AA$1:$AI$1,0))</f>
        <v>0.16</v>
      </c>
      <c r="P104" s="101">
        <f>INDEX('Cooling Tower Fan'!$AA$2:$AI$9,MATCH(M104,'Cooling Tower Fan'!$Y$2:$Y$9,0),MATCH(L104,'Cooling Tower Fan'!$AA$1:$AI$1,0))</f>
        <v>0.16</v>
      </c>
      <c r="Q104" s="101">
        <f>INDEX('Condenser Water Pumps'!$AA$2:$AI$9,MATCH(M104,'Condenser Water Pumps'!$Y$2:$Y$9,0),MATCH(L104,'Condenser Water Pumps'!$AA$1:$AI$1,0))</f>
        <v>0.16</v>
      </c>
      <c r="R104" s="101">
        <f>INDEX('Heating Hot Water Pumps'!$AA$2:$AI$9,MATCH(M104,'Heating Hot Water Pumps'!$Y$2:$Y$9,0),MATCH(L104,'Heating Hot Water Pumps'!$AA$1:$AI$1,0))</f>
        <v>0</v>
      </c>
      <c r="S104" s="119">
        <f>INDEX('Supply Fans'!$AA$2:$AI$14,MATCH(M104,'Supply Fans'!$Y$2:$Y$14,0),MATCH(L104,'Supply Fans'!$AA$1:$AI$1,0))</f>
        <v>0.17</v>
      </c>
    </row>
    <row r="105" spans="2:19" ht="15" thickBot="1">
      <c r="B105" s="112" t="s">
        <v>189</v>
      </c>
      <c r="C105" s="50" t="s">
        <v>201</v>
      </c>
      <c r="D105" s="50" t="s">
        <v>275</v>
      </c>
      <c r="E105" s="83">
        <f>INDEX('Chilled Water Pumps'!$O$2:$W$9,MATCH('Lookup Table'!C105,'Chilled Water Pumps'!$M$2:$M$9,0),MATCH('Lookup Table'!B105,'Chilled Water Pumps'!$O$1:$W$1,0))</f>
        <v>1086</v>
      </c>
      <c r="F105" s="83">
        <f>INDEX('Cooling Tower Fan'!$O$2:$W$9,MATCH(C105,'Cooling Tower Fan'!$M$2:$M$9,0),MATCH(B105,'Cooling Tower Fan'!$O$1:$W$1,0))</f>
        <v>1086</v>
      </c>
      <c r="G105" s="83">
        <f>INDEX('Condenser Water Pumps'!$O$2:$W$9,MATCH(C105,'Condenser Water Pumps'!$M$2:$M$9,0),MATCH(B105,'Condenser Water Pumps'!$O$1:$W$1,0))</f>
        <v>1084</v>
      </c>
      <c r="H105" s="83">
        <f>INDEX('Heating Hot Water Pumps'!$O$2:$W$9,MATCH(C105,'Heating Hot Water Pumps'!$M$2:$M$9,0),MATCH(B105,'Heating Hot Water Pumps'!$O$1:$W$1,0))</f>
        <v>1944</v>
      </c>
      <c r="I105" s="113">
        <f>INDEX('Supply Fans'!$O$2:$W$14,MATCH(C105,'Supply Fans'!$M$2:$M$14,0),MATCH(B105,'Supply Fans'!$O$1:$W$1,0))</f>
        <v>4080</v>
      </c>
      <c r="J105" s="55"/>
      <c r="K105" s="55"/>
      <c r="L105" s="112" t="s">
        <v>189</v>
      </c>
      <c r="M105" s="50" t="s">
        <v>201</v>
      </c>
      <c r="N105" s="83" t="s">
        <v>275</v>
      </c>
      <c r="O105" s="101">
        <f>INDEX('Chilled Water Pumps'!$AA$2:$AI$9,MATCH('Lookup Table'!M105,'Chilled Water Pumps'!$Y$2:$Y$9,0),MATCH('Lookup Table'!L105,'Chilled Water Pumps'!$AA$1:$AI$1,0))</f>
        <v>0.32</v>
      </c>
      <c r="P105" s="101">
        <f>INDEX('Cooling Tower Fan'!$AA$2:$AI$9,MATCH(M105,'Cooling Tower Fan'!$Y$2:$Y$9,0),MATCH(L105,'Cooling Tower Fan'!$AA$1:$AI$1,0))</f>
        <v>0.32</v>
      </c>
      <c r="Q105" s="101">
        <f>INDEX('Condenser Water Pumps'!$AA$2:$AI$9,MATCH(M105,'Condenser Water Pumps'!$Y$2:$Y$9,0),MATCH(L105,'Condenser Water Pumps'!$AA$1:$AI$1,0))</f>
        <v>0.32</v>
      </c>
      <c r="R105" s="101">
        <f>INDEX('Heating Hot Water Pumps'!$AA$2:$AI$9,MATCH(M105,'Heating Hot Water Pumps'!$Y$2:$Y$9,0),MATCH(L105,'Heating Hot Water Pumps'!$AA$1:$AI$1,0))</f>
        <v>0</v>
      </c>
      <c r="S105" s="119">
        <f>INDEX('Supply Fans'!$AA$2:$AI$14,MATCH(M105,'Supply Fans'!$Y$2:$Y$14,0),MATCH(L105,'Supply Fans'!$AA$1:$AI$1,0))</f>
        <v>0.28000000000000003</v>
      </c>
    </row>
    <row r="106" spans="2:19" ht="15" thickBot="1">
      <c r="B106" s="112" t="s">
        <v>189</v>
      </c>
      <c r="C106" s="50" t="s">
        <v>203</v>
      </c>
      <c r="D106" s="50" t="s">
        <v>276</v>
      </c>
      <c r="E106" s="83" t="e">
        <f>INDEX('Chilled Water Pumps'!$O$2:$W$9,MATCH('Lookup Table'!C106,'Chilled Water Pumps'!$M$2:$M$9,0),MATCH('Lookup Table'!B106,'Chilled Water Pumps'!$O$1:$W$1,0))</f>
        <v>#N/A</v>
      </c>
      <c r="F106" s="83" t="e">
        <f>INDEX('Cooling Tower Fan'!$O$2:$W$9,MATCH(C106,'Cooling Tower Fan'!$M$2:$M$9,0),MATCH(B106,'Cooling Tower Fan'!$O$1:$W$1,0))</f>
        <v>#N/A</v>
      </c>
      <c r="G106" s="83" t="e">
        <f>INDEX('Condenser Water Pumps'!$O$2:$W$9,MATCH(C106,'Condenser Water Pumps'!$M$2:$M$9,0),MATCH(B106,'Condenser Water Pumps'!$O$1:$W$1,0))</f>
        <v>#N/A</v>
      </c>
      <c r="H106" s="83" t="e">
        <f>INDEX('Heating Hot Water Pumps'!$O$2:$W$9,MATCH(C106,'Heating Hot Water Pumps'!$M$2:$M$9,0),MATCH(B106,'Heating Hot Water Pumps'!$O$1:$W$1,0))</f>
        <v>#N/A</v>
      </c>
      <c r="I106" s="113">
        <f>INDEX('Supply Fans'!$O$2:$W$14,MATCH(C106,'Supply Fans'!$M$2:$M$14,0),MATCH(B106,'Supply Fans'!$O$1:$W$1,0))</f>
        <v>5248</v>
      </c>
      <c r="J106" s="55"/>
      <c r="K106" s="55"/>
      <c r="L106" s="112" t="s">
        <v>189</v>
      </c>
      <c r="M106" s="50" t="s">
        <v>203</v>
      </c>
      <c r="N106" s="83" t="s">
        <v>276</v>
      </c>
      <c r="O106" s="101" t="e">
        <f>INDEX('Chilled Water Pumps'!$AA$2:$AI$9,MATCH('Lookup Table'!M106,'Chilled Water Pumps'!$Y$2:$Y$9,0),MATCH('Lookup Table'!L106,'Chilled Water Pumps'!$AA$1:$AI$1,0))</f>
        <v>#N/A</v>
      </c>
      <c r="P106" s="101" t="e">
        <f>INDEX('Cooling Tower Fan'!$AA$2:$AI$9,MATCH(M106,'Cooling Tower Fan'!$Y$2:$Y$9,0),MATCH(L106,'Cooling Tower Fan'!$AA$1:$AI$1,0))</f>
        <v>#N/A</v>
      </c>
      <c r="Q106" s="101" t="e">
        <f>INDEX('Condenser Water Pumps'!$AA$2:$AI$9,MATCH(M106,'Condenser Water Pumps'!$Y$2:$Y$9,0),MATCH(L106,'Condenser Water Pumps'!$AA$1:$AI$1,0))</f>
        <v>#N/A</v>
      </c>
      <c r="R106" s="101" t="e">
        <f>INDEX('Heating Hot Water Pumps'!$AA$2:$AI$9,MATCH(M106,'Heating Hot Water Pumps'!$Y$2:$Y$9,0),MATCH(L106,'Heating Hot Water Pumps'!$AA$1:$AI$1,0))</f>
        <v>#N/A</v>
      </c>
      <c r="S106" s="119">
        <f>INDEX('Supply Fans'!$AA$2:$AI$14,MATCH(M106,'Supply Fans'!$Y$2:$Y$14,0),MATCH(L106,'Supply Fans'!$AA$1:$AI$1,0))</f>
        <v>0.34</v>
      </c>
    </row>
    <row r="107" spans="2:19" ht="15" thickBot="1">
      <c r="B107" s="112" t="s">
        <v>189</v>
      </c>
      <c r="C107" s="50" t="s">
        <v>205</v>
      </c>
      <c r="D107" s="50" t="s">
        <v>277</v>
      </c>
      <c r="E107" s="83">
        <f>INDEX('Chilled Water Pumps'!$O$2:$W$9,MATCH('Lookup Table'!C107,'Chilled Water Pumps'!$M$2:$M$9,0),MATCH('Lookup Table'!B107,'Chilled Water Pumps'!$O$1:$W$1,0))</f>
        <v>4444</v>
      </c>
      <c r="F107" s="83">
        <f>INDEX('Cooling Tower Fan'!$O$2:$W$9,MATCH(C107,'Cooling Tower Fan'!$M$2:$M$9,0),MATCH(B107,'Cooling Tower Fan'!$O$1:$W$1,0))</f>
        <v>4442</v>
      </c>
      <c r="G107" s="83">
        <f>INDEX('Condenser Water Pumps'!$O$2:$W$9,MATCH(C107,'Condenser Water Pumps'!$M$2:$M$9,0),MATCH(B107,'Condenser Water Pumps'!$O$1:$W$1,0))</f>
        <v>3939</v>
      </c>
      <c r="H107" s="83">
        <f>INDEX('Heating Hot Water Pumps'!$O$2:$W$9,MATCH(C107,'Heating Hot Water Pumps'!$M$2:$M$9,0),MATCH(B107,'Heating Hot Water Pumps'!$O$1:$W$1,0))</f>
        <v>7587</v>
      </c>
      <c r="I107" s="113">
        <f>INDEX('Supply Fans'!$O$2:$W$14,MATCH(C107,'Supply Fans'!$M$2:$M$14,0),MATCH(B107,'Supply Fans'!$O$1:$W$1,0))</f>
        <v>8760</v>
      </c>
      <c r="J107" s="55"/>
      <c r="K107" s="55"/>
      <c r="L107" s="112" t="s">
        <v>189</v>
      </c>
      <c r="M107" s="50" t="s">
        <v>205</v>
      </c>
      <c r="N107" s="83" t="s">
        <v>277</v>
      </c>
      <c r="O107" s="101">
        <f>INDEX('Chilled Water Pumps'!$AA$2:$AI$9,MATCH('Lookup Table'!M107,'Chilled Water Pumps'!$Y$2:$Y$9,0),MATCH('Lookup Table'!L107,'Chilled Water Pumps'!$AA$1:$AI$1,0))</f>
        <v>0.53</v>
      </c>
      <c r="P107" s="101">
        <f>INDEX('Cooling Tower Fan'!$AA$2:$AI$9,MATCH(M107,'Cooling Tower Fan'!$Y$2:$Y$9,0),MATCH(L107,'Cooling Tower Fan'!$AA$1:$AI$1,0))</f>
        <v>0.53</v>
      </c>
      <c r="Q107" s="101">
        <f>INDEX('Condenser Water Pumps'!$AA$2:$AI$9,MATCH(M107,'Condenser Water Pumps'!$Y$2:$Y$9,0),MATCH(L107,'Condenser Water Pumps'!$AA$1:$AI$1,0))</f>
        <v>0.53</v>
      </c>
      <c r="R107" s="101">
        <f>INDEX('Heating Hot Water Pumps'!$AA$2:$AI$9,MATCH(M107,'Heating Hot Water Pumps'!$Y$2:$Y$9,0),MATCH(L107,'Heating Hot Water Pumps'!$AA$1:$AI$1,0))</f>
        <v>0</v>
      </c>
      <c r="S107" s="119">
        <f>INDEX('Supply Fans'!$AA$2:$AI$14,MATCH(M107,'Supply Fans'!$Y$2:$Y$14,0),MATCH(L107,'Supply Fans'!$AA$1:$AI$1,0))</f>
        <v>0.6</v>
      </c>
    </row>
    <row r="108" spans="2:19" ht="15" thickBot="1">
      <c r="B108" s="112" t="s">
        <v>189</v>
      </c>
      <c r="C108" s="50" t="s">
        <v>208</v>
      </c>
      <c r="D108" s="50" t="s">
        <v>278</v>
      </c>
      <c r="E108" s="83">
        <f>INDEX('Chilled Water Pumps'!$O$2:$W$9,MATCH('Lookup Table'!C108,'Chilled Water Pumps'!$M$2:$M$9,0),MATCH('Lookup Table'!B108,'Chilled Water Pumps'!$O$1:$W$1,0))</f>
        <v>1189</v>
      </c>
      <c r="F108" s="83">
        <f>INDEX('Cooling Tower Fan'!$O$2:$W$9,MATCH(C108,'Cooling Tower Fan'!$M$2:$M$9,0),MATCH(B108,'Cooling Tower Fan'!$O$1:$W$1,0))</f>
        <v>1189</v>
      </c>
      <c r="G108" s="83">
        <f>INDEX('Condenser Water Pumps'!$O$2:$W$9,MATCH(C108,'Condenser Water Pumps'!$M$2:$M$9,0),MATCH(B108,'Condenser Water Pumps'!$O$1:$W$1,0))</f>
        <v>1177</v>
      </c>
      <c r="H108" s="83">
        <f>INDEX('Heating Hot Water Pumps'!$O$2:$W$9,MATCH(C108,'Heating Hot Water Pumps'!$M$2:$M$9,0),MATCH(B108,'Heating Hot Water Pumps'!$O$1:$W$1,0))</f>
        <v>4446</v>
      </c>
      <c r="I108" s="113">
        <f>INDEX('Supply Fans'!$O$2:$W$14,MATCH(C108,'Supply Fans'!$M$2:$M$14,0),MATCH(B108,'Supply Fans'!$O$1:$W$1,0))</f>
        <v>4699</v>
      </c>
      <c r="J108" s="55"/>
      <c r="K108" s="55"/>
      <c r="L108" s="112" t="s">
        <v>189</v>
      </c>
      <c r="M108" s="50" t="s">
        <v>208</v>
      </c>
      <c r="N108" s="83" t="s">
        <v>278</v>
      </c>
      <c r="O108" s="101">
        <f>INDEX('Chilled Water Pumps'!$AA$2:$AI$9,MATCH('Lookup Table'!M108,'Chilled Water Pumps'!$Y$2:$Y$9,0),MATCH('Lookup Table'!L108,'Chilled Water Pumps'!$AA$1:$AI$1,0))</f>
        <v>0.2</v>
      </c>
      <c r="P108" s="101">
        <f>INDEX('Cooling Tower Fan'!$AA$2:$AI$9,MATCH(M108,'Cooling Tower Fan'!$Y$2:$Y$9,0),MATCH(L108,'Cooling Tower Fan'!$AA$1:$AI$1,0))</f>
        <v>0.2</v>
      </c>
      <c r="Q108" s="101">
        <f>INDEX('Condenser Water Pumps'!$AA$2:$AI$9,MATCH(M108,'Condenser Water Pumps'!$Y$2:$Y$9,0),MATCH(L108,'Condenser Water Pumps'!$AA$1:$AI$1,0))</f>
        <v>0.2</v>
      </c>
      <c r="R108" s="101">
        <f>INDEX('Heating Hot Water Pumps'!$AA$2:$AI$9,MATCH(M108,'Heating Hot Water Pumps'!$Y$2:$Y$9,0),MATCH(L108,'Heating Hot Water Pumps'!$AA$1:$AI$1,0))</f>
        <v>0</v>
      </c>
      <c r="S108" s="119">
        <f>INDEX('Supply Fans'!$AA$2:$AI$14,MATCH(M108,'Supply Fans'!$Y$2:$Y$14,0),MATCH(L108,'Supply Fans'!$AA$1:$AI$1,0))</f>
        <v>0.21</v>
      </c>
    </row>
    <row r="109" spans="2:19" ht="15" thickBot="1">
      <c r="B109" s="112" t="s">
        <v>189</v>
      </c>
      <c r="C109" s="50" t="s">
        <v>209</v>
      </c>
      <c r="D109" s="50" t="s">
        <v>279</v>
      </c>
      <c r="E109" s="83" t="e">
        <f>INDEX('Chilled Water Pumps'!$O$2:$W$9,MATCH('Lookup Table'!C109,'Chilled Water Pumps'!$M$2:$M$9,0),MATCH('Lookup Table'!B109,'Chilled Water Pumps'!$O$1:$W$1,0))</f>
        <v>#N/A</v>
      </c>
      <c r="F109" s="83" t="e">
        <f>INDEX('Cooling Tower Fan'!$O$2:$W$9,MATCH(C109,'Cooling Tower Fan'!$M$2:$M$9,0),MATCH(B109,'Cooling Tower Fan'!$O$1:$W$1,0))</f>
        <v>#N/A</v>
      </c>
      <c r="G109" s="83" t="e">
        <f>INDEX('Condenser Water Pumps'!$O$2:$W$9,MATCH(C109,'Condenser Water Pumps'!$M$2:$M$9,0),MATCH(B109,'Condenser Water Pumps'!$O$1:$W$1,0))</f>
        <v>#N/A</v>
      </c>
      <c r="H109" s="83" t="e">
        <f>INDEX('Heating Hot Water Pumps'!$O$2:$W$9,MATCH(C109,'Heating Hot Water Pumps'!$M$2:$M$9,0),MATCH(B109,'Heating Hot Water Pumps'!$O$1:$W$1,0))</f>
        <v>#N/A</v>
      </c>
      <c r="I109" s="113">
        <f>INDEX('Supply Fans'!$O$2:$W$14,MATCH(C109,'Supply Fans'!$M$2:$M$14,0),MATCH(B109,'Supply Fans'!$O$1:$W$1,0))</f>
        <v>6487</v>
      </c>
      <c r="J109" s="55"/>
      <c r="K109" s="55"/>
      <c r="L109" s="112" t="s">
        <v>189</v>
      </c>
      <c r="M109" s="50" t="s">
        <v>209</v>
      </c>
      <c r="N109" s="83" t="s">
        <v>279</v>
      </c>
      <c r="O109" s="101" t="e">
        <f>INDEX('Chilled Water Pumps'!$AA$2:$AI$9,MATCH('Lookup Table'!M109,'Chilled Water Pumps'!$Y$2:$Y$9,0),MATCH('Lookup Table'!L109,'Chilled Water Pumps'!$AA$1:$AI$1,0))</f>
        <v>#N/A</v>
      </c>
      <c r="P109" s="101" t="e">
        <f>INDEX('Cooling Tower Fan'!$AA$2:$AI$9,MATCH(M109,'Cooling Tower Fan'!$Y$2:$Y$9,0),MATCH(L109,'Cooling Tower Fan'!$AA$1:$AI$1,0))</f>
        <v>#N/A</v>
      </c>
      <c r="Q109" s="101" t="e">
        <f>INDEX('Condenser Water Pumps'!$AA$2:$AI$9,MATCH(M109,'Condenser Water Pumps'!$Y$2:$Y$9,0),MATCH(L109,'Condenser Water Pumps'!$AA$1:$AI$1,0))</f>
        <v>#N/A</v>
      </c>
      <c r="R109" s="101" t="e">
        <f>INDEX('Heating Hot Water Pumps'!$AA$2:$AI$9,MATCH(M109,'Heating Hot Water Pumps'!$Y$2:$Y$9,0),MATCH(L109,'Heating Hot Water Pumps'!$AA$1:$AI$1,0))</f>
        <v>#N/A</v>
      </c>
      <c r="S109" s="119">
        <f>INDEX('Supply Fans'!$AA$2:$AI$14,MATCH(M109,'Supply Fans'!$Y$2:$Y$14,0),MATCH(L109,'Supply Fans'!$AA$1:$AI$1,0))</f>
        <v>0.28000000000000003</v>
      </c>
    </row>
    <row r="110" spans="2:19" ht="15" thickBot="1">
      <c r="B110" s="112" t="s">
        <v>189</v>
      </c>
      <c r="C110" s="50" t="s">
        <v>210</v>
      </c>
      <c r="D110" s="50" t="s">
        <v>280</v>
      </c>
      <c r="E110" s="83">
        <f>INDEX('Chilled Water Pumps'!$O$2:$W$9,MATCH('Lookup Table'!C110,'Chilled Water Pumps'!$M$2:$M$9,0),MATCH('Lookup Table'!B110,'Chilled Water Pumps'!$O$1:$W$1,0))</f>
        <v>2012</v>
      </c>
      <c r="F110" s="83">
        <f>INDEX('Cooling Tower Fan'!$O$2:$W$9,MATCH(C110,'Cooling Tower Fan'!$M$2:$M$9,0),MATCH(B110,'Cooling Tower Fan'!$O$1:$W$1,0))</f>
        <v>2012</v>
      </c>
      <c r="G110" s="83">
        <f>INDEX('Condenser Water Pumps'!$O$2:$W$9,MATCH(C110,'Condenser Water Pumps'!$M$2:$M$9,0),MATCH(B110,'Condenser Water Pumps'!$O$1:$W$1,0))</f>
        <v>1986</v>
      </c>
      <c r="H110" s="83">
        <f>INDEX('Heating Hot Water Pumps'!$O$2:$W$9,MATCH(C110,'Heating Hot Water Pumps'!$M$2:$M$9,0),MATCH(B110,'Heating Hot Water Pumps'!$O$1:$W$1,0))</f>
        <v>3568</v>
      </c>
      <c r="I110" s="113">
        <f>INDEX('Supply Fans'!$O$2:$W$14,MATCH(C110,'Supply Fans'!$M$2:$M$14,0),MATCH(B110,'Supply Fans'!$O$1:$W$1,0))</f>
        <v>5234</v>
      </c>
      <c r="J110" s="55"/>
      <c r="K110" s="55"/>
      <c r="L110" s="112" t="s">
        <v>189</v>
      </c>
      <c r="M110" s="50" t="s">
        <v>210</v>
      </c>
      <c r="N110" s="83" t="s">
        <v>280</v>
      </c>
      <c r="O110" s="101">
        <f>INDEX('Chilled Water Pumps'!$AA$2:$AI$9,MATCH('Lookup Table'!M110,'Chilled Water Pumps'!$Y$2:$Y$9,0),MATCH('Lookup Table'!L110,'Chilled Water Pumps'!$AA$1:$AI$1,0))</f>
        <v>0.28000000000000003</v>
      </c>
      <c r="P110" s="101">
        <f>INDEX('Cooling Tower Fan'!$AA$2:$AI$9,MATCH(M110,'Cooling Tower Fan'!$Y$2:$Y$9,0),MATCH(L110,'Cooling Tower Fan'!$AA$1:$AI$1,0))</f>
        <v>0.28000000000000003</v>
      </c>
      <c r="Q110" s="101">
        <f>INDEX('Condenser Water Pumps'!$AA$2:$AI$9,MATCH(M110,'Condenser Water Pumps'!$Y$2:$Y$9,0),MATCH(L110,'Condenser Water Pumps'!$AA$1:$AI$1,0))</f>
        <v>0.28000000000000003</v>
      </c>
      <c r="R110" s="101">
        <f>INDEX('Heating Hot Water Pumps'!$AA$2:$AI$9,MATCH(M110,'Heating Hot Water Pumps'!$Y$2:$Y$9,0),MATCH(L110,'Heating Hot Water Pumps'!$AA$1:$AI$1,0))</f>
        <v>0</v>
      </c>
      <c r="S110" s="119">
        <f>INDEX('Supply Fans'!$AA$2:$AI$14,MATCH(M110,'Supply Fans'!$Y$2:$Y$14,0),MATCH(L110,'Supply Fans'!$AA$1:$AI$1,0))</f>
        <v>0.36</v>
      </c>
    </row>
    <row r="111" spans="2:19" ht="15" thickBot="1">
      <c r="B111" s="112" t="s">
        <v>189</v>
      </c>
      <c r="C111" s="50" t="s">
        <v>211</v>
      </c>
      <c r="D111" s="50" t="s">
        <v>281</v>
      </c>
      <c r="E111" s="83" t="e">
        <f>INDEX('Chilled Water Pumps'!$O$2:$W$9,MATCH('Lookup Table'!C111,'Chilled Water Pumps'!$M$2:$M$9,0),MATCH('Lookup Table'!B111,'Chilled Water Pumps'!$O$1:$W$1,0))</f>
        <v>#N/A</v>
      </c>
      <c r="F111" s="83" t="e">
        <f>INDEX('Cooling Tower Fan'!$O$2:$W$9,MATCH(C111,'Cooling Tower Fan'!$M$2:$M$9,0),MATCH(B111,'Cooling Tower Fan'!$O$1:$W$1,0))</f>
        <v>#N/A</v>
      </c>
      <c r="G111" s="83" t="e">
        <f>INDEX('Condenser Water Pumps'!$O$2:$W$9,MATCH(C111,'Condenser Water Pumps'!$M$2:$M$9,0),MATCH(B111,'Condenser Water Pumps'!$O$1:$W$1,0))</f>
        <v>#N/A</v>
      </c>
      <c r="H111" s="83" t="e">
        <f>INDEX('Heating Hot Water Pumps'!$O$2:$W$9,MATCH(C111,'Heating Hot Water Pumps'!$M$2:$M$9,0),MATCH(B111,'Heating Hot Water Pumps'!$O$1:$W$1,0))</f>
        <v>#N/A</v>
      </c>
      <c r="I111" s="113">
        <f>INDEX('Supply Fans'!$O$2:$W$14,MATCH(C111,'Supply Fans'!$M$2:$M$14,0),MATCH(B111,'Supply Fans'!$O$1:$W$1,0))</f>
        <v>5259</v>
      </c>
      <c r="J111" s="55"/>
      <c r="K111" s="55"/>
      <c r="L111" s="112" t="s">
        <v>189</v>
      </c>
      <c r="M111" s="50" t="s">
        <v>211</v>
      </c>
      <c r="N111" s="83" t="s">
        <v>281</v>
      </c>
      <c r="O111" s="101" t="e">
        <f>INDEX('Chilled Water Pumps'!$AA$2:$AI$9,MATCH('Lookup Table'!M111,'Chilled Water Pumps'!$Y$2:$Y$9,0),MATCH('Lookup Table'!L111,'Chilled Water Pumps'!$AA$1:$AI$1,0))</f>
        <v>#N/A</v>
      </c>
      <c r="P111" s="101" t="e">
        <f>INDEX('Cooling Tower Fan'!$AA$2:$AI$9,MATCH(M111,'Cooling Tower Fan'!$Y$2:$Y$9,0),MATCH(L111,'Cooling Tower Fan'!$AA$1:$AI$1,0))</f>
        <v>#N/A</v>
      </c>
      <c r="Q111" s="101" t="e">
        <f>INDEX('Condenser Water Pumps'!$AA$2:$AI$9,MATCH(M111,'Condenser Water Pumps'!$Y$2:$Y$9,0),MATCH(L111,'Condenser Water Pumps'!$AA$1:$AI$1,0))</f>
        <v>#N/A</v>
      </c>
      <c r="R111" s="101" t="e">
        <f>INDEX('Heating Hot Water Pumps'!$AA$2:$AI$9,MATCH(M111,'Heating Hot Water Pumps'!$Y$2:$Y$9,0),MATCH(L111,'Heating Hot Water Pumps'!$AA$1:$AI$1,0))</f>
        <v>#N/A</v>
      </c>
      <c r="S111" s="119">
        <f>INDEX('Supply Fans'!$AA$2:$AI$14,MATCH(M111,'Supply Fans'!$Y$2:$Y$14,0),MATCH(L111,'Supply Fans'!$AA$1:$AI$1,0))</f>
        <v>0.1</v>
      </c>
    </row>
    <row r="112" spans="2:19" ht="15" thickBot="1">
      <c r="B112" s="112" t="s">
        <v>189</v>
      </c>
      <c r="C112" s="50" t="s">
        <v>212</v>
      </c>
      <c r="D112" s="50" t="s">
        <v>282</v>
      </c>
      <c r="E112" s="83" t="e">
        <f>INDEX('Chilled Water Pumps'!$O$2:$W$9,MATCH('Lookup Table'!C112,'Chilled Water Pumps'!$M$2:$M$9,0),MATCH('Lookup Table'!B112,'Chilled Water Pumps'!$O$1:$W$1,0))</f>
        <v>#N/A</v>
      </c>
      <c r="F112" s="83" t="e">
        <f>INDEX('Cooling Tower Fan'!$O$2:$W$9,MATCH(C112,'Cooling Tower Fan'!$M$2:$M$9,0),MATCH(B112,'Cooling Tower Fan'!$O$1:$W$1,0))</f>
        <v>#N/A</v>
      </c>
      <c r="G112" s="83" t="e">
        <f>INDEX('Condenser Water Pumps'!$O$2:$W$9,MATCH(C112,'Condenser Water Pumps'!$M$2:$M$9,0),MATCH(B112,'Condenser Water Pumps'!$O$1:$W$1,0))</f>
        <v>#N/A</v>
      </c>
      <c r="H112" s="83" t="e">
        <f>INDEX('Heating Hot Water Pumps'!$O$2:$W$9,MATCH(C112,'Heating Hot Water Pumps'!$M$2:$M$9,0),MATCH(B112,'Heating Hot Water Pumps'!$O$1:$W$1,0))</f>
        <v>#N/A</v>
      </c>
      <c r="I112" s="113">
        <f>INDEX('Supply Fans'!$O$2:$W$14,MATCH(C112,'Supply Fans'!$M$2:$M$14,0),MATCH(B112,'Supply Fans'!$O$1:$W$1,0))</f>
        <v>4041</v>
      </c>
      <c r="J112" s="55"/>
      <c r="K112" s="55"/>
      <c r="L112" s="112" t="s">
        <v>189</v>
      </c>
      <c r="M112" s="50" t="s">
        <v>212</v>
      </c>
      <c r="N112" s="83" t="s">
        <v>282</v>
      </c>
      <c r="O112" s="101" t="e">
        <f>INDEX('Chilled Water Pumps'!$AA$2:$AI$9,MATCH('Lookup Table'!M112,'Chilled Water Pumps'!$Y$2:$Y$9,0),MATCH('Lookup Table'!L112,'Chilled Water Pumps'!$AA$1:$AI$1,0))</f>
        <v>#N/A</v>
      </c>
      <c r="P112" s="101" t="e">
        <f>INDEX('Cooling Tower Fan'!$AA$2:$AI$9,MATCH(M112,'Cooling Tower Fan'!$Y$2:$Y$9,0),MATCH(L112,'Cooling Tower Fan'!$AA$1:$AI$1,0))</f>
        <v>#N/A</v>
      </c>
      <c r="Q112" s="101" t="e">
        <f>INDEX('Condenser Water Pumps'!$AA$2:$AI$9,MATCH(M112,'Condenser Water Pumps'!$Y$2:$Y$9,0),MATCH(L112,'Condenser Water Pumps'!$AA$1:$AI$1,0))</f>
        <v>#N/A</v>
      </c>
      <c r="R112" s="101" t="e">
        <f>INDEX('Heating Hot Water Pumps'!$AA$2:$AI$9,MATCH(M112,'Heating Hot Water Pumps'!$Y$2:$Y$9,0),MATCH(L112,'Heating Hot Water Pumps'!$AA$1:$AI$1,0))</f>
        <v>#N/A</v>
      </c>
      <c r="S112" s="119">
        <f>INDEX('Supply Fans'!$AA$2:$AI$14,MATCH(M112,'Supply Fans'!$Y$2:$Y$14,0),MATCH(L112,'Supply Fans'!$AA$1:$AI$1,0))</f>
        <v>0.43</v>
      </c>
    </row>
    <row r="113" spans="2:19" ht="15" thickBot="1">
      <c r="B113" s="112" t="s">
        <v>194</v>
      </c>
      <c r="C113" s="83" t="s">
        <v>178</v>
      </c>
      <c r="D113" s="50" t="s">
        <v>283</v>
      </c>
      <c r="E113" s="83">
        <f>INDEX('Chilled Water Pumps'!$O$2:$W$9,MATCH('Lookup Table'!C113,'Chilled Water Pumps'!$M$2:$M$9,0),MATCH('Lookup Table'!B113,'Chilled Water Pumps'!$O$1:$W$1,0))</f>
        <v>3641</v>
      </c>
      <c r="F113" s="83">
        <f>INDEX('Cooling Tower Fan'!$O$2:$W$9,MATCH(C113,'Cooling Tower Fan'!$M$2:$M$9,0),MATCH(B113,'Cooling Tower Fan'!$O$1:$W$1,0))</f>
        <v>3641</v>
      </c>
      <c r="G113" s="83">
        <f>INDEX('Condenser Water Pumps'!$O$2:$W$9,MATCH(C113,'Condenser Water Pumps'!$M$2:$M$9,0),MATCH(B113,'Condenser Water Pumps'!$O$1:$W$1,0))</f>
        <v>3063</v>
      </c>
      <c r="H113" s="83">
        <f>INDEX('Heating Hot Water Pumps'!$O$2:$W$9,MATCH(C113,'Heating Hot Water Pumps'!$M$2:$M$9,0),MATCH(B113,'Heating Hot Water Pumps'!$O$1:$W$1,0))</f>
        <v>5036</v>
      </c>
      <c r="I113" s="113">
        <f>INDEX('Supply Fans'!$O$2:$W$14,MATCH(C113,'Supply Fans'!$M$2:$M$14,0),MATCH(B113,'Supply Fans'!$O$1:$W$1,0))</f>
        <v>6139</v>
      </c>
      <c r="J113" s="55"/>
      <c r="K113" s="55"/>
      <c r="L113" s="112" t="s">
        <v>194</v>
      </c>
      <c r="M113" s="83" t="s">
        <v>178</v>
      </c>
      <c r="N113" s="83" t="s">
        <v>283</v>
      </c>
      <c r="O113" s="101">
        <f>INDEX('Chilled Water Pumps'!$AA$2:$AI$9,MATCH('Lookup Table'!M113,'Chilled Water Pumps'!$Y$2:$Y$9,0),MATCH('Lookup Table'!L113,'Chilled Water Pumps'!$AA$1:$AI$1,0))</f>
        <v>0.3</v>
      </c>
      <c r="P113" s="101">
        <f>INDEX('Cooling Tower Fan'!$AA$2:$AI$9,MATCH(M113,'Cooling Tower Fan'!$Y$2:$Y$9,0),MATCH(L113,'Cooling Tower Fan'!$AA$1:$AI$1,0))</f>
        <v>0.3</v>
      </c>
      <c r="Q113" s="101">
        <f>INDEX('Condenser Water Pumps'!$AA$2:$AI$9,MATCH(M113,'Condenser Water Pumps'!$Y$2:$Y$9,0),MATCH(L113,'Condenser Water Pumps'!$AA$1:$AI$1,0))</f>
        <v>0.3</v>
      </c>
      <c r="R113" s="101">
        <f>INDEX('Heating Hot Water Pumps'!$AA$2:$AI$9,MATCH(M113,'Heating Hot Water Pumps'!$Y$2:$Y$9,0),MATCH(L113,'Heating Hot Water Pumps'!$AA$1:$AI$1,0))</f>
        <v>0.01</v>
      </c>
      <c r="S113" s="119">
        <f>INDEX('Supply Fans'!$AA$2:$AI$14,MATCH(M113,'Supply Fans'!$Y$2:$Y$14,0),MATCH(L113,'Supply Fans'!$AA$1:$AI$1,0))</f>
        <v>0.32</v>
      </c>
    </row>
    <row r="114" spans="2:19" ht="15" thickBot="1">
      <c r="B114" s="112" t="s">
        <v>194</v>
      </c>
      <c r="C114" s="50" t="s">
        <v>184</v>
      </c>
      <c r="D114" s="50" t="s">
        <v>284</v>
      </c>
      <c r="E114" s="83">
        <f>INDEX('Chilled Water Pumps'!$O$2:$W$9,MATCH('Lookup Table'!C114,'Chilled Water Pumps'!$M$2:$M$9,0),MATCH('Lookup Table'!B114,'Chilled Water Pumps'!$O$1:$W$1,0))</f>
        <v>2175</v>
      </c>
      <c r="F114" s="83">
        <f>INDEX('Cooling Tower Fan'!$O$2:$W$9,MATCH(C114,'Cooling Tower Fan'!$M$2:$M$9,0),MATCH(B114,'Cooling Tower Fan'!$O$1:$W$1,0))</f>
        <v>2178</v>
      </c>
      <c r="G114" s="83">
        <f>INDEX('Condenser Water Pumps'!$O$2:$W$9,MATCH(C114,'Condenser Water Pumps'!$M$2:$M$9,0),MATCH(B114,'Condenser Water Pumps'!$O$1:$W$1,0))</f>
        <v>2039</v>
      </c>
      <c r="H114" s="83">
        <f>INDEX('Heating Hot Water Pumps'!$O$2:$W$9,MATCH(C114,'Heating Hot Water Pumps'!$M$2:$M$9,0),MATCH(B114,'Heating Hot Water Pumps'!$O$1:$W$1,0))</f>
        <v>4080</v>
      </c>
      <c r="I114" s="113">
        <f>INDEX('Supply Fans'!$O$2:$W$14,MATCH(C114,'Supply Fans'!$M$2:$M$14,0),MATCH(B114,'Supply Fans'!$O$1:$W$1,0))</f>
        <v>4572</v>
      </c>
      <c r="J114" s="55"/>
      <c r="K114" s="55"/>
      <c r="L114" s="112" t="s">
        <v>194</v>
      </c>
      <c r="M114" s="50" t="s">
        <v>184</v>
      </c>
      <c r="N114" s="83" t="s">
        <v>284</v>
      </c>
      <c r="O114" s="101">
        <f>INDEX('Chilled Water Pumps'!$AA$2:$AI$9,MATCH('Lookup Table'!M114,'Chilled Water Pumps'!$Y$2:$Y$9,0),MATCH('Lookup Table'!L114,'Chilled Water Pumps'!$AA$1:$AI$1,0))</f>
        <v>0.09</v>
      </c>
      <c r="P114" s="101">
        <f>INDEX('Cooling Tower Fan'!$AA$2:$AI$9,MATCH(M114,'Cooling Tower Fan'!$Y$2:$Y$9,0),MATCH(L114,'Cooling Tower Fan'!$AA$1:$AI$1,0))</f>
        <v>0.09</v>
      </c>
      <c r="Q114" s="101">
        <f>INDEX('Condenser Water Pumps'!$AA$2:$AI$9,MATCH(M114,'Condenser Water Pumps'!$Y$2:$Y$9,0),MATCH(L114,'Condenser Water Pumps'!$AA$1:$AI$1,0))</f>
        <v>0.09</v>
      </c>
      <c r="R114" s="101">
        <f>INDEX('Heating Hot Water Pumps'!$AA$2:$AI$9,MATCH(M114,'Heating Hot Water Pumps'!$Y$2:$Y$9,0),MATCH(L114,'Heating Hot Water Pumps'!$AA$1:$AI$1,0))</f>
        <v>0</v>
      </c>
      <c r="S114" s="119">
        <f>INDEX('Supply Fans'!$AA$2:$AI$14,MATCH(M114,'Supply Fans'!$Y$2:$Y$14,0),MATCH(L114,'Supply Fans'!$AA$1:$AI$1,0))</f>
        <v>0.09</v>
      </c>
    </row>
    <row r="115" spans="2:19" ht="15" thickBot="1">
      <c r="B115" s="112" t="s">
        <v>194</v>
      </c>
      <c r="C115" s="50" t="s">
        <v>190</v>
      </c>
      <c r="D115" s="50" t="s">
        <v>285</v>
      </c>
      <c r="E115" s="83" t="e">
        <f>INDEX('Chilled Water Pumps'!$O$2:$W$9,MATCH('Lookup Table'!C115,'Chilled Water Pumps'!$M$2:$M$9,0),MATCH('Lookup Table'!B115,'Chilled Water Pumps'!$O$1:$W$1,0))</f>
        <v>#N/A</v>
      </c>
      <c r="F115" s="83" t="e">
        <f>INDEX('Cooling Tower Fan'!$O$2:$W$9,MATCH(C115,'Cooling Tower Fan'!$M$2:$M$9,0),MATCH(B115,'Cooling Tower Fan'!$O$1:$W$1,0))</f>
        <v>#N/A</v>
      </c>
      <c r="G115" s="83" t="e">
        <f>INDEX('Condenser Water Pumps'!$O$2:$W$9,MATCH(C115,'Condenser Water Pumps'!$M$2:$M$9,0),MATCH(B115,'Condenser Water Pumps'!$O$1:$W$1,0))</f>
        <v>#N/A</v>
      </c>
      <c r="H115" s="83" t="e">
        <f>INDEX('Heating Hot Water Pumps'!$O$2:$W$9,MATCH(C115,'Heating Hot Water Pumps'!$M$2:$M$9,0),MATCH(B115,'Heating Hot Water Pumps'!$O$1:$W$1,0))</f>
        <v>#N/A</v>
      </c>
      <c r="I115" s="113">
        <f>INDEX('Supply Fans'!$O$2:$W$14,MATCH(C115,'Supply Fans'!$M$2:$M$14,0),MATCH(B115,'Supply Fans'!$O$1:$W$1,0))</f>
        <v>6738</v>
      </c>
      <c r="J115" s="55"/>
      <c r="K115" s="55"/>
      <c r="L115" s="112" t="s">
        <v>194</v>
      </c>
      <c r="M115" s="50" t="s">
        <v>190</v>
      </c>
      <c r="N115" s="83" t="s">
        <v>285</v>
      </c>
      <c r="O115" s="101" t="e">
        <f>INDEX('Chilled Water Pumps'!$AA$2:$AI$9,MATCH('Lookup Table'!M115,'Chilled Water Pumps'!$Y$2:$Y$9,0),MATCH('Lookup Table'!L115,'Chilled Water Pumps'!$AA$1:$AI$1,0))</f>
        <v>#N/A</v>
      </c>
      <c r="P115" s="101" t="e">
        <f>INDEX('Cooling Tower Fan'!$AA$2:$AI$9,MATCH(M115,'Cooling Tower Fan'!$Y$2:$Y$9,0),MATCH(L115,'Cooling Tower Fan'!$AA$1:$AI$1,0))</f>
        <v>#N/A</v>
      </c>
      <c r="Q115" s="101" t="e">
        <f>INDEX('Condenser Water Pumps'!$AA$2:$AI$9,MATCH(M115,'Condenser Water Pumps'!$Y$2:$Y$9,0),MATCH(L115,'Condenser Water Pumps'!$AA$1:$AI$1,0))</f>
        <v>#N/A</v>
      </c>
      <c r="R115" s="101" t="e">
        <f>INDEX('Heating Hot Water Pumps'!$AA$2:$AI$9,MATCH(M115,'Heating Hot Water Pumps'!$Y$2:$Y$9,0),MATCH(L115,'Heating Hot Water Pumps'!$AA$1:$AI$1,0))</f>
        <v>#N/A</v>
      </c>
      <c r="S115" s="119">
        <f>INDEX('Supply Fans'!$AA$2:$AI$14,MATCH(M115,'Supply Fans'!$Y$2:$Y$14,0),MATCH(L115,'Supply Fans'!$AA$1:$AI$1,0))</f>
        <v>0.22</v>
      </c>
    </row>
    <row r="116" spans="2:19" ht="15" thickBot="1">
      <c r="B116" s="112" t="s">
        <v>194</v>
      </c>
      <c r="C116" s="50" t="s">
        <v>195</v>
      </c>
      <c r="D116" s="50" t="s">
        <v>286</v>
      </c>
      <c r="E116" s="83">
        <f>INDEX('Chilled Water Pumps'!$O$2:$W$9,MATCH('Lookup Table'!C116,'Chilled Water Pumps'!$M$2:$M$9,0),MATCH('Lookup Table'!B116,'Chilled Water Pumps'!$O$1:$W$1,0))</f>
        <v>5109</v>
      </c>
      <c r="F116" s="83">
        <f>INDEX('Cooling Tower Fan'!$O$2:$W$9,MATCH(C116,'Cooling Tower Fan'!$M$2:$M$9,0),MATCH(B116,'Cooling Tower Fan'!$O$1:$W$1,0))</f>
        <v>5107</v>
      </c>
      <c r="G116" s="83">
        <f>INDEX('Condenser Water Pumps'!$O$2:$W$9,MATCH(C116,'Condenser Water Pumps'!$M$2:$M$9,0),MATCH(B116,'Condenser Water Pumps'!$O$1:$W$1,0))</f>
        <v>3698</v>
      </c>
      <c r="H116" s="83">
        <f>INDEX('Heating Hot Water Pumps'!$O$2:$W$9,MATCH(C116,'Heating Hot Water Pumps'!$M$2:$M$9,0),MATCH(B116,'Heating Hot Water Pumps'!$O$1:$W$1,0))</f>
        <v>8760</v>
      </c>
      <c r="I116" s="113">
        <f>INDEX('Supply Fans'!$O$2:$W$14,MATCH(C116,'Supply Fans'!$M$2:$M$14,0),MATCH(B116,'Supply Fans'!$O$1:$W$1,0))</f>
        <v>8760</v>
      </c>
      <c r="J116" s="55"/>
      <c r="K116" s="55"/>
      <c r="L116" s="112" t="s">
        <v>194</v>
      </c>
      <c r="M116" s="50" t="s">
        <v>195</v>
      </c>
      <c r="N116" s="83" t="s">
        <v>286</v>
      </c>
      <c r="O116" s="101">
        <f>INDEX('Chilled Water Pumps'!$AA$2:$AI$9,MATCH('Lookup Table'!M116,'Chilled Water Pumps'!$Y$2:$Y$9,0),MATCH('Lookup Table'!L116,'Chilled Water Pumps'!$AA$1:$AI$1,0))</f>
        <v>0.42</v>
      </c>
      <c r="P116" s="101">
        <f>INDEX('Cooling Tower Fan'!$AA$2:$AI$9,MATCH(M116,'Cooling Tower Fan'!$Y$2:$Y$9,0),MATCH(L116,'Cooling Tower Fan'!$AA$1:$AI$1,0))</f>
        <v>0.41</v>
      </c>
      <c r="Q116" s="101">
        <f>INDEX('Condenser Water Pumps'!$AA$2:$AI$9,MATCH(M116,'Condenser Water Pumps'!$Y$2:$Y$9,0),MATCH(L116,'Condenser Water Pumps'!$AA$1:$AI$1,0))</f>
        <v>0.41</v>
      </c>
      <c r="R116" s="101">
        <f>INDEX('Heating Hot Water Pumps'!$AA$2:$AI$9,MATCH(M116,'Heating Hot Water Pumps'!$Y$2:$Y$9,0),MATCH(L116,'Heating Hot Water Pumps'!$AA$1:$AI$1,0))</f>
        <v>0.09</v>
      </c>
      <c r="S116" s="119">
        <f>INDEX('Supply Fans'!$AA$2:$AI$14,MATCH(M116,'Supply Fans'!$Y$2:$Y$14,0),MATCH(L116,'Supply Fans'!$AA$1:$AI$1,0))</f>
        <v>0.39</v>
      </c>
    </row>
    <row r="117" spans="2:19" ht="15" thickBot="1">
      <c r="B117" s="112" t="s">
        <v>194</v>
      </c>
      <c r="C117" s="50" t="s">
        <v>198</v>
      </c>
      <c r="D117" s="50" t="s">
        <v>287</v>
      </c>
      <c r="E117" s="83">
        <f>INDEX('Chilled Water Pumps'!$O$2:$W$9,MATCH('Lookup Table'!C117,'Chilled Water Pumps'!$M$2:$M$9,0),MATCH('Lookup Table'!B117,'Chilled Water Pumps'!$O$1:$W$1,0))</f>
        <v>3456</v>
      </c>
      <c r="F117" s="83">
        <f>INDEX('Cooling Tower Fan'!$O$2:$W$9,MATCH(C117,'Cooling Tower Fan'!$M$2:$M$9,0),MATCH(B117,'Cooling Tower Fan'!$O$1:$W$1,0))</f>
        <v>3457</v>
      </c>
      <c r="G117" s="83">
        <f>INDEX('Condenser Water Pumps'!$O$2:$W$9,MATCH(C117,'Condenser Water Pumps'!$M$2:$M$9,0),MATCH(B117,'Condenser Water Pumps'!$O$1:$W$1,0))</f>
        <v>3394</v>
      </c>
      <c r="H117" s="83">
        <f>INDEX('Heating Hot Water Pumps'!$O$2:$W$9,MATCH(C117,'Heating Hot Water Pumps'!$M$2:$M$9,0),MATCH(B117,'Heating Hot Water Pumps'!$O$1:$W$1,0))</f>
        <v>6280</v>
      </c>
      <c r="I117" s="113">
        <f>INDEX('Supply Fans'!$O$2:$W$14,MATCH(C117,'Supply Fans'!$M$2:$M$14,0),MATCH(B117,'Supply Fans'!$O$1:$W$1,0))</f>
        <v>8760</v>
      </c>
      <c r="J117" s="55"/>
      <c r="K117" s="55"/>
      <c r="L117" s="112" t="s">
        <v>194</v>
      </c>
      <c r="M117" s="50" t="s">
        <v>198</v>
      </c>
      <c r="N117" s="83" t="s">
        <v>287</v>
      </c>
      <c r="O117" s="101">
        <f>INDEX('Chilled Water Pumps'!$AA$2:$AI$9,MATCH('Lookup Table'!M117,'Chilled Water Pumps'!$Y$2:$Y$9,0),MATCH('Lookup Table'!L117,'Chilled Water Pumps'!$AA$1:$AI$1,0))</f>
        <v>0.22</v>
      </c>
      <c r="P117" s="101">
        <f>INDEX('Cooling Tower Fan'!$AA$2:$AI$9,MATCH(M117,'Cooling Tower Fan'!$Y$2:$Y$9,0),MATCH(L117,'Cooling Tower Fan'!$AA$1:$AI$1,0))</f>
        <v>0.22</v>
      </c>
      <c r="Q117" s="101">
        <f>INDEX('Condenser Water Pumps'!$AA$2:$AI$9,MATCH(M117,'Condenser Water Pumps'!$Y$2:$Y$9,0),MATCH(L117,'Condenser Water Pumps'!$AA$1:$AI$1,0))</f>
        <v>0.22</v>
      </c>
      <c r="R117" s="101">
        <f>INDEX('Heating Hot Water Pumps'!$AA$2:$AI$9,MATCH(M117,'Heating Hot Water Pumps'!$Y$2:$Y$9,0),MATCH(L117,'Heating Hot Water Pumps'!$AA$1:$AI$1,0))</f>
        <v>0</v>
      </c>
      <c r="S117" s="119">
        <f>INDEX('Supply Fans'!$AA$2:$AI$14,MATCH(M117,'Supply Fans'!$Y$2:$Y$14,0),MATCH(L117,'Supply Fans'!$AA$1:$AI$1,0))</f>
        <v>0.23</v>
      </c>
    </row>
    <row r="118" spans="2:19" ht="15" thickBot="1">
      <c r="B118" s="112" t="s">
        <v>194</v>
      </c>
      <c r="C118" s="50" t="s">
        <v>201</v>
      </c>
      <c r="D118" s="50" t="s">
        <v>288</v>
      </c>
      <c r="E118" s="83">
        <f>INDEX('Chilled Water Pumps'!$O$2:$W$9,MATCH('Lookup Table'!C118,'Chilled Water Pumps'!$M$2:$M$9,0),MATCH('Lookup Table'!B118,'Chilled Water Pumps'!$O$1:$W$1,0))</f>
        <v>1448</v>
      </c>
      <c r="F118" s="83">
        <f>INDEX('Cooling Tower Fan'!$O$2:$W$9,MATCH(C118,'Cooling Tower Fan'!$M$2:$M$9,0),MATCH(B118,'Cooling Tower Fan'!$O$1:$W$1,0))</f>
        <v>1448</v>
      </c>
      <c r="G118" s="83">
        <f>INDEX('Condenser Water Pumps'!$O$2:$W$9,MATCH(C118,'Condenser Water Pumps'!$M$2:$M$9,0),MATCH(B118,'Condenser Water Pumps'!$O$1:$W$1,0))</f>
        <v>1445</v>
      </c>
      <c r="H118" s="83">
        <f>INDEX('Heating Hot Water Pumps'!$O$2:$W$9,MATCH(C118,'Heating Hot Water Pumps'!$M$2:$M$9,0),MATCH(B118,'Heating Hot Water Pumps'!$O$1:$W$1,0))</f>
        <v>1555</v>
      </c>
      <c r="I118" s="113">
        <f>INDEX('Supply Fans'!$O$2:$W$14,MATCH(C118,'Supply Fans'!$M$2:$M$14,0),MATCH(B118,'Supply Fans'!$O$1:$W$1,0))</f>
        <v>3977</v>
      </c>
      <c r="J118" s="55"/>
      <c r="K118" s="55"/>
      <c r="L118" s="112" t="s">
        <v>194</v>
      </c>
      <c r="M118" s="50" t="s">
        <v>201</v>
      </c>
      <c r="N118" s="83" t="s">
        <v>288</v>
      </c>
      <c r="O118" s="101">
        <f>INDEX('Chilled Water Pumps'!$AA$2:$AI$9,MATCH('Lookup Table'!M118,'Chilled Water Pumps'!$Y$2:$Y$9,0),MATCH('Lookup Table'!L118,'Chilled Water Pumps'!$AA$1:$AI$1,0))</f>
        <v>0.43</v>
      </c>
      <c r="P118" s="101">
        <f>INDEX('Cooling Tower Fan'!$AA$2:$AI$9,MATCH(M118,'Cooling Tower Fan'!$Y$2:$Y$9,0),MATCH(L118,'Cooling Tower Fan'!$AA$1:$AI$1,0))</f>
        <v>0.43</v>
      </c>
      <c r="Q118" s="101">
        <f>INDEX('Condenser Water Pumps'!$AA$2:$AI$9,MATCH(M118,'Condenser Water Pumps'!$Y$2:$Y$9,0),MATCH(L118,'Condenser Water Pumps'!$AA$1:$AI$1,0))</f>
        <v>0.43</v>
      </c>
      <c r="R118" s="101">
        <f>INDEX('Heating Hot Water Pumps'!$AA$2:$AI$9,MATCH(M118,'Heating Hot Water Pumps'!$Y$2:$Y$9,0),MATCH(L118,'Heating Hot Water Pumps'!$AA$1:$AI$1,0))</f>
        <v>0</v>
      </c>
      <c r="S118" s="119">
        <f>INDEX('Supply Fans'!$AA$2:$AI$14,MATCH(M118,'Supply Fans'!$Y$2:$Y$14,0),MATCH(L118,'Supply Fans'!$AA$1:$AI$1,0))</f>
        <v>0.38</v>
      </c>
    </row>
    <row r="119" spans="2:19" ht="15" thickBot="1">
      <c r="B119" s="112" t="s">
        <v>194</v>
      </c>
      <c r="C119" s="50" t="s">
        <v>203</v>
      </c>
      <c r="D119" s="50" t="s">
        <v>289</v>
      </c>
      <c r="E119" s="83" t="e">
        <f>INDEX('Chilled Water Pumps'!$O$2:$W$9,MATCH('Lookup Table'!C119,'Chilled Water Pumps'!$M$2:$M$9,0),MATCH('Lookup Table'!B119,'Chilled Water Pumps'!$O$1:$W$1,0))</f>
        <v>#N/A</v>
      </c>
      <c r="F119" s="83" t="e">
        <f>INDEX('Cooling Tower Fan'!$O$2:$W$9,MATCH(C119,'Cooling Tower Fan'!$M$2:$M$9,0),MATCH(B119,'Cooling Tower Fan'!$O$1:$W$1,0))</f>
        <v>#N/A</v>
      </c>
      <c r="G119" s="83" t="e">
        <f>INDEX('Condenser Water Pumps'!$O$2:$W$9,MATCH(C119,'Condenser Water Pumps'!$M$2:$M$9,0),MATCH(B119,'Condenser Water Pumps'!$O$1:$W$1,0))</f>
        <v>#N/A</v>
      </c>
      <c r="H119" s="83" t="e">
        <f>INDEX('Heating Hot Water Pumps'!$O$2:$W$9,MATCH(C119,'Heating Hot Water Pumps'!$M$2:$M$9,0),MATCH(B119,'Heating Hot Water Pumps'!$O$1:$W$1,0))</f>
        <v>#N/A</v>
      </c>
      <c r="I119" s="113">
        <f>INDEX('Supply Fans'!$O$2:$W$14,MATCH(C119,'Supply Fans'!$M$2:$M$14,0),MATCH(B119,'Supply Fans'!$O$1:$W$1,0))</f>
        <v>5217</v>
      </c>
      <c r="J119" s="55"/>
      <c r="K119" s="55"/>
      <c r="L119" s="112" t="s">
        <v>194</v>
      </c>
      <c r="M119" s="50" t="s">
        <v>203</v>
      </c>
      <c r="N119" s="83" t="s">
        <v>289</v>
      </c>
      <c r="O119" s="101" t="e">
        <f>INDEX('Chilled Water Pumps'!$AA$2:$AI$9,MATCH('Lookup Table'!M119,'Chilled Water Pumps'!$Y$2:$Y$9,0),MATCH('Lookup Table'!L119,'Chilled Water Pumps'!$AA$1:$AI$1,0))</f>
        <v>#N/A</v>
      </c>
      <c r="P119" s="101" t="e">
        <f>INDEX('Cooling Tower Fan'!$AA$2:$AI$9,MATCH(M119,'Cooling Tower Fan'!$Y$2:$Y$9,0),MATCH(L119,'Cooling Tower Fan'!$AA$1:$AI$1,0))</f>
        <v>#N/A</v>
      </c>
      <c r="Q119" s="101" t="e">
        <f>INDEX('Condenser Water Pumps'!$AA$2:$AI$9,MATCH(M119,'Condenser Water Pumps'!$Y$2:$Y$9,0),MATCH(L119,'Condenser Water Pumps'!$AA$1:$AI$1,0))</f>
        <v>#N/A</v>
      </c>
      <c r="R119" s="101" t="e">
        <f>INDEX('Heating Hot Water Pumps'!$AA$2:$AI$9,MATCH(M119,'Heating Hot Water Pumps'!$Y$2:$Y$9,0),MATCH(L119,'Heating Hot Water Pumps'!$AA$1:$AI$1,0))</f>
        <v>#N/A</v>
      </c>
      <c r="S119" s="119">
        <f>INDEX('Supply Fans'!$AA$2:$AI$14,MATCH(M119,'Supply Fans'!$Y$2:$Y$14,0),MATCH(L119,'Supply Fans'!$AA$1:$AI$1,0))</f>
        <v>0.45</v>
      </c>
    </row>
    <row r="120" spans="2:19" ht="15" thickBot="1">
      <c r="B120" s="112" t="s">
        <v>194</v>
      </c>
      <c r="C120" s="50" t="s">
        <v>205</v>
      </c>
      <c r="D120" s="50" t="s">
        <v>290</v>
      </c>
      <c r="E120" s="83">
        <f>INDEX('Chilled Water Pumps'!$O$2:$W$9,MATCH('Lookup Table'!C120,'Chilled Water Pumps'!$M$2:$M$9,0),MATCH('Lookup Table'!B120,'Chilled Water Pumps'!$O$1:$W$1,0))</f>
        <v>5198</v>
      </c>
      <c r="F120" s="83">
        <f>INDEX('Cooling Tower Fan'!$O$2:$W$9,MATCH(C120,'Cooling Tower Fan'!$M$2:$M$9,0),MATCH(B120,'Cooling Tower Fan'!$O$1:$W$1,0))</f>
        <v>5197</v>
      </c>
      <c r="G120" s="83">
        <f>INDEX('Condenser Water Pumps'!$O$2:$W$9,MATCH(C120,'Condenser Water Pumps'!$M$2:$M$9,0),MATCH(B120,'Condenser Water Pumps'!$O$1:$W$1,0))</f>
        <v>4766</v>
      </c>
      <c r="H120" s="83">
        <f>INDEX('Heating Hot Water Pumps'!$O$2:$W$9,MATCH(C120,'Heating Hot Water Pumps'!$M$2:$M$9,0),MATCH(B120,'Heating Hot Water Pumps'!$O$1:$W$1,0))</f>
        <v>6829</v>
      </c>
      <c r="I120" s="113">
        <f>INDEX('Supply Fans'!$O$2:$W$14,MATCH(C120,'Supply Fans'!$M$2:$M$14,0),MATCH(B120,'Supply Fans'!$O$1:$W$1,0))</f>
        <v>8760</v>
      </c>
      <c r="J120" s="55"/>
      <c r="K120" s="55"/>
      <c r="L120" s="112" t="s">
        <v>194</v>
      </c>
      <c r="M120" s="50" t="s">
        <v>205</v>
      </c>
      <c r="N120" s="83" t="s">
        <v>290</v>
      </c>
      <c r="O120" s="101">
        <f>INDEX('Chilled Water Pumps'!$AA$2:$AI$9,MATCH('Lookup Table'!M120,'Chilled Water Pumps'!$Y$2:$Y$9,0),MATCH('Lookup Table'!L120,'Chilled Water Pumps'!$AA$1:$AI$1,0))</f>
        <v>0.6</v>
      </c>
      <c r="P120" s="101">
        <f>INDEX('Cooling Tower Fan'!$AA$2:$AI$9,MATCH(M120,'Cooling Tower Fan'!$Y$2:$Y$9,0),MATCH(L120,'Cooling Tower Fan'!$AA$1:$AI$1,0))</f>
        <v>0.61</v>
      </c>
      <c r="Q120" s="101">
        <f>INDEX('Condenser Water Pumps'!$AA$2:$AI$9,MATCH(M120,'Condenser Water Pumps'!$Y$2:$Y$9,0),MATCH(L120,'Condenser Water Pumps'!$AA$1:$AI$1,0))</f>
        <v>0.61</v>
      </c>
      <c r="R120" s="101">
        <f>INDEX('Heating Hot Water Pumps'!$AA$2:$AI$9,MATCH(M120,'Heating Hot Water Pumps'!$Y$2:$Y$9,0),MATCH(L120,'Heating Hot Water Pumps'!$AA$1:$AI$1,0))</f>
        <v>0</v>
      </c>
      <c r="S120" s="119">
        <f>INDEX('Supply Fans'!$AA$2:$AI$14,MATCH(M120,'Supply Fans'!$Y$2:$Y$14,0),MATCH(L120,'Supply Fans'!$AA$1:$AI$1,0))</f>
        <v>0.65</v>
      </c>
    </row>
    <row r="121" spans="2:19" ht="15" thickBot="1">
      <c r="B121" s="112" t="s">
        <v>194</v>
      </c>
      <c r="C121" s="50" t="s">
        <v>208</v>
      </c>
      <c r="D121" s="50" t="s">
        <v>291</v>
      </c>
      <c r="E121" s="83">
        <f>INDEX('Chilled Water Pumps'!$O$2:$W$9,MATCH('Lookup Table'!C121,'Chilled Water Pumps'!$M$2:$M$9,0),MATCH('Lookup Table'!B121,'Chilled Water Pumps'!$O$1:$W$1,0))</f>
        <v>1585</v>
      </c>
      <c r="F121" s="83">
        <f>INDEX('Cooling Tower Fan'!$O$2:$W$9,MATCH(C121,'Cooling Tower Fan'!$M$2:$M$9,0),MATCH(B121,'Cooling Tower Fan'!$O$1:$W$1,0))</f>
        <v>1585</v>
      </c>
      <c r="G121" s="83">
        <f>INDEX('Condenser Water Pumps'!$O$2:$W$9,MATCH(C121,'Condenser Water Pumps'!$M$2:$M$9,0),MATCH(B121,'Condenser Water Pumps'!$O$1:$W$1,0))</f>
        <v>1569</v>
      </c>
      <c r="H121" s="83">
        <f>INDEX('Heating Hot Water Pumps'!$O$2:$W$9,MATCH(C121,'Heating Hot Water Pumps'!$M$2:$M$9,0),MATCH(B121,'Heating Hot Water Pumps'!$O$1:$W$1,0))</f>
        <v>3611</v>
      </c>
      <c r="I121" s="113">
        <f>INDEX('Supply Fans'!$O$2:$W$14,MATCH(C121,'Supply Fans'!$M$2:$M$14,0),MATCH(B121,'Supply Fans'!$O$1:$W$1,0))</f>
        <v>4441</v>
      </c>
      <c r="J121" s="55"/>
      <c r="K121" s="55"/>
      <c r="L121" s="112" t="s">
        <v>194</v>
      </c>
      <c r="M121" s="50" t="s">
        <v>208</v>
      </c>
      <c r="N121" s="83" t="s">
        <v>291</v>
      </c>
      <c r="O121" s="101">
        <f>INDEX('Chilled Water Pumps'!$AA$2:$AI$9,MATCH('Lookup Table'!M121,'Chilled Water Pumps'!$Y$2:$Y$9,0),MATCH('Lookup Table'!L121,'Chilled Water Pumps'!$AA$1:$AI$1,0))</f>
        <v>0.27</v>
      </c>
      <c r="P121" s="101">
        <f>INDEX('Cooling Tower Fan'!$AA$2:$AI$9,MATCH(M121,'Cooling Tower Fan'!$Y$2:$Y$9,0),MATCH(L121,'Cooling Tower Fan'!$AA$1:$AI$1,0))</f>
        <v>0.27</v>
      </c>
      <c r="Q121" s="101">
        <f>INDEX('Condenser Water Pumps'!$AA$2:$AI$9,MATCH(M121,'Condenser Water Pumps'!$Y$2:$Y$9,0),MATCH(L121,'Condenser Water Pumps'!$AA$1:$AI$1,0))</f>
        <v>0.27</v>
      </c>
      <c r="R121" s="101">
        <f>INDEX('Heating Hot Water Pumps'!$AA$2:$AI$9,MATCH(M121,'Heating Hot Water Pumps'!$Y$2:$Y$9,0),MATCH(L121,'Heating Hot Water Pumps'!$AA$1:$AI$1,0))</f>
        <v>0</v>
      </c>
      <c r="S121" s="119">
        <f>INDEX('Supply Fans'!$AA$2:$AI$14,MATCH(M121,'Supply Fans'!$Y$2:$Y$14,0),MATCH(L121,'Supply Fans'!$AA$1:$AI$1,0))</f>
        <v>0.28000000000000003</v>
      </c>
    </row>
    <row r="122" spans="2:19" ht="15" thickBot="1">
      <c r="B122" s="112" t="s">
        <v>194</v>
      </c>
      <c r="C122" s="50" t="s">
        <v>209</v>
      </c>
      <c r="D122" s="50" t="s">
        <v>292</v>
      </c>
      <c r="E122" s="83" t="e">
        <f>INDEX('Chilled Water Pumps'!$O$2:$W$9,MATCH('Lookup Table'!C122,'Chilled Water Pumps'!$M$2:$M$9,0),MATCH('Lookup Table'!B122,'Chilled Water Pumps'!$O$1:$W$1,0))</f>
        <v>#N/A</v>
      </c>
      <c r="F122" s="83" t="e">
        <f>INDEX('Cooling Tower Fan'!$O$2:$W$9,MATCH(C122,'Cooling Tower Fan'!$M$2:$M$9,0),MATCH(B122,'Cooling Tower Fan'!$O$1:$W$1,0))</f>
        <v>#N/A</v>
      </c>
      <c r="G122" s="83" t="e">
        <f>INDEX('Condenser Water Pumps'!$O$2:$W$9,MATCH(C122,'Condenser Water Pumps'!$M$2:$M$9,0),MATCH(B122,'Condenser Water Pumps'!$O$1:$W$1,0))</f>
        <v>#N/A</v>
      </c>
      <c r="H122" s="83" t="e">
        <f>INDEX('Heating Hot Water Pumps'!$O$2:$W$9,MATCH(C122,'Heating Hot Water Pumps'!$M$2:$M$9,0),MATCH(B122,'Heating Hot Water Pumps'!$O$1:$W$1,0))</f>
        <v>#N/A</v>
      </c>
      <c r="I122" s="113">
        <f>INDEX('Supply Fans'!$O$2:$W$14,MATCH(C122,'Supply Fans'!$M$2:$M$14,0),MATCH(B122,'Supply Fans'!$O$1:$W$1,0))</f>
        <v>6365</v>
      </c>
      <c r="J122" s="55"/>
      <c r="K122" s="55"/>
      <c r="L122" s="112" t="s">
        <v>194</v>
      </c>
      <c r="M122" s="50" t="s">
        <v>209</v>
      </c>
      <c r="N122" s="83" t="s">
        <v>292</v>
      </c>
      <c r="O122" s="101" t="e">
        <f>INDEX('Chilled Water Pumps'!$AA$2:$AI$9,MATCH('Lookup Table'!M122,'Chilled Water Pumps'!$Y$2:$Y$9,0),MATCH('Lookup Table'!L122,'Chilled Water Pumps'!$AA$1:$AI$1,0))</f>
        <v>#N/A</v>
      </c>
      <c r="P122" s="101" t="e">
        <f>INDEX('Cooling Tower Fan'!$AA$2:$AI$9,MATCH(M122,'Cooling Tower Fan'!$Y$2:$Y$9,0),MATCH(L122,'Cooling Tower Fan'!$AA$1:$AI$1,0))</f>
        <v>#N/A</v>
      </c>
      <c r="Q122" s="101" t="e">
        <f>INDEX('Condenser Water Pumps'!$AA$2:$AI$9,MATCH(M122,'Condenser Water Pumps'!$Y$2:$Y$9,0),MATCH(L122,'Condenser Water Pumps'!$AA$1:$AI$1,0))</f>
        <v>#N/A</v>
      </c>
      <c r="R122" s="101" t="e">
        <f>INDEX('Heating Hot Water Pumps'!$AA$2:$AI$9,MATCH(M122,'Heating Hot Water Pumps'!$Y$2:$Y$9,0),MATCH(L122,'Heating Hot Water Pumps'!$AA$1:$AI$1,0))</f>
        <v>#N/A</v>
      </c>
      <c r="S122" s="119">
        <f>INDEX('Supply Fans'!$AA$2:$AI$14,MATCH(M122,'Supply Fans'!$Y$2:$Y$14,0),MATCH(L122,'Supply Fans'!$AA$1:$AI$1,0))</f>
        <v>0.37</v>
      </c>
    </row>
    <row r="123" spans="2:19" ht="15" thickBot="1">
      <c r="B123" s="112" t="s">
        <v>194</v>
      </c>
      <c r="C123" s="50" t="s">
        <v>210</v>
      </c>
      <c r="D123" s="50" t="s">
        <v>293</v>
      </c>
      <c r="E123" s="83">
        <f>INDEX('Chilled Water Pumps'!$O$2:$W$9,MATCH('Lookup Table'!C123,'Chilled Water Pumps'!$M$2:$M$9,0),MATCH('Lookup Table'!B123,'Chilled Water Pumps'!$O$1:$W$1,0))</f>
        <v>2653</v>
      </c>
      <c r="F123" s="83">
        <f>INDEX('Cooling Tower Fan'!$O$2:$W$9,MATCH(C123,'Cooling Tower Fan'!$M$2:$M$9,0),MATCH(B123,'Cooling Tower Fan'!$O$1:$W$1,0))</f>
        <v>2653</v>
      </c>
      <c r="G123" s="83">
        <f>INDEX('Condenser Water Pumps'!$O$2:$W$9,MATCH(C123,'Condenser Water Pumps'!$M$2:$M$9,0),MATCH(B123,'Condenser Water Pumps'!$O$1:$W$1,0))</f>
        <v>2616</v>
      </c>
      <c r="H123" s="83">
        <f>INDEX('Heating Hot Water Pumps'!$O$2:$W$9,MATCH(C123,'Heating Hot Water Pumps'!$M$2:$M$9,0),MATCH(B123,'Heating Hot Water Pumps'!$O$1:$W$1,0))</f>
        <v>2960</v>
      </c>
      <c r="I123" s="113">
        <f>INDEX('Supply Fans'!$O$2:$W$14,MATCH(C123,'Supply Fans'!$M$2:$M$14,0),MATCH(B123,'Supply Fans'!$O$1:$W$1,0))</f>
        <v>5158</v>
      </c>
      <c r="J123" s="55"/>
      <c r="K123" s="55"/>
      <c r="L123" s="112" t="s">
        <v>194</v>
      </c>
      <c r="M123" s="50" t="s">
        <v>210</v>
      </c>
      <c r="N123" s="83" t="s">
        <v>293</v>
      </c>
      <c r="O123" s="101">
        <f>INDEX('Chilled Water Pumps'!$AA$2:$AI$9,MATCH('Lookup Table'!M123,'Chilled Water Pumps'!$Y$2:$Y$9,0),MATCH('Lookup Table'!L123,'Chilled Water Pumps'!$AA$1:$AI$1,0))</f>
        <v>0.38</v>
      </c>
      <c r="P123" s="101">
        <f>INDEX('Cooling Tower Fan'!$AA$2:$AI$9,MATCH(M123,'Cooling Tower Fan'!$Y$2:$Y$9,0),MATCH(L123,'Cooling Tower Fan'!$AA$1:$AI$1,0))</f>
        <v>0.38</v>
      </c>
      <c r="Q123" s="101">
        <f>INDEX('Condenser Water Pumps'!$AA$2:$AI$9,MATCH(M123,'Condenser Water Pumps'!$Y$2:$Y$9,0),MATCH(L123,'Condenser Water Pumps'!$AA$1:$AI$1,0))</f>
        <v>0.38</v>
      </c>
      <c r="R123" s="101">
        <f>INDEX('Heating Hot Water Pumps'!$AA$2:$AI$9,MATCH(M123,'Heating Hot Water Pumps'!$Y$2:$Y$9,0),MATCH(L123,'Heating Hot Water Pumps'!$AA$1:$AI$1,0))</f>
        <v>0</v>
      </c>
      <c r="S123" s="119">
        <f>INDEX('Supply Fans'!$AA$2:$AI$14,MATCH(M123,'Supply Fans'!$Y$2:$Y$14,0),MATCH(L123,'Supply Fans'!$AA$1:$AI$1,0))</f>
        <v>0.44</v>
      </c>
    </row>
    <row r="124" spans="2:19" ht="15" thickBot="1">
      <c r="B124" s="112" t="s">
        <v>194</v>
      </c>
      <c r="C124" s="50" t="s">
        <v>211</v>
      </c>
      <c r="D124" s="50" t="s">
        <v>294</v>
      </c>
      <c r="E124" s="83" t="e">
        <f>INDEX('Chilled Water Pumps'!$O$2:$W$9,MATCH('Lookup Table'!C124,'Chilled Water Pumps'!$M$2:$M$9,0),MATCH('Lookup Table'!B124,'Chilled Water Pumps'!$O$1:$W$1,0))</f>
        <v>#N/A</v>
      </c>
      <c r="F124" s="83" t="e">
        <f>INDEX('Cooling Tower Fan'!$O$2:$W$9,MATCH(C124,'Cooling Tower Fan'!$M$2:$M$9,0),MATCH(B124,'Cooling Tower Fan'!$O$1:$W$1,0))</f>
        <v>#N/A</v>
      </c>
      <c r="G124" s="83" t="e">
        <f>INDEX('Condenser Water Pumps'!$O$2:$W$9,MATCH(C124,'Condenser Water Pumps'!$M$2:$M$9,0),MATCH(B124,'Condenser Water Pumps'!$O$1:$W$1,0))</f>
        <v>#N/A</v>
      </c>
      <c r="H124" s="83" t="e">
        <f>INDEX('Heating Hot Water Pumps'!$O$2:$W$9,MATCH(C124,'Heating Hot Water Pumps'!$M$2:$M$9,0),MATCH(B124,'Heating Hot Water Pumps'!$O$1:$W$1,0))</f>
        <v>#N/A</v>
      </c>
      <c r="I124" s="113">
        <f>INDEX('Supply Fans'!$O$2:$W$14,MATCH(C124,'Supply Fans'!$M$2:$M$14,0),MATCH(B124,'Supply Fans'!$O$1:$W$1,0))</f>
        <v>5222</v>
      </c>
      <c r="J124" s="55"/>
      <c r="K124" s="55"/>
      <c r="L124" s="112" t="s">
        <v>194</v>
      </c>
      <c r="M124" s="50" t="s">
        <v>211</v>
      </c>
      <c r="N124" s="83" t="s">
        <v>294</v>
      </c>
      <c r="O124" s="101" t="e">
        <f>INDEX('Chilled Water Pumps'!$AA$2:$AI$9,MATCH('Lookup Table'!M124,'Chilled Water Pumps'!$Y$2:$Y$9,0),MATCH('Lookup Table'!L124,'Chilled Water Pumps'!$AA$1:$AI$1,0))</f>
        <v>#N/A</v>
      </c>
      <c r="P124" s="101" t="e">
        <f>INDEX('Cooling Tower Fan'!$AA$2:$AI$9,MATCH(M124,'Cooling Tower Fan'!$Y$2:$Y$9,0),MATCH(L124,'Cooling Tower Fan'!$AA$1:$AI$1,0))</f>
        <v>#N/A</v>
      </c>
      <c r="Q124" s="101" t="e">
        <f>INDEX('Condenser Water Pumps'!$AA$2:$AI$9,MATCH(M124,'Condenser Water Pumps'!$Y$2:$Y$9,0),MATCH(L124,'Condenser Water Pumps'!$AA$1:$AI$1,0))</f>
        <v>#N/A</v>
      </c>
      <c r="R124" s="101" t="e">
        <f>INDEX('Heating Hot Water Pumps'!$AA$2:$AI$9,MATCH(M124,'Heating Hot Water Pumps'!$Y$2:$Y$9,0),MATCH(L124,'Heating Hot Water Pumps'!$AA$1:$AI$1,0))</f>
        <v>#N/A</v>
      </c>
      <c r="S124" s="119">
        <f>INDEX('Supply Fans'!$AA$2:$AI$14,MATCH(M124,'Supply Fans'!$Y$2:$Y$14,0),MATCH(L124,'Supply Fans'!$AA$1:$AI$1,0))</f>
        <v>0.13</v>
      </c>
    </row>
    <row r="125" spans="2:19" ht="15" thickBot="1">
      <c r="B125" s="112" t="s">
        <v>194</v>
      </c>
      <c r="C125" s="50" t="s">
        <v>212</v>
      </c>
      <c r="D125" s="50" t="s">
        <v>295</v>
      </c>
      <c r="E125" s="83" t="e">
        <f>INDEX('Chilled Water Pumps'!$O$2:$W$9,MATCH('Lookup Table'!C125,'Chilled Water Pumps'!$M$2:$M$9,0),MATCH('Lookup Table'!B125,'Chilled Water Pumps'!$O$1:$W$1,0))</f>
        <v>#N/A</v>
      </c>
      <c r="F125" s="83" t="e">
        <f>INDEX('Cooling Tower Fan'!$O$2:$W$9,MATCH(C125,'Cooling Tower Fan'!$M$2:$M$9,0),MATCH(B125,'Cooling Tower Fan'!$O$1:$W$1,0))</f>
        <v>#N/A</v>
      </c>
      <c r="G125" s="83" t="e">
        <f>INDEX('Condenser Water Pumps'!$O$2:$W$9,MATCH(C125,'Condenser Water Pumps'!$M$2:$M$9,0),MATCH(B125,'Condenser Water Pumps'!$O$1:$W$1,0))</f>
        <v>#N/A</v>
      </c>
      <c r="H125" s="83" t="e">
        <f>INDEX('Heating Hot Water Pumps'!$O$2:$W$9,MATCH(C125,'Heating Hot Water Pumps'!$M$2:$M$9,0),MATCH(B125,'Heating Hot Water Pumps'!$O$1:$W$1,0))</f>
        <v>#N/A</v>
      </c>
      <c r="I125" s="113">
        <f>INDEX('Supply Fans'!$O$2:$W$14,MATCH(C125,'Supply Fans'!$M$2:$M$14,0),MATCH(B125,'Supply Fans'!$O$1:$W$1,0))</f>
        <v>4041</v>
      </c>
      <c r="J125" s="55"/>
      <c r="K125" s="55"/>
      <c r="L125" s="112" t="s">
        <v>194</v>
      </c>
      <c r="M125" s="50" t="s">
        <v>212</v>
      </c>
      <c r="N125" s="83" t="s">
        <v>295</v>
      </c>
      <c r="O125" s="101" t="e">
        <f>INDEX('Chilled Water Pumps'!$AA$2:$AI$9,MATCH('Lookup Table'!M125,'Chilled Water Pumps'!$Y$2:$Y$9,0),MATCH('Lookup Table'!L125,'Chilled Water Pumps'!$AA$1:$AI$1,0))</f>
        <v>#N/A</v>
      </c>
      <c r="P125" s="101" t="e">
        <f>INDEX('Cooling Tower Fan'!$AA$2:$AI$9,MATCH(M125,'Cooling Tower Fan'!$Y$2:$Y$9,0),MATCH(L125,'Cooling Tower Fan'!$AA$1:$AI$1,0))</f>
        <v>#N/A</v>
      </c>
      <c r="Q125" s="101" t="e">
        <f>INDEX('Condenser Water Pumps'!$AA$2:$AI$9,MATCH(M125,'Condenser Water Pumps'!$Y$2:$Y$9,0),MATCH(L125,'Condenser Water Pumps'!$AA$1:$AI$1,0))</f>
        <v>#N/A</v>
      </c>
      <c r="R125" s="101" t="e">
        <f>INDEX('Heating Hot Water Pumps'!$AA$2:$AI$9,MATCH(M125,'Heating Hot Water Pumps'!$Y$2:$Y$9,0),MATCH(L125,'Heating Hot Water Pumps'!$AA$1:$AI$1,0))</f>
        <v>#N/A</v>
      </c>
      <c r="S125" s="119">
        <f>INDEX('Supply Fans'!$AA$2:$AI$14,MATCH(M125,'Supply Fans'!$Y$2:$Y$14,0),MATCH(L125,'Supply Fans'!$AA$1:$AI$1,0))</f>
        <v>0.48</v>
      </c>
    </row>
    <row r="126" spans="2:19" ht="15" thickBot="1">
      <c r="B126" s="112" t="s">
        <v>197</v>
      </c>
      <c r="C126" s="83" t="s">
        <v>178</v>
      </c>
      <c r="D126" s="50" t="s">
        <v>296</v>
      </c>
      <c r="E126" s="83">
        <f>INDEX('Chilled Water Pumps'!$O$2:$W$9,MATCH('Lookup Table'!C126,'Chilled Water Pumps'!$M$2:$M$9,0),MATCH('Lookup Table'!B126,'Chilled Water Pumps'!$O$1:$W$1,0))</f>
        <v>4057</v>
      </c>
      <c r="F126" s="83">
        <f>INDEX('Cooling Tower Fan'!$O$2:$W$9,MATCH(C126,'Cooling Tower Fan'!$M$2:$M$9,0),MATCH(B126,'Cooling Tower Fan'!$O$1:$W$1,0))</f>
        <v>4057</v>
      </c>
      <c r="G126" s="83">
        <f>INDEX('Condenser Water Pumps'!$O$2:$W$9,MATCH(C126,'Condenser Water Pumps'!$M$2:$M$9,0),MATCH(B126,'Condenser Water Pumps'!$O$1:$W$1,0))</f>
        <v>3602</v>
      </c>
      <c r="H126" s="83">
        <f>INDEX('Heating Hot Water Pumps'!$O$2:$W$9,MATCH(C126,'Heating Hot Water Pumps'!$M$2:$M$9,0),MATCH(B126,'Heating Hot Water Pumps'!$O$1:$W$1,0))</f>
        <v>4250</v>
      </c>
      <c r="I126" s="113">
        <f>INDEX('Supply Fans'!$O$2:$W$14,MATCH(C126,'Supply Fans'!$M$2:$M$14,0),MATCH(B126,'Supply Fans'!$O$1:$W$1,0))</f>
        <v>5860</v>
      </c>
      <c r="J126" s="55"/>
      <c r="K126" s="55"/>
      <c r="L126" s="112" t="s">
        <v>197</v>
      </c>
      <c r="M126" s="83" t="s">
        <v>178</v>
      </c>
      <c r="N126" s="83" t="s">
        <v>296</v>
      </c>
      <c r="O126" s="101">
        <f>INDEX('Chilled Water Pumps'!$AA$2:$AI$9,MATCH('Lookup Table'!M126,'Chilled Water Pumps'!$Y$2:$Y$9,0),MATCH('Lookup Table'!L126,'Chilled Water Pumps'!$AA$1:$AI$1,0))</f>
        <v>0.42</v>
      </c>
      <c r="P126" s="101">
        <f>INDEX('Cooling Tower Fan'!$AA$2:$AI$9,MATCH(M126,'Cooling Tower Fan'!$Y$2:$Y$9,0),MATCH(L126,'Cooling Tower Fan'!$AA$1:$AI$1,0))</f>
        <v>0.42</v>
      </c>
      <c r="Q126" s="101">
        <f>INDEX('Condenser Water Pumps'!$AA$2:$AI$9,MATCH(M126,'Condenser Water Pumps'!$Y$2:$Y$9,0),MATCH(L126,'Condenser Water Pumps'!$AA$1:$AI$1,0))</f>
        <v>0.42</v>
      </c>
      <c r="R126" s="101">
        <f>INDEX('Heating Hot Water Pumps'!$AA$2:$AI$9,MATCH(M126,'Heating Hot Water Pumps'!$Y$2:$Y$9,0),MATCH(L126,'Heating Hot Water Pumps'!$AA$1:$AI$1,0))</f>
        <v>0</v>
      </c>
      <c r="S126" s="119">
        <f>INDEX('Supply Fans'!$AA$2:$AI$14,MATCH(M126,'Supply Fans'!$Y$2:$Y$14,0),MATCH(L126,'Supply Fans'!$AA$1:$AI$1,0))</f>
        <v>0.44</v>
      </c>
    </row>
    <row r="127" spans="2:19" ht="15" thickBot="1">
      <c r="B127" s="112" t="s">
        <v>197</v>
      </c>
      <c r="C127" s="50" t="s">
        <v>184</v>
      </c>
      <c r="D127" s="50" t="s">
        <v>297</v>
      </c>
      <c r="E127" s="83">
        <f>INDEX('Chilled Water Pumps'!$O$2:$W$9,MATCH('Lookup Table'!C127,'Chilled Water Pumps'!$M$2:$M$9,0),MATCH('Lookup Table'!B127,'Chilled Water Pumps'!$O$1:$W$1,0))</f>
        <v>2730</v>
      </c>
      <c r="F127" s="83">
        <f>INDEX('Cooling Tower Fan'!$O$2:$W$9,MATCH(C127,'Cooling Tower Fan'!$M$2:$M$9,0),MATCH(B127,'Cooling Tower Fan'!$O$1:$W$1,0))</f>
        <v>2744</v>
      </c>
      <c r="G127" s="83">
        <f>INDEX('Condenser Water Pumps'!$O$2:$W$9,MATCH(C127,'Condenser Water Pumps'!$M$2:$M$9,0),MATCH(B127,'Condenser Water Pumps'!$O$1:$W$1,0))</f>
        <v>2539</v>
      </c>
      <c r="H127" s="83">
        <f>INDEX('Heating Hot Water Pumps'!$O$2:$W$9,MATCH(C127,'Heating Hot Water Pumps'!$M$2:$M$9,0),MATCH(B127,'Heating Hot Water Pumps'!$O$1:$W$1,0))</f>
        <v>3492</v>
      </c>
      <c r="I127" s="113">
        <f>INDEX('Supply Fans'!$O$2:$W$14,MATCH(C127,'Supply Fans'!$M$2:$M$14,0),MATCH(B127,'Supply Fans'!$O$1:$W$1,0))</f>
        <v>4313</v>
      </c>
      <c r="J127" s="55"/>
      <c r="K127" s="55"/>
      <c r="L127" s="112" t="s">
        <v>197</v>
      </c>
      <c r="M127" s="50" t="s">
        <v>184</v>
      </c>
      <c r="N127" s="83" t="s">
        <v>297</v>
      </c>
      <c r="O127" s="101">
        <f>INDEX('Chilled Water Pumps'!$AA$2:$AI$9,MATCH('Lookup Table'!M127,'Chilled Water Pumps'!$Y$2:$Y$9,0),MATCH('Lookup Table'!L127,'Chilled Water Pumps'!$AA$1:$AI$1,0))</f>
        <v>0.18</v>
      </c>
      <c r="P127" s="101">
        <f>INDEX('Cooling Tower Fan'!$AA$2:$AI$9,MATCH(M127,'Cooling Tower Fan'!$Y$2:$Y$9,0),MATCH(L127,'Cooling Tower Fan'!$AA$1:$AI$1,0))</f>
        <v>0.18</v>
      </c>
      <c r="Q127" s="101">
        <f>INDEX('Condenser Water Pumps'!$AA$2:$AI$9,MATCH(M127,'Condenser Water Pumps'!$Y$2:$Y$9,0),MATCH(L127,'Condenser Water Pumps'!$AA$1:$AI$1,0))</f>
        <v>0.18</v>
      </c>
      <c r="R127" s="101">
        <f>INDEX('Heating Hot Water Pumps'!$AA$2:$AI$9,MATCH(M127,'Heating Hot Water Pumps'!$Y$2:$Y$9,0),MATCH(L127,'Heating Hot Water Pumps'!$AA$1:$AI$1,0))</f>
        <v>0</v>
      </c>
      <c r="S127" s="119">
        <f>INDEX('Supply Fans'!$AA$2:$AI$14,MATCH(M127,'Supply Fans'!$Y$2:$Y$14,0),MATCH(L127,'Supply Fans'!$AA$1:$AI$1,0))</f>
        <v>0.17</v>
      </c>
    </row>
    <row r="128" spans="2:19" ht="15" thickBot="1">
      <c r="B128" s="112" t="s">
        <v>197</v>
      </c>
      <c r="C128" s="50" t="s">
        <v>190</v>
      </c>
      <c r="D128" s="50" t="s">
        <v>298</v>
      </c>
      <c r="E128" s="83" t="e">
        <f>INDEX('Chilled Water Pumps'!$O$2:$W$9,MATCH('Lookup Table'!C128,'Chilled Water Pumps'!$M$2:$M$9,0),MATCH('Lookup Table'!B128,'Chilled Water Pumps'!$O$1:$W$1,0))</f>
        <v>#N/A</v>
      </c>
      <c r="F128" s="83" t="e">
        <f>INDEX('Cooling Tower Fan'!$O$2:$W$9,MATCH(C128,'Cooling Tower Fan'!$M$2:$M$9,0),MATCH(B128,'Cooling Tower Fan'!$O$1:$W$1,0))</f>
        <v>#N/A</v>
      </c>
      <c r="G128" s="83" t="e">
        <f>INDEX('Condenser Water Pumps'!$O$2:$W$9,MATCH(C128,'Condenser Water Pumps'!$M$2:$M$9,0),MATCH(B128,'Condenser Water Pumps'!$O$1:$W$1,0))</f>
        <v>#N/A</v>
      </c>
      <c r="H128" s="83" t="e">
        <f>INDEX('Heating Hot Water Pumps'!$O$2:$W$9,MATCH(C128,'Heating Hot Water Pumps'!$M$2:$M$9,0),MATCH(B128,'Heating Hot Water Pumps'!$O$1:$W$1,0))</f>
        <v>#N/A</v>
      </c>
      <c r="I128" s="113">
        <f>INDEX('Supply Fans'!$O$2:$W$14,MATCH(C128,'Supply Fans'!$M$2:$M$14,0),MATCH(B128,'Supply Fans'!$O$1:$W$1,0))</f>
        <v>6692</v>
      </c>
      <c r="J128" s="55"/>
      <c r="K128" s="55"/>
      <c r="L128" s="112" t="s">
        <v>197</v>
      </c>
      <c r="M128" s="50" t="s">
        <v>190</v>
      </c>
      <c r="N128" s="83" t="s">
        <v>298</v>
      </c>
      <c r="O128" s="101" t="e">
        <f>INDEX('Chilled Water Pumps'!$AA$2:$AI$9,MATCH('Lookup Table'!M128,'Chilled Water Pumps'!$Y$2:$Y$9,0),MATCH('Lookup Table'!L128,'Chilled Water Pumps'!$AA$1:$AI$1,0))</f>
        <v>#N/A</v>
      </c>
      <c r="P128" s="101" t="e">
        <f>INDEX('Cooling Tower Fan'!$AA$2:$AI$9,MATCH(M128,'Cooling Tower Fan'!$Y$2:$Y$9,0),MATCH(L128,'Cooling Tower Fan'!$AA$1:$AI$1,0))</f>
        <v>#N/A</v>
      </c>
      <c r="Q128" s="101" t="e">
        <f>INDEX('Condenser Water Pumps'!$AA$2:$AI$9,MATCH(M128,'Condenser Water Pumps'!$Y$2:$Y$9,0),MATCH(L128,'Condenser Water Pumps'!$AA$1:$AI$1,0))</f>
        <v>#N/A</v>
      </c>
      <c r="R128" s="101" t="e">
        <f>INDEX('Heating Hot Water Pumps'!$AA$2:$AI$9,MATCH(M128,'Heating Hot Water Pumps'!$Y$2:$Y$9,0),MATCH(L128,'Heating Hot Water Pumps'!$AA$1:$AI$1,0))</f>
        <v>#N/A</v>
      </c>
      <c r="S128" s="119">
        <f>INDEX('Supply Fans'!$AA$2:$AI$14,MATCH(M128,'Supply Fans'!$Y$2:$Y$14,0),MATCH(L128,'Supply Fans'!$AA$1:$AI$1,0))</f>
        <v>0.24</v>
      </c>
    </row>
    <row r="129" spans="2:19" ht="15" thickBot="1">
      <c r="B129" s="112" t="s">
        <v>197</v>
      </c>
      <c r="C129" s="50" t="s">
        <v>195</v>
      </c>
      <c r="D129" s="50" t="s">
        <v>299</v>
      </c>
      <c r="E129" s="83">
        <f>INDEX('Chilled Water Pumps'!$O$2:$W$9,MATCH('Lookup Table'!C129,'Chilled Water Pumps'!$M$2:$M$9,0),MATCH('Lookup Table'!B129,'Chilled Water Pumps'!$O$1:$W$1,0))</f>
        <v>5717</v>
      </c>
      <c r="F129" s="83">
        <f>INDEX('Cooling Tower Fan'!$O$2:$W$9,MATCH(C129,'Cooling Tower Fan'!$M$2:$M$9,0),MATCH(B129,'Cooling Tower Fan'!$O$1:$W$1,0))</f>
        <v>5714</v>
      </c>
      <c r="G129" s="83">
        <f>INDEX('Condenser Water Pumps'!$O$2:$W$9,MATCH(C129,'Condenser Water Pumps'!$M$2:$M$9,0),MATCH(B129,'Condenser Water Pumps'!$O$1:$W$1,0))</f>
        <v>3687</v>
      </c>
      <c r="H129" s="83">
        <f>INDEX('Heating Hot Water Pumps'!$O$2:$W$9,MATCH(C129,'Heating Hot Water Pumps'!$M$2:$M$9,0),MATCH(B129,'Heating Hot Water Pumps'!$O$1:$W$1,0))</f>
        <v>8760</v>
      </c>
      <c r="I129" s="113">
        <f>INDEX('Supply Fans'!$O$2:$W$14,MATCH(C129,'Supply Fans'!$M$2:$M$14,0),MATCH(B129,'Supply Fans'!$O$1:$W$1,0))</f>
        <v>8760</v>
      </c>
      <c r="J129" s="55"/>
      <c r="K129" s="55"/>
      <c r="L129" s="112" t="s">
        <v>197</v>
      </c>
      <c r="M129" s="50" t="s">
        <v>195</v>
      </c>
      <c r="N129" s="83" t="s">
        <v>299</v>
      </c>
      <c r="O129" s="101">
        <f>INDEX('Chilled Water Pumps'!$AA$2:$AI$9,MATCH('Lookup Table'!M129,'Chilled Water Pumps'!$Y$2:$Y$9,0),MATCH('Lookup Table'!L129,'Chilled Water Pumps'!$AA$1:$AI$1,0))</f>
        <v>0.5</v>
      </c>
      <c r="P129" s="101">
        <f>INDEX('Cooling Tower Fan'!$AA$2:$AI$9,MATCH(M129,'Cooling Tower Fan'!$Y$2:$Y$9,0),MATCH(L129,'Cooling Tower Fan'!$AA$1:$AI$1,0))</f>
        <v>0.49</v>
      </c>
      <c r="Q129" s="101">
        <f>INDEX('Condenser Water Pumps'!$AA$2:$AI$9,MATCH(M129,'Condenser Water Pumps'!$Y$2:$Y$9,0),MATCH(L129,'Condenser Water Pumps'!$AA$1:$AI$1,0))</f>
        <v>0.49</v>
      </c>
      <c r="R129" s="101">
        <f>INDEX('Heating Hot Water Pumps'!$AA$2:$AI$9,MATCH(M129,'Heating Hot Water Pumps'!$Y$2:$Y$9,0),MATCH(L129,'Heating Hot Water Pumps'!$AA$1:$AI$1,0))</f>
        <v>0.09</v>
      </c>
      <c r="S129" s="119">
        <f>INDEX('Supply Fans'!$AA$2:$AI$14,MATCH(M129,'Supply Fans'!$Y$2:$Y$14,0),MATCH(L129,'Supply Fans'!$AA$1:$AI$1,0))</f>
        <v>0.45</v>
      </c>
    </row>
    <row r="130" spans="2:19" ht="15" thickBot="1">
      <c r="B130" s="112" t="s">
        <v>197</v>
      </c>
      <c r="C130" s="50" t="s">
        <v>198</v>
      </c>
      <c r="D130" s="50" t="s">
        <v>300</v>
      </c>
      <c r="E130" s="83">
        <f>INDEX('Chilled Water Pumps'!$O$2:$W$9,MATCH('Lookup Table'!C130,'Chilled Water Pumps'!$M$2:$M$9,0),MATCH('Lookup Table'!B130,'Chilled Water Pumps'!$O$1:$W$1,0))</f>
        <v>4104</v>
      </c>
      <c r="F130" s="83">
        <f>INDEX('Cooling Tower Fan'!$O$2:$W$9,MATCH(C130,'Cooling Tower Fan'!$M$2:$M$9,0),MATCH(B130,'Cooling Tower Fan'!$O$1:$W$1,0))</f>
        <v>4106</v>
      </c>
      <c r="G130" s="83">
        <f>INDEX('Condenser Water Pumps'!$O$2:$W$9,MATCH(C130,'Condenser Water Pumps'!$M$2:$M$9,0),MATCH(B130,'Condenser Water Pumps'!$O$1:$W$1,0))</f>
        <v>3725</v>
      </c>
      <c r="H130" s="83">
        <f>INDEX('Heating Hot Water Pumps'!$O$2:$W$9,MATCH(C130,'Heating Hot Water Pumps'!$M$2:$M$9,0),MATCH(B130,'Heating Hot Water Pumps'!$O$1:$W$1,0))</f>
        <v>5823</v>
      </c>
      <c r="I130" s="113">
        <f>INDEX('Supply Fans'!$O$2:$W$14,MATCH(C130,'Supply Fans'!$M$2:$M$14,0),MATCH(B130,'Supply Fans'!$O$1:$W$1,0))</f>
        <v>8760</v>
      </c>
      <c r="J130" s="55"/>
      <c r="K130" s="55"/>
      <c r="L130" s="112" t="s">
        <v>197</v>
      </c>
      <c r="M130" s="50" t="s">
        <v>198</v>
      </c>
      <c r="N130" s="83" t="s">
        <v>300</v>
      </c>
      <c r="O130" s="101">
        <f>INDEX('Chilled Water Pumps'!$AA$2:$AI$9,MATCH('Lookup Table'!M130,'Chilled Water Pumps'!$Y$2:$Y$9,0),MATCH('Lookup Table'!L130,'Chilled Water Pumps'!$AA$1:$AI$1,0))</f>
        <v>0.28000000000000003</v>
      </c>
      <c r="P130" s="101">
        <f>INDEX('Cooling Tower Fan'!$AA$2:$AI$9,MATCH(M130,'Cooling Tower Fan'!$Y$2:$Y$9,0),MATCH(L130,'Cooling Tower Fan'!$AA$1:$AI$1,0))</f>
        <v>0.28000000000000003</v>
      </c>
      <c r="Q130" s="101">
        <f>INDEX('Condenser Water Pumps'!$AA$2:$AI$9,MATCH(M130,'Condenser Water Pumps'!$Y$2:$Y$9,0),MATCH(L130,'Condenser Water Pumps'!$AA$1:$AI$1,0))</f>
        <v>0.28000000000000003</v>
      </c>
      <c r="R130" s="101">
        <f>INDEX('Heating Hot Water Pumps'!$AA$2:$AI$9,MATCH(M130,'Heating Hot Water Pumps'!$Y$2:$Y$9,0),MATCH(L130,'Heating Hot Water Pumps'!$AA$1:$AI$1,0))</f>
        <v>0</v>
      </c>
      <c r="S130" s="119">
        <f>INDEX('Supply Fans'!$AA$2:$AI$14,MATCH(M130,'Supply Fans'!$Y$2:$Y$14,0),MATCH(L130,'Supply Fans'!$AA$1:$AI$1,0))</f>
        <v>0.28999999999999998</v>
      </c>
    </row>
    <row r="131" spans="2:19" ht="15" thickBot="1">
      <c r="B131" s="112" t="s">
        <v>197</v>
      </c>
      <c r="C131" s="50" t="s">
        <v>201</v>
      </c>
      <c r="D131" s="50" t="s">
        <v>301</v>
      </c>
      <c r="E131" s="83">
        <f>INDEX('Chilled Water Pumps'!$O$2:$W$9,MATCH('Lookup Table'!C131,'Chilled Water Pumps'!$M$2:$M$9,0),MATCH('Lookup Table'!B131,'Chilled Water Pumps'!$O$1:$W$1,0))</f>
        <v>1742</v>
      </c>
      <c r="F131" s="83">
        <f>INDEX('Cooling Tower Fan'!$O$2:$W$9,MATCH(C131,'Cooling Tower Fan'!$M$2:$M$9,0),MATCH(B131,'Cooling Tower Fan'!$O$1:$W$1,0))</f>
        <v>1742</v>
      </c>
      <c r="G131" s="83">
        <f>INDEX('Condenser Water Pumps'!$O$2:$W$9,MATCH(C131,'Condenser Water Pumps'!$M$2:$M$9,0),MATCH(B131,'Condenser Water Pumps'!$O$1:$W$1,0))</f>
        <v>1737</v>
      </c>
      <c r="H131" s="83">
        <f>INDEX('Heating Hot Water Pumps'!$O$2:$W$9,MATCH(C131,'Heating Hot Water Pumps'!$M$2:$M$9,0),MATCH(B131,'Heating Hot Water Pumps'!$O$1:$W$1,0))</f>
        <v>1184</v>
      </c>
      <c r="I131" s="113">
        <f>INDEX('Supply Fans'!$O$2:$W$14,MATCH(C131,'Supply Fans'!$M$2:$M$14,0),MATCH(B131,'Supply Fans'!$O$1:$W$1,0))</f>
        <v>3769</v>
      </c>
      <c r="J131" s="55"/>
      <c r="K131" s="55"/>
      <c r="L131" s="112" t="s">
        <v>197</v>
      </c>
      <c r="M131" s="50" t="s">
        <v>201</v>
      </c>
      <c r="N131" s="83" t="s">
        <v>301</v>
      </c>
      <c r="O131" s="101">
        <f>INDEX('Chilled Water Pumps'!$AA$2:$AI$9,MATCH('Lookup Table'!M131,'Chilled Water Pumps'!$Y$2:$Y$9,0),MATCH('Lookup Table'!L131,'Chilled Water Pumps'!$AA$1:$AI$1,0))</f>
        <v>0.53</v>
      </c>
      <c r="P131" s="101">
        <f>INDEX('Cooling Tower Fan'!$AA$2:$AI$9,MATCH(M131,'Cooling Tower Fan'!$Y$2:$Y$9,0),MATCH(L131,'Cooling Tower Fan'!$AA$1:$AI$1,0))</f>
        <v>0.54</v>
      </c>
      <c r="Q131" s="101">
        <f>INDEX('Condenser Water Pumps'!$AA$2:$AI$9,MATCH(M131,'Condenser Water Pumps'!$Y$2:$Y$9,0),MATCH(L131,'Condenser Water Pumps'!$AA$1:$AI$1,0))</f>
        <v>0.54</v>
      </c>
      <c r="R131" s="101">
        <f>INDEX('Heating Hot Water Pumps'!$AA$2:$AI$9,MATCH(M131,'Heating Hot Water Pumps'!$Y$2:$Y$9,0),MATCH(L131,'Heating Hot Water Pumps'!$AA$1:$AI$1,0))</f>
        <v>0</v>
      </c>
      <c r="S131" s="119">
        <f>INDEX('Supply Fans'!$AA$2:$AI$14,MATCH(M131,'Supply Fans'!$Y$2:$Y$14,0),MATCH(L131,'Supply Fans'!$AA$1:$AI$1,0))</f>
        <v>0.53</v>
      </c>
    </row>
    <row r="132" spans="2:19" ht="15" thickBot="1">
      <c r="B132" s="112" t="s">
        <v>197</v>
      </c>
      <c r="C132" s="50" t="s">
        <v>203</v>
      </c>
      <c r="D132" s="50" t="s">
        <v>302</v>
      </c>
      <c r="E132" s="83" t="e">
        <f>INDEX('Chilled Water Pumps'!$O$2:$W$9,MATCH('Lookup Table'!C132,'Chilled Water Pumps'!$M$2:$M$9,0),MATCH('Lookup Table'!B132,'Chilled Water Pumps'!$O$1:$W$1,0))</f>
        <v>#N/A</v>
      </c>
      <c r="F132" s="83" t="e">
        <f>INDEX('Cooling Tower Fan'!$O$2:$W$9,MATCH(C132,'Cooling Tower Fan'!$M$2:$M$9,0),MATCH(B132,'Cooling Tower Fan'!$O$1:$W$1,0))</f>
        <v>#N/A</v>
      </c>
      <c r="G132" s="83" t="e">
        <f>INDEX('Condenser Water Pumps'!$O$2:$W$9,MATCH(C132,'Condenser Water Pumps'!$M$2:$M$9,0),MATCH(B132,'Condenser Water Pumps'!$O$1:$W$1,0))</f>
        <v>#N/A</v>
      </c>
      <c r="H132" s="83" t="e">
        <f>INDEX('Heating Hot Water Pumps'!$O$2:$W$9,MATCH(C132,'Heating Hot Water Pumps'!$M$2:$M$9,0),MATCH(B132,'Heating Hot Water Pumps'!$O$1:$W$1,0))</f>
        <v>#N/A</v>
      </c>
      <c r="I132" s="113">
        <f>INDEX('Supply Fans'!$O$2:$W$14,MATCH(C132,'Supply Fans'!$M$2:$M$14,0),MATCH(B132,'Supply Fans'!$O$1:$W$1,0))</f>
        <v>5172</v>
      </c>
      <c r="J132" s="55"/>
      <c r="K132" s="55"/>
      <c r="L132" s="112" t="s">
        <v>197</v>
      </c>
      <c r="M132" s="50" t="s">
        <v>203</v>
      </c>
      <c r="N132" s="83" t="s">
        <v>302</v>
      </c>
      <c r="O132" s="101" t="e">
        <f>INDEX('Chilled Water Pumps'!$AA$2:$AI$9,MATCH('Lookup Table'!M132,'Chilled Water Pumps'!$Y$2:$Y$9,0),MATCH('Lookup Table'!L132,'Chilled Water Pumps'!$AA$1:$AI$1,0))</f>
        <v>#N/A</v>
      </c>
      <c r="P132" s="101" t="e">
        <f>INDEX('Cooling Tower Fan'!$AA$2:$AI$9,MATCH(M132,'Cooling Tower Fan'!$Y$2:$Y$9,0),MATCH(L132,'Cooling Tower Fan'!$AA$1:$AI$1,0))</f>
        <v>#N/A</v>
      </c>
      <c r="Q132" s="101" t="e">
        <f>INDEX('Condenser Water Pumps'!$AA$2:$AI$9,MATCH(M132,'Condenser Water Pumps'!$Y$2:$Y$9,0),MATCH(L132,'Condenser Water Pumps'!$AA$1:$AI$1,0))</f>
        <v>#N/A</v>
      </c>
      <c r="R132" s="101" t="e">
        <f>INDEX('Heating Hot Water Pumps'!$AA$2:$AI$9,MATCH(M132,'Heating Hot Water Pumps'!$Y$2:$Y$9,0),MATCH(L132,'Heating Hot Water Pumps'!$AA$1:$AI$1,0))</f>
        <v>#N/A</v>
      </c>
      <c r="S132" s="119">
        <f>INDEX('Supply Fans'!$AA$2:$AI$14,MATCH(M132,'Supply Fans'!$Y$2:$Y$14,0),MATCH(L132,'Supply Fans'!$AA$1:$AI$1,0))</f>
        <v>0.6</v>
      </c>
    </row>
    <row r="133" spans="2:19" ht="15" thickBot="1">
      <c r="B133" s="112" t="s">
        <v>197</v>
      </c>
      <c r="C133" s="50" t="s">
        <v>205</v>
      </c>
      <c r="D133" s="50" t="s">
        <v>303</v>
      </c>
      <c r="E133" s="83">
        <f>INDEX('Chilled Water Pumps'!$O$2:$W$9,MATCH('Lookup Table'!C133,'Chilled Water Pumps'!$M$2:$M$9,0),MATCH('Lookup Table'!B133,'Chilled Water Pumps'!$O$1:$W$1,0))</f>
        <v>6045</v>
      </c>
      <c r="F133" s="83">
        <f>INDEX('Cooling Tower Fan'!$O$2:$W$9,MATCH(C133,'Cooling Tower Fan'!$M$2:$M$9,0),MATCH(B133,'Cooling Tower Fan'!$O$1:$W$1,0))</f>
        <v>6043</v>
      </c>
      <c r="G133" s="83">
        <f>INDEX('Condenser Water Pumps'!$O$2:$W$9,MATCH(C133,'Condenser Water Pumps'!$M$2:$M$9,0),MATCH(B133,'Condenser Water Pumps'!$O$1:$W$1,0))</f>
        <v>5569</v>
      </c>
      <c r="H133" s="83">
        <f>INDEX('Heating Hot Water Pumps'!$O$2:$W$9,MATCH(C133,'Heating Hot Water Pumps'!$M$2:$M$9,0),MATCH(B133,'Heating Hot Water Pumps'!$O$1:$W$1,0))</f>
        <v>6155</v>
      </c>
      <c r="I133" s="113">
        <f>INDEX('Supply Fans'!$O$2:$W$14,MATCH(C133,'Supply Fans'!$M$2:$M$14,0),MATCH(B133,'Supply Fans'!$O$1:$W$1,0))</f>
        <v>8760</v>
      </c>
      <c r="J133" s="55"/>
      <c r="K133" s="55"/>
      <c r="L133" s="112" t="s">
        <v>197</v>
      </c>
      <c r="M133" s="50" t="s">
        <v>205</v>
      </c>
      <c r="N133" s="83" t="s">
        <v>303</v>
      </c>
      <c r="O133" s="101">
        <f>INDEX('Chilled Water Pumps'!$AA$2:$AI$9,MATCH('Lookup Table'!M133,'Chilled Water Pumps'!$Y$2:$Y$9,0),MATCH('Lookup Table'!L133,'Chilled Water Pumps'!$AA$1:$AI$1,0))</f>
        <v>0.66</v>
      </c>
      <c r="P133" s="101">
        <f>INDEX('Cooling Tower Fan'!$AA$2:$AI$9,MATCH(M133,'Cooling Tower Fan'!$Y$2:$Y$9,0),MATCH(L133,'Cooling Tower Fan'!$AA$1:$AI$1,0))</f>
        <v>0.67</v>
      </c>
      <c r="Q133" s="101">
        <f>INDEX('Condenser Water Pumps'!$AA$2:$AI$9,MATCH(M133,'Condenser Water Pumps'!$Y$2:$Y$9,0),MATCH(L133,'Condenser Water Pumps'!$AA$1:$AI$1,0))</f>
        <v>0.67</v>
      </c>
      <c r="R133" s="101">
        <f>INDEX('Heating Hot Water Pumps'!$AA$2:$AI$9,MATCH(M133,'Heating Hot Water Pumps'!$Y$2:$Y$9,0),MATCH(L133,'Heating Hot Water Pumps'!$AA$1:$AI$1,0))</f>
        <v>0</v>
      </c>
      <c r="S133" s="119">
        <f>INDEX('Supply Fans'!$AA$2:$AI$14,MATCH(M133,'Supply Fans'!$Y$2:$Y$14,0),MATCH(L133,'Supply Fans'!$AA$1:$AI$1,0))</f>
        <v>0.71</v>
      </c>
    </row>
    <row r="134" spans="2:19" ht="15" thickBot="1">
      <c r="B134" s="112" t="s">
        <v>197</v>
      </c>
      <c r="C134" s="50" t="s">
        <v>208</v>
      </c>
      <c r="D134" s="50" t="s">
        <v>304</v>
      </c>
      <c r="E134" s="83">
        <f>INDEX('Chilled Water Pumps'!$O$2:$W$9,MATCH('Lookup Table'!C134,'Chilled Water Pumps'!$M$2:$M$9,0),MATCH('Lookup Table'!B134,'Chilled Water Pumps'!$O$1:$W$1,0))</f>
        <v>1804</v>
      </c>
      <c r="F134" s="83">
        <f>INDEX('Cooling Tower Fan'!$O$2:$W$9,MATCH(C134,'Cooling Tower Fan'!$M$2:$M$9,0),MATCH(B134,'Cooling Tower Fan'!$O$1:$W$1,0))</f>
        <v>1804</v>
      </c>
      <c r="G134" s="83">
        <f>INDEX('Condenser Water Pumps'!$O$2:$W$9,MATCH(C134,'Condenser Water Pumps'!$M$2:$M$9,0),MATCH(B134,'Condenser Water Pumps'!$O$1:$W$1,0))</f>
        <v>1792</v>
      </c>
      <c r="H134" s="83">
        <f>INDEX('Heating Hot Water Pumps'!$O$2:$W$9,MATCH(C134,'Heating Hot Water Pumps'!$M$2:$M$9,0),MATCH(B134,'Heating Hot Water Pumps'!$O$1:$W$1,0))</f>
        <v>3014</v>
      </c>
      <c r="I134" s="113">
        <f>INDEX('Supply Fans'!$O$2:$W$14,MATCH(C134,'Supply Fans'!$M$2:$M$14,0),MATCH(B134,'Supply Fans'!$O$1:$W$1,0))</f>
        <v>4087</v>
      </c>
      <c r="J134" s="55"/>
      <c r="K134" s="55"/>
      <c r="L134" s="112" t="s">
        <v>197</v>
      </c>
      <c r="M134" s="50" t="s">
        <v>208</v>
      </c>
      <c r="N134" s="83" t="s">
        <v>304</v>
      </c>
      <c r="O134" s="101">
        <f>INDEX('Chilled Water Pumps'!$AA$2:$AI$9,MATCH('Lookup Table'!M134,'Chilled Water Pumps'!$Y$2:$Y$9,0),MATCH('Lookup Table'!L134,'Chilled Water Pumps'!$AA$1:$AI$1,0))</f>
        <v>0.35</v>
      </c>
      <c r="P134" s="101">
        <f>INDEX('Cooling Tower Fan'!$AA$2:$AI$9,MATCH(M134,'Cooling Tower Fan'!$Y$2:$Y$9,0),MATCH(L134,'Cooling Tower Fan'!$AA$1:$AI$1,0))</f>
        <v>0.35</v>
      </c>
      <c r="Q134" s="101">
        <f>INDEX('Condenser Water Pumps'!$AA$2:$AI$9,MATCH(M134,'Condenser Water Pumps'!$Y$2:$Y$9,0),MATCH(L134,'Condenser Water Pumps'!$AA$1:$AI$1,0))</f>
        <v>0.35</v>
      </c>
      <c r="R134" s="101">
        <f>INDEX('Heating Hot Water Pumps'!$AA$2:$AI$9,MATCH(M134,'Heating Hot Water Pumps'!$Y$2:$Y$9,0),MATCH(L134,'Heating Hot Water Pumps'!$AA$1:$AI$1,0))</f>
        <v>0</v>
      </c>
      <c r="S134" s="119">
        <f>INDEX('Supply Fans'!$AA$2:$AI$14,MATCH(M134,'Supply Fans'!$Y$2:$Y$14,0),MATCH(L134,'Supply Fans'!$AA$1:$AI$1,0))</f>
        <v>0.37</v>
      </c>
    </row>
    <row r="135" spans="2:19" ht="15" thickBot="1">
      <c r="B135" s="112" t="s">
        <v>197</v>
      </c>
      <c r="C135" s="50" t="s">
        <v>209</v>
      </c>
      <c r="D135" s="50" t="s">
        <v>305</v>
      </c>
      <c r="E135" s="83" t="e">
        <f>INDEX('Chilled Water Pumps'!$O$2:$W$9,MATCH('Lookup Table'!C135,'Chilled Water Pumps'!$M$2:$M$9,0),MATCH('Lookup Table'!B135,'Chilled Water Pumps'!$O$1:$W$1,0))</f>
        <v>#N/A</v>
      </c>
      <c r="F135" s="83" t="e">
        <f>INDEX('Cooling Tower Fan'!$O$2:$W$9,MATCH(C135,'Cooling Tower Fan'!$M$2:$M$9,0),MATCH(B135,'Cooling Tower Fan'!$O$1:$W$1,0))</f>
        <v>#N/A</v>
      </c>
      <c r="G135" s="83" t="e">
        <f>INDEX('Condenser Water Pumps'!$O$2:$W$9,MATCH(C135,'Condenser Water Pumps'!$M$2:$M$9,0),MATCH(B135,'Condenser Water Pumps'!$O$1:$W$1,0))</f>
        <v>#N/A</v>
      </c>
      <c r="H135" s="83" t="e">
        <f>INDEX('Heating Hot Water Pumps'!$O$2:$W$9,MATCH(C135,'Heating Hot Water Pumps'!$M$2:$M$9,0),MATCH(B135,'Heating Hot Water Pumps'!$O$1:$W$1,0))</f>
        <v>#N/A</v>
      </c>
      <c r="I135" s="113">
        <f>INDEX('Supply Fans'!$O$2:$W$14,MATCH(C135,'Supply Fans'!$M$2:$M$14,0),MATCH(B135,'Supply Fans'!$O$1:$W$1,0))</f>
        <v>6252</v>
      </c>
      <c r="J135" s="55"/>
      <c r="K135" s="55"/>
      <c r="L135" s="112" t="s">
        <v>197</v>
      </c>
      <c r="M135" s="50" t="s">
        <v>209</v>
      </c>
      <c r="N135" s="83" t="s">
        <v>305</v>
      </c>
      <c r="O135" s="101" t="e">
        <f>INDEX('Chilled Water Pumps'!$AA$2:$AI$9,MATCH('Lookup Table'!M135,'Chilled Water Pumps'!$Y$2:$Y$9,0),MATCH('Lookup Table'!L135,'Chilled Water Pumps'!$AA$1:$AI$1,0))</f>
        <v>#N/A</v>
      </c>
      <c r="P135" s="101" t="e">
        <f>INDEX('Cooling Tower Fan'!$AA$2:$AI$9,MATCH(M135,'Cooling Tower Fan'!$Y$2:$Y$9,0),MATCH(L135,'Cooling Tower Fan'!$AA$1:$AI$1,0))</f>
        <v>#N/A</v>
      </c>
      <c r="Q135" s="101" t="e">
        <f>INDEX('Condenser Water Pumps'!$AA$2:$AI$9,MATCH(M135,'Condenser Water Pumps'!$Y$2:$Y$9,0),MATCH(L135,'Condenser Water Pumps'!$AA$1:$AI$1,0))</f>
        <v>#N/A</v>
      </c>
      <c r="R135" s="101" t="e">
        <f>INDEX('Heating Hot Water Pumps'!$AA$2:$AI$9,MATCH(M135,'Heating Hot Water Pumps'!$Y$2:$Y$9,0),MATCH(L135,'Heating Hot Water Pumps'!$AA$1:$AI$1,0))</f>
        <v>#N/A</v>
      </c>
      <c r="S135" s="119">
        <f>INDEX('Supply Fans'!$AA$2:$AI$14,MATCH(M135,'Supply Fans'!$Y$2:$Y$14,0),MATCH(L135,'Supply Fans'!$AA$1:$AI$1,0))</f>
        <v>0.42</v>
      </c>
    </row>
    <row r="136" spans="2:19" ht="15" thickBot="1">
      <c r="B136" s="112" t="s">
        <v>197</v>
      </c>
      <c r="C136" s="50" t="s">
        <v>210</v>
      </c>
      <c r="D136" s="50" t="s">
        <v>306</v>
      </c>
      <c r="E136" s="83">
        <f>INDEX('Chilled Water Pumps'!$O$2:$W$9,MATCH('Lookup Table'!C136,'Chilled Water Pumps'!$M$2:$M$9,0),MATCH('Lookup Table'!B136,'Chilled Water Pumps'!$O$1:$W$1,0))</f>
        <v>3085</v>
      </c>
      <c r="F136" s="83">
        <f>INDEX('Cooling Tower Fan'!$O$2:$W$9,MATCH(C136,'Cooling Tower Fan'!$M$2:$M$9,0),MATCH(B136,'Cooling Tower Fan'!$O$1:$W$1,0))</f>
        <v>3085</v>
      </c>
      <c r="G136" s="83">
        <f>INDEX('Condenser Water Pumps'!$O$2:$W$9,MATCH(C136,'Condenser Water Pumps'!$M$2:$M$9,0),MATCH(B136,'Condenser Water Pumps'!$O$1:$W$1,0))</f>
        <v>3025</v>
      </c>
      <c r="H136" s="83">
        <f>INDEX('Heating Hot Water Pumps'!$O$2:$W$9,MATCH(C136,'Heating Hot Water Pumps'!$M$2:$M$9,0),MATCH(B136,'Heating Hot Water Pumps'!$O$1:$W$1,0))</f>
        <v>2561</v>
      </c>
      <c r="I136" s="113">
        <f>INDEX('Supply Fans'!$O$2:$W$14,MATCH(C136,'Supply Fans'!$M$2:$M$14,0),MATCH(B136,'Supply Fans'!$O$1:$W$1,0))</f>
        <v>5108</v>
      </c>
      <c r="J136" s="55"/>
      <c r="K136" s="55"/>
      <c r="L136" s="112" t="s">
        <v>197</v>
      </c>
      <c r="M136" s="50" t="s">
        <v>210</v>
      </c>
      <c r="N136" s="83" t="s">
        <v>306</v>
      </c>
      <c r="O136" s="101">
        <f>INDEX('Chilled Water Pumps'!$AA$2:$AI$9,MATCH('Lookup Table'!M136,'Chilled Water Pumps'!$Y$2:$Y$9,0),MATCH('Lookup Table'!L136,'Chilled Water Pumps'!$AA$1:$AI$1,0))</f>
        <v>0.53</v>
      </c>
      <c r="P136" s="101">
        <f>INDEX('Cooling Tower Fan'!$AA$2:$AI$9,MATCH(M136,'Cooling Tower Fan'!$Y$2:$Y$9,0),MATCH(L136,'Cooling Tower Fan'!$AA$1:$AI$1,0))</f>
        <v>0.53</v>
      </c>
      <c r="Q136" s="101">
        <f>INDEX('Condenser Water Pumps'!$AA$2:$AI$9,MATCH(M136,'Condenser Water Pumps'!$Y$2:$Y$9,0),MATCH(L136,'Condenser Water Pumps'!$AA$1:$AI$1,0))</f>
        <v>0.53</v>
      </c>
      <c r="R136" s="101">
        <f>INDEX('Heating Hot Water Pumps'!$AA$2:$AI$9,MATCH(M136,'Heating Hot Water Pumps'!$Y$2:$Y$9,0),MATCH(L136,'Heating Hot Water Pumps'!$AA$1:$AI$1,0))</f>
        <v>0</v>
      </c>
      <c r="S136" s="119">
        <f>INDEX('Supply Fans'!$AA$2:$AI$14,MATCH(M136,'Supply Fans'!$Y$2:$Y$14,0),MATCH(L136,'Supply Fans'!$AA$1:$AI$1,0))</f>
        <v>0.53</v>
      </c>
    </row>
    <row r="137" spans="2:19" ht="15" thickBot="1">
      <c r="B137" s="112" t="s">
        <v>197</v>
      </c>
      <c r="C137" s="50" t="s">
        <v>211</v>
      </c>
      <c r="D137" s="50" t="s">
        <v>307</v>
      </c>
      <c r="E137" s="83" t="e">
        <f>INDEX('Chilled Water Pumps'!$O$2:$W$9,MATCH('Lookup Table'!C137,'Chilled Water Pumps'!$M$2:$M$9,0),MATCH('Lookup Table'!B137,'Chilled Water Pumps'!$O$1:$W$1,0))</f>
        <v>#N/A</v>
      </c>
      <c r="F137" s="83" t="e">
        <f>INDEX('Cooling Tower Fan'!$O$2:$W$9,MATCH(C137,'Cooling Tower Fan'!$M$2:$M$9,0),MATCH(B137,'Cooling Tower Fan'!$O$1:$W$1,0))</f>
        <v>#N/A</v>
      </c>
      <c r="G137" s="83" t="e">
        <f>INDEX('Condenser Water Pumps'!$O$2:$W$9,MATCH(C137,'Condenser Water Pumps'!$M$2:$M$9,0),MATCH(B137,'Condenser Water Pumps'!$O$1:$W$1,0))</f>
        <v>#N/A</v>
      </c>
      <c r="H137" s="83" t="e">
        <f>INDEX('Heating Hot Water Pumps'!$O$2:$W$9,MATCH(C137,'Heating Hot Water Pumps'!$M$2:$M$9,0),MATCH(B137,'Heating Hot Water Pumps'!$O$1:$W$1,0))</f>
        <v>#N/A</v>
      </c>
      <c r="I137" s="113">
        <f>INDEX('Supply Fans'!$O$2:$W$14,MATCH(C137,'Supply Fans'!$M$2:$M$14,0),MATCH(B137,'Supply Fans'!$O$1:$W$1,0))</f>
        <v>4980</v>
      </c>
      <c r="J137" s="55"/>
      <c r="K137" s="55"/>
      <c r="L137" s="112" t="s">
        <v>197</v>
      </c>
      <c r="M137" s="50" t="s">
        <v>211</v>
      </c>
      <c r="N137" s="83" t="s">
        <v>307</v>
      </c>
      <c r="O137" s="101" t="e">
        <f>INDEX('Chilled Water Pumps'!$AA$2:$AI$9,MATCH('Lookup Table'!M137,'Chilled Water Pumps'!$Y$2:$Y$9,0),MATCH('Lookup Table'!L137,'Chilled Water Pumps'!$AA$1:$AI$1,0))</f>
        <v>#N/A</v>
      </c>
      <c r="P137" s="101" t="e">
        <f>INDEX('Cooling Tower Fan'!$AA$2:$AI$9,MATCH(M137,'Cooling Tower Fan'!$Y$2:$Y$9,0),MATCH(L137,'Cooling Tower Fan'!$AA$1:$AI$1,0))</f>
        <v>#N/A</v>
      </c>
      <c r="Q137" s="101" t="e">
        <f>INDEX('Condenser Water Pumps'!$AA$2:$AI$9,MATCH(M137,'Condenser Water Pumps'!$Y$2:$Y$9,0),MATCH(L137,'Condenser Water Pumps'!$AA$1:$AI$1,0))</f>
        <v>#N/A</v>
      </c>
      <c r="R137" s="101" t="e">
        <f>INDEX('Heating Hot Water Pumps'!$AA$2:$AI$9,MATCH(M137,'Heating Hot Water Pumps'!$Y$2:$Y$9,0),MATCH(L137,'Heating Hot Water Pumps'!$AA$1:$AI$1,0))</f>
        <v>#N/A</v>
      </c>
      <c r="S137" s="119">
        <f>INDEX('Supply Fans'!$AA$2:$AI$14,MATCH(M137,'Supply Fans'!$Y$2:$Y$14,0),MATCH(L137,'Supply Fans'!$AA$1:$AI$1,0))</f>
        <v>0.24</v>
      </c>
    </row>
    <row r="138" spans="2:19" ht="15" thickBot="1">
      <c r="B138" s="112" t="s">
        <v>197</v>
      </c>
      <c r="C138" s="50" t="s">
        <v>212</v>
      </c>
      <c r="D138" s="50" t="s">
        <v>308</v>
      </c>
      <c r="E138" s="83" t="e">
        <f>INDEX('Chilled Water Pumps'!$O$2:$W$9,MATCH('Lookup Table'!C138,'Chilled Water Pumps'!$M$2:$M$9,0),MATCH('Lookup Table'!B138,'Chilled Water Pumps'!$O$1:$W$1,0))</f>
        <v>#N/A</v>
      </c>
      <c r="F138" s="83" t="e">
        <f>INDEX('Cooling Tower Fan'!$O$2:$W$9,MATCH(C138,'Cooling Tower Fan'!$M$2:$M$9,0),MATCH(B138,'Cooling Tower Fan'!$O$1:$W$1,0))</f>
        <v>#N/A</v>
      </c>
      <c r="G138" s="83" t="e">
        <f>INDEX('Condenser Water Pumps'!$O$2:$W$9,MATCH(C138,'Condenser Water Pumps'!$M$2:$M$9,0),MATCH(B138,'Condenser Water Pumps'!$O$1:$W$1,0))</f>
        <v>#N/A</v>
      </c>
      <c r="H138" s="83" t="e">
        <f>INDEX('Heating Hot Water Pumps'!$O$2:$W$9,MATCH(C138,'Heating Hot Water Pumps'!$M$2:$M$9,0),MATCH(B138,'Heating Hot Water Pumps'!$O$1:$W$1,0))</f>
        <v>#N/A</v>
      </c>
      <c r="I138" s="113">
        <f>INDEX('Supply Fans'!$O$2:$W$14,MATCH(C138,'Supply Fans'!$M$2:$M$14,0),MATCH(B138,'Supply Fans'!$O$1:$W$1,0))</f>
        <v>4041</v>
      </c>
      <c r="J138" s="55"/>
      <c r="K138" s="55"/>
      <c r="L138" s="112" t="s">
        <v>197</v>
      </c>
      <c r="M138" s="50" t="s">
        <v>212</v>
      </c>
      <c r="N138" s="83" t="s">
        <v>308</v>
      </c>
      <c r="O138" s="101" t="e">
        <f>INDEX('Chilled Water Pumps'!$AA$2:$AI$9,MATCH('Lookup Table'!M138,'Chilled Water Pumps'!$Y$2:$Y$9,0),MATCH('Lookup Table'!L138,'Chilled Water Pumps'!$AA$1:$AI$1,0))</f>
        <v>#N/A</v>
      </c>
      <c r="P138" s="101" t="e">
        <f>INDEX('Cooling Tower Fan'!$AA$2:$AI$9,MATCH(M138,'Cooling Tower Fan'!$Y$2:$Y$9,0),MATCH(L138,'Cooling Tower Fan'!$AA$1:$AI$1,0))</f>
        <v>#N/A</v>
      </c>
      <c r="Q138" s="101" t="e">
        <f>INDEX('Condenser Water Pumps'!$AA$2:$AI$9,MATCH(M138,'Condenser Water Pumps'!$Y$2:$Y$9,0),MATCH(L138,'Condenser Water Pumps'!$AA$1:$AI$1,0))</f>
        <v>#N/A</v>
      </c>
      <c r="R138" s="101" t="e">
        <f>INDEX('Heating Hot Water Pumps'!$AA$2:$AI$9,MATCH(M138,'Heating Hot Water Pumps'!$Y$2:$Y$9,0),MATCH(L138,'Heating Hot Water Pumps'!$AA$1:$AI$1,0))</f>
        <v>#N/A</v>
      </c>
      <c r="S138" s="119">
        <f>INDEX('Supply Fans'!$AA$2:$AI$14,MATCH(M138,'Supply Fans'!$Y$2:$Y$14,0),MATCH(L138,'Supply Fans'!$AA$1:$AI$1,0))</f>
        <v>0.52</v>
      </c>
    </row>
    <row r="139" spans="2:19" ht="15" thickBot="1">
      <c r="B139" s="112" t="s">
        <v>200</v>
      </c>
      <c r="C139" s="83" t="s">
        <v>178</v>
      </c>
      <c r="D139" s="50" t="s">
        <v>309</v>
      </c>
      <c r="E139" s="83">
        <f>INDEX('Chilled Water Pumps'!$O$2:$W$9,MATCH('Lookup Table'!C139,'Chilled Water Pumps'!$M$2:$M$9,0),MATCH('Lookup Table'!B139,'Chilled Water Pumps'!$O$1:$W$1,0))</f>
        <v>4311</v>
      </c>
      <c r="F139" s="83">
        <f>INDEX('Cooling Tower Fan'!$O$2:$W$9,MATCH(C139,'Cooling Tower Fan'!$M$2:$M$9,0),MATCH(B139,'Cooling Tower Fan'!$O$1:$W$1,0))</f>
        <v>4309</v>
      </c>
      <c r="G139" s="83">
        <f>INDEX('Condenser Water Pumps'!$O$2:$W$9,MATCH(C139,'Condenser Water Pumps'!$M$2:$M$9,0),MATCH(B139,'Condenser Water Pumps'!$O$1:$W$1,0))</f>
        <v>4030</v>
      </c>
      <c r="H139" s="83">
        <f>INDEX('Heating Hot Water Pumps'!$O$2:$W$9,MATCH(C139,'Heating Hot Water Pumps'!$M$2:$M$9,0),MATCH(B139,'Heating Hot Water Pumps'!$O$1:$W$1,0))</f>
        <v>4014</v>
      </c>
      <c r="I139" s="113">
        <f>INDEX('Supply Fans'!$O$2:$W$14,MATCH(C139,'Supply Fans'!$M$2:$M$14,0),MATCH(B139,'Supply Fans'!$O$1:$W$1,0))</f>
        <v>5966</v>
      </c>
      <c r="J139" s="55"/>
      <c r="K139" s="55"/>
      <c r="L139" s="112" t="s">
        <v>200</v>
      </c>
      <c r="M139" s="83" t="s">
        <v>178</v>
      </c>
      <c r="N139" s="83" t="s">
        <v>309</v>
      </c>
      <c r="O139" s="101">
        <f>INDEX('Chilled Water Pumps'!$AA$2:$AI$9,MATCH('Lookup Table'!M139,'Chilled Water Pumps'!$Y$2:$Y$9,0),MATCH('Lookup Table'!L139,'Chilled Water Pumps'!$AA$1:$AI$1,0))</f>
        <v>0.45</v>
      </c>
      <c r="P139" s="101">
        <f>INDEX('Cooling Tower Fan'!$AA$2:$AI$9,MATCH(M139,'Cooling Tower Fan'!$Y$2:$Y$9,0),MATCH(L139,'Cooling Tower Fan'!$AA$1:$AI$1,0))</f>
        <v>0.45</v>
      </c>
      <c r="Q139" s="101">
        <f>INDEX('Condenser Water Pumps'!$AA$2:$AI$9,MATCH(M139,'Condenser Water Pumps'!$Y$2:$Y$9,0),MATCH(L139,'Condenser Water Pumps'!$AA$1:$AI$1,0))</f>
        <v>0.45</v>
      </c>
      <c r="R139" s="101">
        <f>INDEX('Heating Hot Water Pumps'!$AA$2:$AI$9,MATCH(M139,'Heating Hot Water Pumps'!$Y$2:$Y$9,0),MATCH(L139,'Heating Hot Water Pumps'!$AA$1:$AI$1,0))</f>
        <v>0</v>
      </c>
      <c r="S139" s="119">
        <f>INDEX('Supply Fans'!$AA$2:$AI$14,MATCH(M139,'Supply Fans'!$Y$2:$Y$14,0),MATCH(L139,'Supply Fans'!$AA$1:$AI$1,0))</f>
        <v>0.47</v>
      </c>
    </row>
    <row r="140" spans="2:19" ht="15" thickBot="1">
      <c r="B140" s="112" t="s">
        <v>200</v>
      </c>
      <c r="C140" s="50" t="s">
        <v>184</v>
      </c>
      <c r="D140" s="50" t="s">
        <v>310</v>
      </c>
      <c r="E140" s="83">
        <f>INDEX('Chilled Water Pumps'!$O$2:$W$9,MATCH('Lookup Table'!C140,'Chilled Water Pumps'!$M$2:$M$9,0),MATCH('Lookup Table'!B140,'Chilled Water Pumps'!$O$1:$W$1,0))</f>
        <v>3505</v>
      </c>
      <c r="F140" s="83">
        <f>INDEX('Cooling Tower Fan'!$O$2:$W$9,MATCH(C140,'Cooling Tower Fan'!$M$2:$M$9,0),MATCH(B140,'Cooling Tower Fan'!$O$1:$W$1,0))</f>
        <v>3517</v>
      </c>
      <c r="G140" s="83">
        <f>INDEX('Condenser Water Pumps'!$O$2:$W$9,MATCH(C140,'Condenser Water Pumps'!$M$2:$M$9,0),MATCH(B140,'Condenser Water Pumps'!$O$1:$W$1,0))</f>
        <v>3346</v>
      </c>
      <c r="H140" s="83">
        <f>INDEX('Heating Hot Water Pumps'!$O$2:$W$9,MATCH(C140,'Heating Hot Water Pumps'!$M$2:$M$9,0),MATCH(B140,'Heating Hot Water Pumps'!$O$1:$W$1,0))</f>
        <v>3341</v>
      </c>
      <c r="I140" s="113">
        <f>INDEX('Supply Fans'!$O$2:$W$14,MATCH(C140,'Supply Fans'!$M$2:$M$14,0),MATCH(B140,'Supply Fans'!$O$1:$W$1,0))</f>
        <v>4384</v>
      </c>
      <c r="J140" s="55"/>
      <c r="K140" s="55"/>
      <c r="L140" s="112" t="s">
        <v>200</v>
      </c>
      <c r="M140" s="50" t="s">
        <v>184</v>
      </c>
      <c r="N140" s="83" t="s">
        <v>310</v>
      </c>
      <c r="O140" s="101">
        <f>INDEX('Chilled Water Pumps'!$AA$2:$AI$9,MATCH('Lookup Table'!M140,'Chilled Water Pumps'!$Y$2:$Y$9,0),MATCH('Lookup Table'!L140,'Chilled Water Pumps'!$AA$1:$AI$1,0))</f>
        <v>0.18</v>
      </c>
      <c r="P140" s="101">
        <f>INDEX('Cooling Tower Fan'!$AA$2:$AI$9,MATCH(M140,'Cooling Tower Fan'!$Y$2:$Y$9,0),MATCH(L140,'Cooling Tower Fan'!$AA$1:$AI$1,0))</f>
        <v>0.18</v>
      </c>
      <c r="Q140" s="101">
        <f>INDEX('Condenser Water Pumps'!$AA$2:$AI$9,MATCH(M140,'Condenser Water Pumps'!$Y$2:$Y$9,0),MATCH(L140,'Condenser Water Pumps'!$AA$1:$AI$1,0))</f>
        <v>0.18</v>
      </c>
      <c r="R140" s="101">
        <f>INDEX('Heating Hot Water Pumps'!$AA$2:$AI$9,MATCH(M140,'Heating Hot Water Pumps'!$Y$2:$Y$9,0),MATCH(L140,'Heating Hot Water Pumps'!$AA$1:$AI$1,0))</f>
        <v>0</v>
      </c>
      <c r="S140" s="119">
        <f>INDEX('Supply Fans'!$AA$2:$AI$14,MATCH(M140,'Supply Fans'!$Y$2:$Y$14,0),MATCH(L140,'Supply Fans'!$AA$1:$AI$1,0))</f>
        <v>0.18</v>
      </c>
    </row>
    <row r="141" spans="2:19" ht="15" thickBot="1">
      <c r="B141" s="112" t="s">
        <v>200</v>
      </c>
      <c r="C141" s="50" t="s">
        <v>190</v>
      </c>
      <c r="D141" s="50" t="s">
        <v>311</v>
      </c>
      <c r="E141" s="83" t="e">
        <f>INDEX('Chilled Water Pumps'!$O$2:$W$9,MATCH('Lookup Table'!C141,'Chilled Water Pumps'!$M$2:$M$9,0),MATCH('Lookup Table'!B141,'Chilled Water Pumps'!$O$1:$W$1,0))</f>
        <v>#N/A</v>
      </c>
      <c r="F141" s="83" t="e">
        <f>INDEX('Cooling Tower Fan'!$O$2:$W$9,MATCH(C141,'Cooling Tower Fan'!$M$2:$M$9,0),MATCH(B141,'Cooling Tower Fan'!$O$1:$W$1,0))</f>
        <v>#N/A</v>
      </c>
      <c r="G141" s="83" t="e">
        <f>INDEX('Condenser Water Pumps'!$O$2:$W$9,MATCH(C141,'Condenser Water Pumps'!$M$2:$M$9,0),MATCH(B141,'Condenser Water Pumps'!$O$1:$W$1,0))</f>
        <v>#N/A</v>
      </c>
      <c r="H141" s="83" t="e">
        <f>INDEX('Heating Hot Water Pumps'!$O$2:$W$9,MATCH(C141,'Heating Hot Water Pumps'!$M$2:$M$9,0),MATCH(B141,'Heating Hot Water Pumps'!$O$1:$W$1,0))</f>
        <v>#N/A</v>
      </c>
      <c r="I141" s="113">
        <f>INDEX('Supply Fans'!$O$2:$W$14,MATCH(C141,'Supply Fans'!$M$2:$M$14,0),MATCH(B141,'Supply Fans'!$O$1:$W$1,0))</f>
        <v>6669</v>
      </c>
      <c r="J141" s="55"/>
      <c r="K141" s="55"/>
      <c r="L141" s="112" t="s">
        <v>200</v>
      </c>
      <c r="M141" s="50" t="s">
        <v>190</v>
      </c>
      <c r="N141" s="83" t="s">
        <v>311</v>
      </c>
      <c r="O141" s="101" t="e">
        <f>INDEX('Chilled Water Pumps'!$AA$2:$AI$9,MATCH('Lookup Table'!M141,'Chilled Water Pumps'!$Y$2:$Y$9,0),MATCH('Lookup Table'!L141,'Chilled Water Pumps'!$AA$1:$AI$1,0))</f>
        <v>#N/A</v>
      </c>
      <c r="P141" s="101" t="e">
        <f>INDEX('Cooling Tower Fan'!$AA$2:$AI$9,MATCH(M141,'Cooling Tower Fan'!$Y$2:$Y$9,0),MATCH(L141,'Cooling Tower Fan'!$AA$1:$AI$1,0))</f>
        <v>#N/A</v>
      </c>
      <c r="Q141" s="101" t="e">
        <f>INDEX('Condenser Water Pumps'!$AA$2:$AI$9,MATCH(M141,'Condenser Water Pumps'!$Y$2:$Y$9,0),MATCH(L141,'Condenser Water Pumps'!$AA$1:$AI$1,0))</f>
        <v>#N/A</v>
      </c>
      <c r="R141" s="101" t="e">
        <f>INDEX('Heating Hot Water Pumps'!$AA$2:$AI$9,MATCH(M141,'Heating Hot Water Pumps'!$Y$2:$Y$9,0),MATCH(L141,'Heating Hot Water Pumps'!$AA$1:$AI$1,0))</f>
        <v>#N/A</v>
      </c>
      <c r="S141" s="119">
        <f>INDEX('Supply Fans'!$AA$2:$AI$14,MATCH(M141,'Supply Fans'!$Y$2:$Y$14,0),MATCH(L141,'Supply Fans'!$AA$1:$AI$1,0))</f>
        <v>0.26</v>
      </c>
    </row>
    <row r="142" spans="2:19" ht="15" thickBot="1">
      <c r="B142" s="112" t="s">
        <v>200</v>
      </c>
      <c r="C142" s="50" t="s">
        <v>195</v>
      </c>
      <c r="D142" s="50" t="s">
        <v>312</v>
      </c>
      <c r="E142" s="83">
        <f>INDEX('Chilled Water Pumps'!$O$2:$W$9,MATCH('Lookup Table'!C142,'Chilled Water Pumps'!$M$2:$M$9,0),MATCH('Lookup Table'!B142,'Chilled Water Pumps'!$O$1:$W$1,0))</f>
        <v>6086</v>
      </c>
      <c r="F142" s="83">
        <f>INDEX('Cooling Tower Fan'!$O$2:$W$9,MATCH(C142,'Cooling Tower Fan'!$M$2:$M$9,0),MATCH(B142,'Cooling Tower Fan'!$O$1:$W$1,0))</f>
        <v>6084</v>
      </c>
      <c r="G142" s="83">
        <f>INDEX('Condenser Water Pumps'!$O$2:$W$9,MATCH(C142,'Condenser Water Pumps'!$M$2:$M$9,0),MATCH(B142,'Condenser Water Pumps'!$O$1:$W$1,0))</f>
        <v>4168</v>
      </c>
      <c r="H142" s="83">
        <f>INDEX('Heating Hot Water Pumps'!$O$2:$W$9,MATCH(C142,'Heating Hot Water Pumps'!$M$2:$M$9,0),MATCH(B142,'Heating Hot Water Pumps'!$O$1:$W$1,0))</f>
        <v>8760</v>
      </c>
      <c r="I142" s="113">
        <f>INDEX('Supply Fans'!$O$2:$W$14,MATCH(C142,'Supply Fans'!$M$2:$M$14,0),MATCH(B142,'Supply Fans'!$O$1:$W$1,0))</f>
        <v>8760</v>
      </c>
      <c r="J142" s="55"/>
      <c r="K142" s="55"/>
      <c r="L142" s="112" t="s">
        <v>200</v>
      </c>
      <c r="M142" s="50" t="s">
        <v>195</v>
      </c>
      <c r="N142" s="83" t="s">
        <v>312</v>
      </c>
      <c r="O142" s="101">
        <f>INDEX('Chilled Water Pumps'!$AA$2:$AI$9,MATCH('Lookup Table'!M142,'Chilled Water Pumps'!$Y$2:$Y$9,0),MATCH('Lookup Table'!L142,'Chilled Water Pumps'!$AA$1:$AI$1,0))</f>
        <v>0.54</v>
      </c>
      <c r="P142" s="101">
        <f>INDEX('Cooling Tower Fan'!$AA$2:$AI$9,MATCH(M142,'Cooling Tower Fan'!$Y$2:$Y$9,0),MATCH(L142,'Cooling Tower Fan'!$AA$1:$AI$1,0))</f>
        <v>0.54</v>
      </c>
      <c r="Q142" s="101">
        <f>INDEX('Condenser Water Pumps'!$AA$2:$AI$9,MATCH(M142,'Condenser Water Pumps'!$Y$2:$Y$9,0),MATCH(L142,'Condenser Water Pumps'!$AA$1:$AI$1,0))</f>
        <v>0.54</v>
      </c>
      <c r="R142" s="101">
        <f>INDEX('Heating Hot Water Pumps'!$AA$2:$AI$9,MATCH(M142,'Heating Hot Water Pumps'!$Y$2:$Y$9,0),MATCH(L142,'Heating Hot Water Pumps'!$AA$1:$AI$1,0))</f>
        <v>0.09</v>
      </c>
      <c r="S142" s="119">
        <f>INDEX('Supply Fans'!$AA$2:$AI$14,MATCH(M142,'Supply Fans'!$Y$2:$Y$14,0),MATCH(L142,'Supply Fans'!$AA$1:$AI$1,0))</f>
        <v>0.51</v>
      </c>
    </row>
    <row r="143" spans="2:19" ht="15" thickBot="1">
      <c r="B143" s="112" t="s">
        <v>200</v>
      </c>
      <c r="C143" s="50" t="s">
        <v>198</v>
      </c>
      <c r="D143" s="50" t="s">
        <v>313</v>
      </c>
      <c r="E143" s="83">
        <f>INDEX('Chilled Water Pumps'!$O$2:$W$9,MATCH('Lookup Table'!C143,'Chilled Water Pumps'!$M$2:$M$9,0),MATCH('Lookup Table'!B143,'Chilled Water Pumps'!$O$1:$W$1,0))</f>
        <v>4535</v>
      </c>
      <c r="F143" s="83">
        <f>INDEX('Cooling Tower Fan'!$O$2:$W$9,MATCH(C143,'Cooling Tower Fan'!$M$2:$M$9,0),MATCH(B143,'Cooling Tower Fan'!$O$1:$W$1,0))</f>
        <v>4537</v>
      </c>
      <c r="G143" s="83">
        <f>INDEX('Condenser Water Pumps'!$O$2:$W$9,MATCH(C143,'Condenser Water Pumps'!$M$2:$M$9,0),MATCH(B143,'Condenser Water Pumps'!$O$1:$W$1,0))</f>
        <v>4304</v>
      </c>
      <c r="H143" s="83">
        <f>INDEX('Heating Hot Water Pumps'!$O$2:$W$9,MATCH(C143,'Heating Hot Water Pumps'!$M$2:$M$9,0),MATCH(B143,'Heating Hot Water Pumps'!$O$1:$W$1,0))</f>
        <v>5477</v>
      </c>
      <c r="I143" s="113">
        <f>INDEX('Supply Fans'!$O$2:$W$14,MATCH(C143,'Supply Fans'!$M$2:$M$14,0),MATCH(B143,'Supply Fans'!$O$1:$W$1,0))</f>
        <v>8760</v>
      </c>
      <c r="J143" s="55"/>
      <c r="K143" s="55"/>
      <c r="L143" s="112" t="s">
        <v>200</v>
      </c>
      <c r="M143" s="50" t="s">
        <v>198</v>
      </c>
      <c r="N143" s="83" t="s">
        <v>313</v>
      </c>
      <c r="O143" s="101">
        <f>INDEX('Chilled Water Pumps'!$AA$2:$AI$9,MATCH('Lookup Table'!M143,'Chilled Water Pumps'!$Y$2:$Y$9,0),MATCH('Lookup Table'!L143,'Chilled Water Pumps'!$AA$1:$AI$1,0))</f>
        <v>0.3</v>
      </c>
      <c r="P143" s="101">
        <f>INDEX('Cooling Tower Fan'!$AA$2:$AI$9,MATCH(M143,'Cooling Tower Fan'!$Y$2:$Y$9,0),MATCH(L143,'Cooling Tower Fan'!$AA$1:$AI$1,0))</f>
        <v>0.3</v>
      </c>
      <c r="Q143" s="101">
        <f>INDEX('Condenser Water Pumps'!$AA$2:$AI$9,MATCH(M143,'Condenser Water Pumps'!$Y$2:$Y$9,0),MATCH(L143,'Condenser Water Pumps'!$AA$1:$AI$1,0))</f>
        <v>0.3</v>
      </c>
      <c r="R143" s="101">
        <f>INDEX('Heating Hot Water Pumps'!$AA$2:$AI$9,MATCH(M143,'Heating Hot Water Pumps'!$Y$2:$Y$9,0),MATCH(L143,'Heating Hot Water Pumps'!$AA$1:$AI$1,0))</f>
        <v>0</v>
      </c>
      <c r="S143" s="119">
        <f>INDEX('Supply Fans'!$AA$2:$AI$14,MATCH(M143,'Supply Fans'!$Y$2:$Y$14,0),MATCH(L143,'Supply Fans'!$AA$1:$AI$1,0))</f>
        <v>0.31</v>
      </c>
    </row>
    <row r="144" spans="2:19" ht="15" thickBot="1">
      <c r="B144" s="112" t="s">
        <v>200</v>
      </c>
      <c r="C144" s="50" t="s">
        <v>201</v>
      </c>
      <c r="D144" s="50" t="s">
        <v>314</v>
      </c>
      <c r="E144" s="83">
        <f>INDEX('Chilled Water Pumps'!$O$2:$W$9,MATCH('Lookup Table'!C144,'Chilled Water Pumps'!$M$2:$M$9,0),MATCH('Lookup Table'!B144,'Chilled Water Pumps'!$O$1:$W$1,0))</f>
        <v>1891</v>
      </c>
      <c r="F144" s="83">
        <f>INDEX('Cooling Tower Fan'!$O$2:$W$9,MATCH(C144,'Cooling Tower Fan'!$M$2:$M$9,0),MATCH(B144,'Cooling Tower Fan'!$O$1:$W$1,0))</f>
        <v>1891</v>
      </c>
      <c r="G144" s="83">
        <f>INDEX('Condenser Water Pumps'!$O$2:$W$9,MATCH(C144,'Condenser Water Pumps'!$M$2:$M$9,0),MATCH(B144,'Condenser Water Pumps'!$O$1:$W$1,0))</f>
        <v>1889</v>
      </c>
      <c r="H144" s="83">
        <f>INDEX('Heating Hot Water Pumps'!$O$2:$W$9,MATCH(C144,'Heating Hot Water Pumps'!$M$2:$M$9,0),MATCH(B144,'Heating Hot Water Pumps'!$O$1:$W$1,0))</f>
        <v>1028</v>
      </c>
      <c r="I144" s="113">
        <f>INDEX('Supply Fans'!$O$2:$W$14,MATCH(C144,'Supply Fans'!$M$2:$M$14,0),MATCH(B144,'Supply Fans'!$O$1:$W$1,0))</f>
        <v>3838</v>
      </c>
      <c r="J144" s="55"/>
      <c r="K144" s="55"/>
      <c r="L144" s="112" t="s">
        <v>200</v>
      </c>
      <c r="M144" s="50" t="s">
        <v>201</v>
      </c>
      <c r="N144" s="83" t="s">
        <v>314</v>
      </c>
      <c r="O144" s="101">
        <f>INDEX('Chilled Water Pumps'!$AA$2:$AI$9,MATCH('Lookup Table'!M144,'Chilled Water Pumps'!$Y$2:$Y$9,0),MATCH('Lookup Table'!L144,'Chilled Water Pumps'!$AA$1:$AI$1,0))</f>
        <v>0.57999999999999996</v>
      </c>
      <c r="P144" s="101">
        <f>INDEX('Cooling Tower Fan'!$AA$2:$AI$9,MATCH(M144,'Cooling Tower Fan'!$Y$2:$Y$9,0),MATCH(L144,'Cooling Tower Fan'!$AA$1:$AI$1,0))</f>
        <v>0.59</v>
      </c>
      <c r="Q144" s="101">
        <f>INDEX('Condenser Water Pumps'!$AA$2:$AI$9,MATCH(M144,'Condenser Water Pumps'!$Y$2:$Y$9,0),MATCH(L144,'Condenser Water Pumps'!$AA$1:$AI$1,0))</f>
        <v>0.59</v>
      </c>
      <c r="R144" s="101">
        <f>INDEX('Heating Hot Water Pumps'!$AA$2:$AI$9,MATCH(M144,'Heating Hot Water Pumps'!$Y$2:$Y$9,0),MATCH(L144,'Heating Hot Water Pumps'!$AA$1:$AI$1,0))</f>
        <v>0</v>
      </c>
      <c r="S144" s="119">
        <f>INDEX('Supply Fans'!$AA$2:$AI$14,MATCH(M144,'Supply Fans'!$Y$2:$Y$14,0),MATCH(L144,'Supply Fans'!$AA$1:$AI$1,0))</f>
        <v>0.56999999999999995</v>
      </c>
    </row>
    <row r="145" spans="2:19" ht="15" thickBot="1">
      <c r="B145" s="112" t="s">
        <v>200</v>
      </c>
      <c r="C145" s="50" t="s">
        <v>203</v>
      </c>
      <c r="D145" s="50" t="s">
        <v>315</v>
      </c>
      <c r="E145" s="83" t="e">
        <f>INDEX('Chilled Water Pumps'!$O$2:$W$9,MATCH('Lookup Table'!C145,'Chilled Water Pumps'!$M$2:$M$9,0),MATCH('Lookup Table'!B145,'Chilled Water Pumps'!$O$1:$W$1,0))</f>
        <v>#N/A</v>
      </c>
      <c r="F145" s="83" t="e">
        <f>INDEX('Cooling Tower Fan'!$O$2:$W$9,MATCH(C145,'Cooling Tower Fan'!$M$2:$M$9,0),MATCH(B145,'Cooling Tower Fan'!$O$1:$W$1,0))</f>
        <v>#N/A</v>
      </c>
      <c r="G145" s="83" t="e">
        <f>INDEX('Condenser Water Pumps'!$O$2:$W$9,MATCH(C145,'Condenser Water Pumps'!$M$2:$M$9,0),MATCH(B145,'Condenser Water Pumps'!$O$1:$W$1,0))</f>
        <v>#N/A</v>
      </c>
      <c r="H145" s="83" t="e">
        <f>INDEX('Heating Hot Water Pumps'!$O$2:$W$9,MATCH(C145,'Heating Hot Water Pumps'!$M$2:$M$9,0),MATCH(B145,'Heating Hot Water Pumps'!$O$1:$W$1,0))</f>
        <v>#N/A</v>
      </c>
      <c r="I145" s="113">
        <f>INDEX('Supply Fans'!$O$2:$W$14,MATCH(C145,'Supply Fans'!$M$2:$M$14,0),MATCH(B145,'Supply Fans'!$O$1:$W$1,0))</f>
        <v>5186</v>
      </c>
      <c r="J145" s="55"/>
      <c r="K145" s="55"/>
      <c r="L145" s="112" t="s">
        <v>200</v>
      </c>
      <c r="M145" s="50" t="s">
        <v>203</v>
      </c>
      <c r="N145" s="83" t="s">
        <v>315</v>
      </c>
      <c r="O145" s="101" t="e">
        <f>INDEX('Chilled Water Pumps'!$AA$2:$AI$9,MATCH('Lookup Table'!M145,'Chilled Water Pumps'!$Y$2:$Y$9,0),MATCH('Lookup Table'!L145,'Chilled Water Pumps'!$AA$1:$AI$1,0))</f>
        <v>#N/A</v>
      </c>
      <c r="P145" s="101" t="e">
        <f>INDEX('Cooling Tower Fan'!$AA$2:$AI$9,MATCH(M145,'Cooling Tower Fan'!$Y$2:$Y$9,0),MATCH(L145,'Cooling Tower Fan'!$AA$1:$AI$1,0))</f>
        <v>#N/A</v>
      </c>
      <c r="Q145" s="101" t="e">
        <f>INDEX('Condenser Water Pumps'!$AA$2:$AI$9,MATCH(M145,'Condenser Water Pumps'!$Y$2:$Y$9,0),MATCH(L145,'Condenser Water Pumps'!$AA$1:$AI$1,0))</f>
        <v>#N/A</v>
      </c>
      <c r="R145" s="101" t="e">
        <f>INDEX('Heating Hot Water Pumps'!$AA$2:$AI$9,MATCH(M145,'Heating Hot Water Pumps'!$Y$2:$Y$9,0),MATCH(L145,'Heating Hot Water Pumps'!$AA$1:$AI$1,0))</f>
        <v>#N/A</v>
      </c>
      <c r="S145" s="119">
        <f>INDEX('Supply Fans'!$AA$2:$AI$14,MATCH(M145,'Supply Fans'!$Y$2:$Y$14,0),MATCH(L145,'Supply Fans'!$AA$1:$AI$1,0))</f>
        <v>0.72</v>
      </c>
    </row>
    <row r="146" spans="2:19" ht="15" thickBot="1">
      <c r="B146" s="112" t="s">
        <v>200</v>
      </c>
      <c r="C146" s="50" t="s">
        <v>205</v>
      </c>
      <c r="D146" s="50" t="s">
        <v>316</v>
      </c>
      <c r="E146" s="83">
        <f>INDEX('Chilled Water Pumps'!$O$2:$W$9,MATCH('Lookup Table'!C146,'Chilled Water Pumps'!$M$2:$M$9,0),MATCH('Lookup Table'!B146,'Chilled Water Pumps'!$O$1:$W$1,0))</f>
        <v>6161</v>
      </c>
      <c r="F146" s="83">
        <f>INDEX('Cooling Tower Fan'!$O$2:$W$9,MATCH(C146,'Cooling Tower Fan'!$M$2:$M$9,0),MATCH(B146,'Cooling Tower Fan'!$O$1:$W$1,0))</f>
        <v>6159</v>
      </c>
      <c r="G146" s="83">
        <f>INDEX('Condenser Water Pumps'!$O$2:$W$9,MATCH(C146,'Condenser Water Pumps'!$M$2:$M$9,0),MATCH(B146,'Condenser Water Pumps'!$O$1:$W$1,0))</f>
        <v>5886</v>
      </c>
      <c r="H146" s="83">
        <f>INDEX('Heating Hot Water Pumps'!$O$2:$W$9,MATCH(C146,'Heating Hot Water Pumps'!$M$2:$M$9,0),MATCH(B146,'Heating Hot Water Pumps'!$O$1:$W$1,0))</f>
        <v>6077</v>
      </c>
      <c r="I146" s="113">
        <f>INDEX('Supply Fans'!$O$2:$W$14,MATCH(C146,'Supply Fans'!$M$2:$M$14,0),MATCH(B146,'Supply Fans'!$O$1:$W$1,0))</f>
        <v>8760</v>
      </c>
      <c r="J146" s="55"/>
      <c r="K146" s="55"/>
      <c r="L146" s="112" t="s">
        <v>200</v>
      </c>
      <c r="M146" s="50" t="s">
        <v>205</v>
      </c>
      <c r="N146" s="83" t="s">
        <v>316</v>
      </c>
      <c r="O146" s="101">
        <f>INDEX('Chilled Water Pumps'!$AA$2:$AI$9,MATCH('Lookup Table'!M146,'Chilled Water Pumps'!$Y$2:$Y$9,0),MATCH('Lookup Table'!L146,'Chilled Water Pumps'!$AA$1:$AI$1,0))</f>
        <v>0.67</v>
      </c>
      <c r="P146" s="101">
        <f>INDEX('Cooling Tower Fan'!$AA$2:$AI$9,MATCH(M146,'Cooling Tower Fan'!$Y$2:$Y$9,0),MATCH(L146,'Cooling Tower Fan'!$AA$1:$AI$1,0))</f>
        <v>0.68</v>
      </c>
      <c r="Q146" s="101">
        <f>INDEX('Condenser Water Pumps'!$AA$2:$AI$9,MATCH(M146,'Condenser Water Pumps'!$Y$2:$Y$9,0),MATCH(L146,'Condenser Water Pumps'!$AA$1:$AI$1,0))</f>
        <v>0.68</v>
      </c>
      <c r="R146" s="101">
        <f>INDEX('Heating Hot Water Pumps'!$AA$2:$AI$9,MATCH(M146,'Heating Hot Water Pumps'!$Y$2:$Y$9,0),MATCH(L146,'Heating Hot Water Pumps'!$AA$1:$AI$1,0))</f>
        <v>0</v>
      </c>
      <c r="S146" s="119">
        <f>INDEX('Supply Fans'!$AA$2:$AI$14,MATCH(M146,'Supply Fans'!$Y$2:$Y$14,0),MATCH(L146,'Supply Fans'!$AA$1:$AI$1,0))</f>
        <v>0.71</v>
      </c>
    </row>
    <row r="147" spans="2:19" ht="15" thickBot="1">
      <c r="B147" s="112" t="s">
        <v>200</v>
      </c>
      <c r="C147" s="50" t="s">
        <v>208</v>
      </c>
      <c r="D147" s="50" t="s">
        <v>317</v>
      </c>
      <c r="E147" s="83">
        <f>INDEX('Chilled Water Pumps'!$O$2:$W$9,MATCH('Lookup Table'!C147,'Chilled Water Pumps'!$M$2:$M$9,0),MATCH('Lookup Table'!B147,'Chilled Water Pumps'!$O$1:$W$1,0))</f>
        <v>2036</v>
      </c>
      <c r="F147" s="83">
        <f>INDEX('Cooling Tower Fan'!$O$2:$W$9,MATCH(C147,'Cooling Tower Fan'!$M$2:$M$9,0),MATCH(B147,'Cooling Tower Fan'!$O$1:$W$1,0))</f>
        <v>2036</v>
      </c>
      <c r="G147" s="83">
        <f>INDEX('Condenser Water Pumps'!$O$2:$W$9,MATCH(C147,'Condenser Water Pumps'!$M$2:$M$9,0),MATCH(B147,'Condenser Water Pumps'!$O$1:$W$1,0))</f>
        <v>2027</v>
      </c>
      <c r="H147" s="83">
        <f>INDEX('Heating Hot Water Pumps'!$O$2:$W$9,MATCH(C147,'Heating Hot Water Pumps'!$M$2:$M$9,0),MATCH(B147,'Heating Hot Water Pumps'!$O$1:$W$1,0))</f>
        <v>2690</v>
      </c>
      <c r="I147" s="113">
        <f>INDEX('Supply Fans'!$O$2:$W$14,MATCH(C147,'Supply Fans'!$M$2:$M$14,0),MATCH(B147,'Supply Fans'!$O$1:$W$1,0))</f>
        <v>4063</v>
      </c>
      <c r="J147" s="55"/>
      <c r="K147" s="55"/>
      <c r="L147" s="112" t="s">
        <v>200</v>
      </c>
      <c r="M147" s="50" t="s">
        <v>208</v>
      </c>
      <c r="N147" s="83" t="s">
        <v>317</v>
      </c>
      <c r="O147" s="101">
        <f>INDEX('Chilled Water Pumps'!$AA$2:$AI$9,MATCH('Lookup Table'!M147,'Chilled Water Pumps'!$Y$2:$Y$9,0),MATCH('Lookup Table'!L147,'Chilled Water Pumps'!$AA$1:$AI$1,0))</f>
        <v>0.36</v>
      </c>
      <c r="P147" s="101">
        <f>INDEX('Cooling Tower Fan'!$AA$2:$AI$9,MATCH(M147,'Cooling Tower Fan'!$Y$2:$Y$9,0),MATCH(L147,'Cooling Tower Fan'!$AA$1:$AI$1,0))</f>
        <v>0.36</v>
      </c>
      <c r="Q147" s="101">
        <f>INDEX('Condenser Water Pumps'!$AA$2:$AI$9,MATCH(M147,'Condenser Water Pumps'!$Y$2:$Y$9,0),MATCH(L147,'Condenser Water Pumps'!$AA$1:$AI$1,0))</f>
        <v>0.36</v>
      </c>
      <c r="R147" s="101">
        <f>INDEX('Heating Hot Water Pumps'!$AA$2:$AI$9,MATCH(M147,'Heating Hot Water Pumps'!$Y$2:$Y$9,0),MATCH(L147,'Heating Hot Water Pumps'!$AA$1:$AI$1,0))</f>
        <v>0</v>
      </c>
      <c r="S147" s="119">
        <f>INDEX('Supply Fans'!$AA$2:$AI$14,MATCH(M147,'Supply Fans'!$Y$2:$Y$14,0),MATCH(L147,'Supply Fans'!$AA$1:$AI$1,0))</f>
        <v>0.39</v>
      </c>
    </row>
    <row r="148" spans="2:19" ht="15" thickBot="1">
      <c r="B148" s="112" t="s">
        <v>200</v>
      </c>
      <c r="C148" s="50" t="s">
        <v>209</v>
      </c>
      <c r="D148" s="50" t="s">
        <v>318</v>
      </c>
      <c r="E148" s="83" t="e">
        <f>INDEX('Chilled Water Pumps'!$O$2:$W$9,MATCH('Lookup Table'!C148,'Chilled Water Pumps'!$M$2:$M$9,0),MATCH('Lookup Table'!B148,'Chilled Water Pumps'!$O$1:$W$1,0))</f>
        <v>#N/A</v>
      </c>
      <c r="F148" s="83" t="e">
        <f>INDEX('Cooling Tower Fan'!$O$2:$W$9,MATCH(C148,'Cooling Tower Fan'!$M$2:$M$9,0),MATCH(B148,'Cooling Tower Fan'!$O$1:$W$1,0))</f>
        <v>#N/A</v>
      </c>
      <c r="G148" s="83" t="e">
        <f>INDEX('Condenser Water Pumps'!$O$2:$W$9,MATCH(C148,'Condenser Water Pumps'!$M$2:$M$9,0),MATCH(B148,'Condenser Water Pumps'!$O$1:$W$1,0))</f>
        <v>#N/A</v>
      </c>
      <c r="H148" s="83" t="e">
        <f>INDEX('Heating Hot Water Pumps'!$O$2:$W$9,MATCH(C148,'Heating Hot Water Pumps'!$M$2:$M$9,0),MATCH(B148,'Heating Hot Water Pumps'!$O$1:$W$1,0))</f>
        <v>#N/A</v>
      </c>
      <c r="I148" s="113">
        <f>INDEX('Supply Fans'!$O$2:$W$14,MATCH(C148,'Supply Fans'!$M$2:$M$14,0),MATCH(B148,'Supply Fans'!$O$1:$W$1,0))</f>
        <v>6226</v>
      </c>
      <c r="J148" s="55"/>
      <c r="K148" s="55"/>
      <c r="L148" s="112" t="s">
        <v>200</v>
      </c>
      <c r="M148" s="50" t="s">
        <v>209</v>
      </c>
      <c r="N148" s="83" t="s">
        <v>318</v>
      </c>
      <c r="O148" s="101" t="e">
        <f>INDEX('Chilled Water Pumps'!$AA$2:$AI$9,MATCH('Lookup Table'!M148,'Chilled Water Pumps'!$Y$2:$Y$9,0),MATCH('Lookup Table'!L148,'Chilled Water Pumps'!$AA$1:$AI$1,0))</f>
        <v>#N/A</v>
      </c>
      <c r="P148" s="101" t="e">
        <f>INDEX('Cooling Tower Fan'!$AA$2:$AI$9,MATCH(M148,'Cooling Tower Fan'!$Y$2:$Y$9,0),MATCH(L148,'Cooling Tower Fan'!$AA$1:$AI$1,0))</f>
        <v>#N/A</v>
      </c>
      <c r="Q148" s="101" t="e">
        <f>INDEX('Condenser Water Pumps'!$AA$2:$AI$9,MATCH(M148,'Condenser Water Pumps'!$Y$2:$Y$9,0),MATCH(L148,'Condenser Water Pumps'!$AA$1:$AI$1,0))</f>
        <v>#N/A</v>
      </c>
      <c r="R148" s="101" t="e">
        <f>INDEX('Heating Hot Water Pumps'!$AA$2:$AI$9,MATCH(M148,'Heating Hot Water Pumps'!$Y$2:$Y$9,0),MATCH(L148,'Heating Hot Water Pumps'!$AA$1:$AI$1,0))</f>
        <v>#N/A</v>
      </c>
      <c r="S148" s="119">
        <f>INDEX('Supply Fans'!$AA$2:$AI$14,MATCH(M148,'Supply Fans'!$Y$2:$Y$14,0),MATCH(L148,'Supply Fans'!$AA$1:$AI$1,0))</f>
        <v>0.5</v>
      </c>
    </row>
    <row r="149" spans="2:19" ht="15" thickBot="1">
      <c r="B149" s="112" t="s">
        <v>200</v>
      </c>
      <c r="C149" s="50" t="s">
        <v>210</v>
      </c>
      <c r="D149" s="50" t="s">
        <v>319</v>
      </c>
      <c r="E149" s="83">
        <f>INDEX('Chilled Water Pumps'!$O$2:$W$9,MATCH('Lookup Table'!C149,'Chilled Water Pumps'!$M$2:$M$9,0),MATCH('Lookup Table'!B149,'Chilled Water Pumps'!$O$1:$W$1,0))</f>
        <v>3225</v>
      </c>
      <c r="F149" s="83">
        <f>INDEX('Cooling Tower Fan'!$O$2:$W$9,MATCH(C149,'Cooling Tower Fan'!$M$2:$M$9,0),MATCH(B149,'Cooling Tower Fan'!$O$1:$W$1,0))</f>
        <v>3226</v>
      </c>
      <c r="G149" s="83">
        <f>INDEX('Condenser Water Pumps'!$O$2:$W$9,MATCH(C149,'Condenser Water Pumps'!$M$2:$M$9,0),MATCH(B149,'Condenser Water Pumps'!$O$1:$W$1,0))</f>
        <v>3185</v>
      </c>
      <c r="H149" s="83">
        <f>INDEX('Heating Hot Water Pumps'!$O$2:$W$9,MATCH(C149,'Heating Hot Water Pumps'!$M$2:$M$9,0),MATCH(B149,'Heating Hot Water Pumps'!$O$1:$W$1,0))</f>
        <v>2398</v>
      </c>
      <c r="I149" s="113">
        <f>INDEX('Supply Fans'!$O$2:$W$14,MATCH(C149,'Supply Fans'!$M$2:$M$14,0),MATCH(B149,'Supply Fans'!$O$1:$W$1,0))</f>
        <v>5092</v>
      </c>
      <c r="J149" s="55"/>
      <c r="K149" s="55"/>
      <c r="L149" s="112" t="s">
        <v>200</v>
      </c>
      <c r="M149" s="50" t="s">
        <v>210</v>
      </c>
      <c r="N149" s="83" t="s">
        <v>319</v>
      </c>
      <c r="O149" s="101">
        <f>INDEX('Chilled Water Pumps'!$AA$2:$AI$9,MATCH('Lookup Table'!M149,'Chilled Water Pumps'!$Y$2:$Y$9,0),MATCH('Lookup Table'!L149,'Chilled Water Pumps'!$AA$1:$AI$1,0))</f>
        <v>0.54</v>
      </c>
      <c r="P149" s="101">
        <f>INDEX('Cooling Tower Fan'!$AA$2:$AI$9,MATCH(M149,'Cooling Tower Fan'!$Y$2:$Y$9,0),MATCH(L149,'Cooling Tower Fan'!$AA$1:$AI$1,0))</f>
        <v>0.54</v>
      </c>
      <c r="Q149" s="101">
        <f>INDEX('Condenser Water Pumps'!$AA$2:$AI$9,MATCH(M149,'Condenser Water Pumps'!$Y$2:$Y$9,0),MATCH(L149,'Condenser Water Pumps'!$AA$1:$AI$1,0))</f>
        <v>0.54</v>
      </c>
      <c r="R149" s="101">
        <f>INDEX('Heating Hot Water Pumps'!$AA$2:$AI$9,MATCH(M149,'Heating Hot Water Pumps'!$Y$2:$Y$9,0),MATCH(L149,'Heating Hot Water Pumps'!$AA$1:$AI$1,0))</f>
        <v>0</v>
      </c>
      <c r="S149" s="119">
        <f>INDEX('Supply Fans'!$AA$2:$AI$14,MATCH(M149,'Supply Fans'!$Y$2:$Y$14,0),MATCH(L149,'Supply Fans'!$AA$1:$AI$1,0))</f>
        <v>0.56000000000000005</v>
      </c>
    </row>
    <row r="150" spans="2:19" ht="15" thickBot="1">
      <c r="B150" s="112" t="s">
        <v>200</v>
      </c>
      <c r="C150" s="50" t="s">
        <v>211</v>
      </c>
      <c r="D150" s="50" t="s">
        <v>320</v>
      </c>
      <c r="E150" s="83" t="e">
        <f>INDEX('Chilled Water Pumps'!$O$2:$W$9,MATCH('Lookup Table'!C150,'Chilled Water Pumps'!$M$2:$M$9,0),MATCH('Lookup Table'!B150,'Chilled Water Pumps'!$O$1:$W$1,0))</f>
        <v>#N/A</v>
      </c>
      <c r="F150" s="83" t="e">
        <f>INDEX('Cooling Tower Fan'!$O$2:$W$9,MATCH(C150,'Cooling Tower Fan'!$M$2:$M$9,0),MATCH(B150,'Cooling Tower Fan'!$O$1:$W$1,0))</f>
        <v>#N/A</v>
      </c>
      <c r="G150" s="83" t="e">
        <f>INDEX('Condenser Water Pumps'!$O$2:$W$9,MATCH(C150,'Condenser Water Pumps'!$M$2:$M$9,0),MATCH(B150,'Condenser Water Pumps'!$O$1:$W$1,0))</f>
        <v>#N/A</v>
      </c>
      <c r="H150" s="83" t="e">
        <f>INDEX('Heating Hot Water Pumps'!$O$2:$W$9,MATCH(C150,'Heating Hot Water Pumps'!$M$2:$M$9,0),MATCH(B150,'Heating Hot Water Pumps'!$O$1:$W$1,0))</f>
        <v>#N/A</v>
      </c>
      <c r="I150" s="113">
        <f>INDEX('Supply Fans'!$O$2:$W$14,MATCH(C150,'Supply Fans'!$M$2:$M$14,0),MATCH(B150,'Supply Fans'!$O$1:$W$1,0))</f>
        <v>5168</v>
      </c>
      <c r="J150" s="55"/>
      <c r="K150" s="55"/>
      <c r="L150" s="112" t="s">
        <v>200</v>
      </c>
      <c r="M150" s="50" t="s">
        <v>211</v>
      </c>
      <c r="N150" s="83" t="s">
        <v>320</v>
      </c>
      <c r="O150" s="101" t="e">
        <f>INDEX('Chilled Water Pumps'!$AA$2:$AI$9,MATCH('Lookup Table'!M150,'Chilled Water Pumps'!$Y$2:$Y$9,0),MATCH('Lookup Table'!L150,'Chilled Water Pumps'!$AA$1:$AI$1,0))</f>
        <v>#N/A</v>
      </c>
      <c r="P150" s="101" t="e">
        <f>INDEX('Cooling Tower Fan'!$AA$2:$AI$9,MATCH(M150,'Cooling Tower Fan'!$Y$2:$Y$9,0),MATCH(L150,'Cooling Tower Fan'!$AA$1:$AI$1,0))</f>
        <v>#N/A</v>
      </c>
      <c r="Q150" s="101" t="e">
        <f>INDEX('Condenser Water Pumps'!$AA$2:$AI$9,MATCH(M150,'Condenser Water Pumps'!$Y$2:$Y$9,0),MATCH(L150,'Condenser Water Pumps'!$AA$1:$AI$1,0))</f>
        <v>#N/A</v>
      </c>
      <c r="R150" s="101" t="e">
        <f>INDEX('Heating Hot Water Pumps'!$AA$2:$AI$9,MATCH(M150,'Heating Hot Water Pumps'!$Y$2:$Y$9,0),MATCH(L150,'Heating Hot Water Pumps'!$AA$1:$AI$1,0))</f>
        <v>#N/A</v>
      </c>
      <c r="S150" s="119">
        <f>INDEX('Supply Fans'!$AA$2:$AI$14,MATCH(M150,'Supply Fans'!$Y$2:$Y$14,0),MATCH(L150,'Supply Fans'!$AA$1:$AI$1,0))</f>
        <v>0.3</v>
      </c>
    </row>
    <row r="151" spans="2:19" ht="15" thickBot="1">
      <c r="B151" s="112" t="s">
        <v>200</v>
      </c>
      <c r="C151" s="50" t="s">
        <v>212</v>
      </c>
      <c r="D151" s="50" t="s">
        <v>321</v>
      </c>
      <c r="E151" s="83" t="e">
        <f>INDEX('Chilled Water Pumps'!$O$2:$W$9,MATCH('Lookup Table'!C151,'Chilled Water Pumps'!$M$2:$M$9,0),MATCH('Lookup Table'!B151,'Chilled Water Pumps'!$O$1:$W$1,0))</f>
        <v>#N/A</v>
      </c>
      <c r="F151" s="83" t="e">
        <f>INDEX('Cooling Tower Fan'!$O$2:$W$9,MATCH(C151,'Cooling Tower Fan'!$M$2:$M$9,0),MATCH(B151,'Cooling Tower Fan'!$O$1:$W$1,0))</f>
        <v>#N/A</v>
      </c>
      <c r="G151" s="83" t="e">
        <f>INDEX('Condenser Water Pumps'!$O$2:$W$9,MATCH(C151,'Condenser Water Pumps'!$M$2:$M$9,0),MATCH(B151,'Condenser Water Pumps'!$O$1:$W$1,0))</f>
        <v>#N/A</v>
      </c>
      <c r="H151" s="83" t="e">
        <f>INDEX('Heating Hot Water Pumps'!$O$2:$W$9,MATCH(C151,'Heating Hot Water Pumps'!$M$2:$M$9,0),MATCH(B151,'Heating Hot Water Pumps'!$O$1:$W$1,0))</f>
        <v>#N/A</v>
      </c>
      <c r="I151" s="113">
        <f>INDEX('Supply Fans'!$O$2:$W$14,MATCH(C151,'Supply Fans'!$M$2:$M$14,0),MATCH(B151,'Supply Fans'!$O$1:$W$1,0))</f>
        <v>4041</v>
      </c>
      <c r="J151" s="55"/>
      <c r="K151" s="55"/>
      <c r="L151" s="112" t="s">
        <v>200</v>
      </c>
      <c r="M151" s="50" t="s">
        <v>212</v>
      </c>
      <c r="N151" s="83" t="s">
        <v>321</v>
      </c>
      <c r="O151" s="101" t="e">
        <f>INDEX('Chilled Water Pumps'!$AA$2:$AI$9,MATCH('Lookup Table'!M151,'Chilled Water Pumps'!$Y$2:$Y$9,0),MATCH('Lookup Table'!L151,'Chilled Water Pumps'!$AA$1:$AI$1,0))</f>
        <v>#N/A</v>
      </c>
      <c r="P151" s="101" t="e">
        <f>INDEX('Cooling Tower Fan'!$AA$2:$AI$9,MATCH(M151,'Cooling Tower Fan'!$Y$2:$Y$9,0),MATCH(L151,'Cooling Tower Fan'!$AA$1:$AI$1,0))</f>
        <v>#N/A</v>
      </c>
      <c r="Q151" s="101" t="e">
        <f>INDEX('Condenser Water Pumps'!$AA$2:$AI$9,MATCH(M151,'Condenser Water Pumps'!$Y$2:$Y$9,0),MATCH(L151,'Condenser Water Pumps'!$AA$1:$AI$1,0))</f>
        <v>#N/A</v>
      </c>
      <c r="R151" s="101" t="e">
        <f>INDEX('Heating Hot Water Pumps'!$AA$2:$AI$9,MATCH(M151,'Heating Hot Water Pumps'!$Y$2:$Y$9,0),MATCH(L151,'Heating Hot Water Pumps'!$AA$1:$AI$1,0))</f>
        <v>#N/A</v>
      </c>
      <c r="S151" s="119">
        <f>INDEX('Supply Fans'!$AA$2:$AI$14,MATCH(M151,'Supply Fans'!$Y$2:$Y$14,0),MATCH(L151,'Supply Fans'!$AA$1:$AI$1,0))</f>
        <v>0.53</v>
      </c>
    </row>
    <row r="152" spans="2:19" ht="15" thickBot="1">
      <c r="B152" s="112" t="s">
        <v>202</v>
      </c>
      <c r="C152" s="83" t="s">
        <v>178</v>
      </c>
      <c r="D152" s="50" t="s">
        <v>322</v>
      </c>
      <c r="E152" s="83">
        <f>INDEX('Chilled Water Pumps'!$O$2:$W$9,MATCH('Lookup Table'!C152,'Chilled Water Pumps'!$M$2:$M$9,0),MATCH('Lookup Table'!B152,'Chilled Water Pumps'!$O$1:$W$1,0))</f>
        <v>3916</v>
      </c>
      <c r="F152" s="83">
        <f>INDEX('Cooling Tower Fan'!$O$2:$W$9,MATCH(C152,'Cooling Tower Fan'!$M$2:$M$9,0),MATCH(B152,'Cooling Tower Fan'!$O$1:$W$1,0))</f>
        <v>3914</v>
      </c>
      <c r="G152" s="83">
        <f>INDEX('Condenser Water Pumps'!$O$2:$W$9,MATCH(C152,'Condenser Water Pumps'!$M$2:$M$9,0),MATCH(B152,'Condenser Water Pumps'!$O$1:$W$1,0))</f>
        <v>3749</v>
      </c>
      <c r="H152" s="83">
        <f>INDEX('Heating Hot Water Pumps'!$O$2:$W$9,MATCH(C152,'Heating Hot Water Pumps'!$M$2:$M$9,0),MATCH(B152,'Heating Hot Water Pumps'!$O$1:$W$1,0))</f>
        <v>4572</v>
      </c>
      <c r="I152" s="113">
        <f>INDEX('Supply Fans'!$O$2:$W$14,MATCH(C152,'Supply Fans'!$M$2:$M$14,0),MATCH(B152,'Supply Fans'!$O$1:$W$1,0))</f>
        <v>5982</v>
      </c>
      <c r="J152" s="55"/>
      <c r="K152" s="55"/>
      <c r="L152" s="112" t="s">
        <v>202</v>
      </c>
      <c r="M152" s="83" t="s">
        <v>178</v>
      </c>
      <c r="N152" s="83" t="s">
        <v>322</v>
      </c>
      <c r="O152" s="101">
        <f>INDEX('Chilled Water Pumps'!$AA$2:$AI$9,MATCH('Lookup Table'!M152,'Chilled Water Pumps'!$Y$2:$Y$9,0),MATCH('Lookup Table'!L152,'Chilled Water Pumps'!$AA$1:$AI$1,0))</f>
        <v>0.4</v>
      </c>
      <c r="P152" s="101">
        <f>INDEX('Cooling Tower Fan'!$AA$2:$AI$9,MATCH(M152,'Cooling Tower Fan'!$Y$2:$Y$9,0),MATCH(L152,'Cooling Tower Fan'!$AA$1:$AI$1,0))</f>
        <v>0.4</v>
      </c>
      <c r="Q152" s="101">
        <f>INDEX('Condenser Water Pumps'!$AA$2:$AI$9,MATCH(M152,'Condenser Water Pumps'!$Y$2:$Y$9,0),MATCH(L152,'Condenser Water Pumps'!$AA$1:$AI$1,0))</f>
        <v>0.4</v>
      </c>
      <c r="R152" s="101">
        <f>INDEX('Heating Hot Water Pumps'!$AA$2:$AI$9,MATCH(M152,'Heating Hot Water Pumps'!$Y$2:$Y$9,0),MATCH(L152,'Heating Hot Water Pumps'!$AA$1:$AI$1,0))</f>
        <v>0.01</v>
      </c>
      <c r="S152" s="119">
        <f>INDEX('Supply Fans'!$AA$2:$AI$14,MATCH(M152,'Supply Fans'!$Y$2:$Y$14,0),MATCH(L152,'Supply Fans'!$AA$1:$AI$1,0))</f>
        <v>0.42</v>
      </c>
    </row>
    <row r="153" spans="2:19" ht="15" thickBot="1">
      <c r="B153" s="112" t="s">
        <v>202</v>
      </c>
      <c r="C153" s="50" t="s">
        <v>184</v>
      </c>
      <c r="D153" s="50" t="s">
        <v>323</v>
      </c>
      <c r="E153" s="83">
        <f>INDEX('Chilled Water Pumps'!$O$2:$W$9,MATCH('Lookup Table'!C153,'Chilled Water Pumps'!$M$2:$M$9,0),MATCH('Lookup Table'!B153,'Chilled Water Pumps'!$O$1:$W$1,0))</f>
        <v>2676</v>
      </c>
      <c r="F153" s="83">
        <f>INDEX('Cooling Tower Fan'!$O$2:$W$9,MATCH(C153,'Cooling Tower Fan'!$M$2:$M$9,0),MATCH(B153,'Cooling Tower Fan'!$O$1:$W$1,0))</f>
        <v>2685</v>
      </c>
      <c r="G153" s="83">
        <f>INDEX('Condenser Water Pumps'!$O$2:$W$9,MATCH(C153,'Condenser Water Pumps'!$M$2:$M$9,0),MATCH(B153,'Condenser Water Pumps'!$O$1:$W$1,0))</f>
        <v>2409</v>
      </c>
      <c r="H153" s="83">
        <f>INDEX('Heating Hot Water Pumps'!$O$2:$W$9,MATCH(C153,'Heating Hot Water Pumps'!$M$2:$M$9,0),MATCH(B153,'Heating Hot Water Pumps'!$O$1:$W$1,0))</f>
        <v>3705</v>
      </c>
      <c r="I153" s="113">
        <f>INDEX('Supply Fans'!$O$2:$W$14,MATCH(C153,'Supply Fans'!$M$2:$M$14,0),MATCH(B153,'Supply Fans'!$O$1:$W$1,0))</f>
        <v>4415</v>
      </c>
      <c r="J153" s="55"/>
      <c r="K153" s="55"/>
      <c r="L153" s="112" t="s">
        <v>202</v>
      </c>
      <c r="M153" s="50" t="s">
        <v>184</v>
      </c>
      <c r="N153" s="83" t="s">
        <v>323</v>
      </c>
      <c r="O153" s="101">
        <f>INDEX('Chilled Water Pumps'!$AA$2:$AI$9,MATCH('Lookup Table'!M153,'Chilled Water Pumps'!$Y$2:$Y$9,0),MATCH('Lookup Table'!L153,'Chilled Water Pumps'!$AA$1:$AI$1,0))</f>
        <v>0.17</v>
      </c>
      <c r="P153" s="101">
        <f>INDEX('Cooling Tower Fan'!$AA$2:$AI$9,MATCH(M153,'Cooling Tower Fan'!$Y$2:$Y$9,0),MATCH(L153,'Cooling Tower Fan'!$AA$1:$AI$1,0))</f>
        <v>0.17</v>
      </c>
      <c r="Q153" s="101">
        <f>INDEX('Condenser Water Pumps'!$AA$2:$AI$9,MATCH(M153,'Condenser Water Pumps'!$Y$2:$Y$9,0),MATCH(L153,'Condenser Water Pumps'!$AA$1:$AI$1,0))</f>
        <v>0.17</v>
      </c>
      <c r="R153" s="101">
        <f>INDEX('Heating Hot Water Pumps'!$AA$2:$AI$9,MATCH(M153,'Heating Hot Water Pumps'!$Y$2:$Y$9,0),MATCH(L153,'Heating Hot Water Pumps'!$AA$1:$AI$1,0))</f>
        <v>0</v>
      </c>
      <c r="S153" s="119">
        <f>INDEX('Supply Fans'!$AA$2:$AI$14,MATCH(M153,'Supply Fans'!$Y$2:$Y$14,0),MATCH(L153,'Supply Fans'!$AA$1:$AI$1,0))</f>
        <v>0.18</v>
      </c>
    </row>
    <row r="154" spans="2:19" ht="15" thickBot="1">
      <c r="B154" s="112" t="s">
        <v>202</v>
      </c>
      <c r="C154" s="50" t="s">
        <v>190</v>
      </c>
      <c r="D154" s="50" t="s">
        <v>324</v>
      </c>
      <c r="E154" s="83" t="e">
        <f>INDEX('Chilled Water Pumps'!$O$2:$W$9,MATCH('Lookup Table'!C154,'Chilled Water Pumps'!$M$2:$M$9,0),MATCH('Lookup Table'!B154,'Chilled Water Pumps'!$O$1:$W$1,0))</f>
        <v>#N/A</v>
      </c>
      <c r="F154" s="83" t="e">
        <f>INDEX('Cooling Tower Fan'!$O$2:$W$9,MATCH(C154,'Cooling Tower Fan'!$M$2:$M$9,0),MATCH(B154,'Cooling Tower Fan'!$O$1:$W$1,0))</f>
        <v>#N/A</v>
      </c>
      <c r="G154" s="83" t="e">
        <f>INDEX('Condenser Water Pumps'!$O$2:$W$9,MATCH(C154,'Condenser Water Pumps'!$M$2:$M$9,0),MATCH(B154,'Condenser Water Pumps'!$O$1:$W$1,0))</f>
        <v>#N/A</v>
      </c>
      <c r="H154" s="83" t="e">
        <f>INDEX('Heating Hot Water Pumps'!$O$2:$W$9,MATCH(C154,'Heating Hot Water Pumps'!$M$2:$M$9,0),MATCH(B154,'Heating Hot Water Pumps'!$O$1:$W$1,0))</f>
        <v>#N/A</v>
      </c>
      <c r="I154" s="113">
        <f>INDEX('Supply Fans'!$O$2:$W$14,MATCH(C154,'Supply Fans'!$M$2:$M$14,0),MATCH(B154,'Supply Fans'!$O$1:$W$1,0))</f>
        <v>6718</v>
      </c>
      <c r="J154" s="55"/>
      <c r="K154" s="55"/>
      <c r="L154" s="112" t="s">
        <v>202</v>
      </c>
      <c r="M154" s="50" t="s">
        <v>190</v>
      </c>
      <c r="N154" s="83" t="s">
        <v>324</v>
      </c>
      <c r="O154" s="101" t="e">
        <f>INDEX('Chilled Water Pumps'!$AA$2:$AI$9,MATCH('Lookup Table'!M154,'Chilled Water Pumps'!$Y$2:$Y$9,0),MATCH('Lookup Table'!L154,'Chilled Water Pumps'!$AA$1:$AI$1,0))</f>
        <v>#N/A</v>
      </c>
      <c r="P154" s="101" t="e">
        <f>INDEX('Cooling Tower Fan'!$AA$2:$AI$9,MATCH(M154,'Cooling Tower Fan'!$Y$2:$Y$9,0),MATCH(L154,'Cooling Tower Fan'!$AA$1:$AI$1,0))</f>
        <v>#N/A</v>
      </c>
      <c r="Q154" s="101" t="e">
        <f>INDEX('Condenser Water Pumps'!$AA$2:$AI$9,MATCH(M154,'Condenser Water Pumps'!$Y$2:$Y$9,0),MATCH(L154,'Condenser Water Pumps'!$AA$1:$AI$1,0))</f>
        <v>#N/A</v>
      </c>
      <c r="R154" s="101" t="e">
        <f>INDEX('Heating Hot Water Pumps'!$AA$2:$AI$9,MATCH(M154,'Heating Hot Water Pumps'!$Y$2:$Y$9,0),MATCH(L154,'Heating Hot Water Pumps'!$AA$1:$AI$1,0))</f>
        <v>#N/A</v>
      </c>
      <c r="S154" s="119">
        <f>INDEX('Supply Fans'!$AA$2:$AI$14,MATCH(M154,'Supply Fans'!$Y$2:$Y$14,0),MATCH(L154,'Supply Fans'!$AA$1:$AI$1,0))</f>
        <v>0.28999999999999998</v>
      </c>
    </row>
    <row r="155" spans="2:19" ht="15" thickBot="1">
      <c r="B155" s="112" t="s">
        <v>202</v>
      </c>
      <c r="C155" s="50" t="s">
        <v>195</v>
      </c>
      <c r="D155" s="50" t="s">
        <v>325</v>
      </c>
      <c r="E155" s="83">
        <f>INDEX('Chilled Water Pumps'!$O$2:$W$9,MATCH('Lookup Table'!C155,'Chilled Water Pumps'!$M$2:$M$9,0),MATCH('Lookup Table'!B155,'Chilled Water Pumps'!$O$1:$W$1,0))</f>
        <v>5593</v>
      </c>
      <c r="F155" s="83">
        <f>INDEX('Cooling Tower Fan'!$O$2:$W$9,MATCH(C155,'Cooling Tower Fan'!$M$2:$M$9,0),MATCH(B155,'Cooling Tower Fan'!$O$1:$W$1,0))</f>
        <v>5591</v>
      </c>
      <c r="G155" s="83">
        <f>INDEX('Condenser Water Pumps'!$O$2:$W$9,MATCH(C155,'Condenser Water Pumps'!$M$2:$M$9,0),MATCH(B155,'Condenser Water Pumps'!$O$1:$W$1,0))</f>
        <v>4093</v>
      </c>
      <c r="H155" s="83">
        <f>INDEX('Heating Hot Water Pumps'!$O$2:$W$9,MATCH(C155,'Heating Hot Water Pumps'!$M$2:$M$9,0),MATCH(B155,'Heating Hot Water Pumps'!$O$1:$W$1,0))</f>
        <v>8760</v>
      </c>
      <c r="I155" s="113">
        <f>INDEX('Supply Fans'!$O$2:$W$14,MATCH(C155,'Supply Fans'!$M$2:$M$14,0),MATCH(B155,'Supply Fans'!$O$1:$W$1,0))</f>
        <v>8760</v>
      </c>
      <c r="J155" s="55"/>
      <c r="K155" s="55"/>
      <c r="L155" s="112" t="s">
        <v>202</v>
      </c>
      <c r="M155" s="50" t="s">
        <v>195</v>
      </c>
      <c r="N155" s="83" t="s">
        <v>325</v>
      </c>
      <c r="O155" s="101">
        <f>INDEX('Chilled Water Pumps'!$AA$2:$AI$9,MATCH('Lookup Table'!M155,'Chilled Water Pumps'!$Y$2:$Y$9,0),MATCH('Lookup Table'!L155,'Chilled Water Pumps'!$AA$1:$AI$1,0))</f>
        <v>0.48</v>
      </c>
      <c r="P155" s="101">
        <f>INDEX('Cooling Tower Fan'!$AA$2:$AI$9,MATCH(M155,'Cooling Tower Fan'!$Y$2:$Y$9,0),MATCH(L155,'Cooling Tower Fan'!$AA$1:$AI$1,0))</f>
        <v>0.47</v>
      </c>
      <c r="Q155" s="101">
        <f>INDEX('Condenser Water Pumps'!$AA$2:$AI$9,MATCH(M155,'Condenser Water Pumps'!$Y$2:$Y$9,0),MATCH(L155,'Condenser Water Pumps'!$AA$1:$AI$1,0))</f>
        <v>0.47</v>
      </c>
      <c r="R155" s="101">
        <f>INDEX('Heating Hot Water Pumps'!$AA$2:$AI$9,MATCH(M155,'Heating Hot Water Pumps'!$Y$2:$Y$9,0),MATCH(L155,'Heating Hot Water Pumps'!$AA$1:$AI$1,0))</f>
        <v>0.09</v>
      </c>
      <c r="S155" s="119">
        <f>INDEX('Supply Fans'!$AA$2:$AI$14,MATCH(M155,'Supply Fans'!$Y$2:$Y$14,0),MATCH(L155,'Supply Fans'!$AA$1:$AI$1,0))</f>
        <v>0.45</v>
      </c>
    </row>
    <row r="156" spans="2:19" ht="15" thickBot="1">
      <c r="B156" s="112" t="s">
        <v>202</v>
      </c>
      <c r="C156" s="50" t="s">
        <v>198</v>
      </c>
      <c r="D156" s="50" t="s">
        <v>326</v>
      </c>
      <c r="E156" s="83">
        <f>INDEX('Chilled Water Pumps'!$O$2:$W$9,MATCH('Lookup Table'!C156,'Chilled Water Pumps'!$M$2:$M$9,0),MATCH('Lookup Table'!B156,'Chilled Water Pumps'!$O$1:$W$1,0))</f>
        <v>3900</v>
      </c>
      <c r="F156" s="83">
        <f>INDEX('Cooling Tower Fan'!$O$2:$W$9,MATCH(C156,'Cooling Tower Fan'!$M$2:$M$9,0),MATCH(B156,'Cooling Tower Fan'!$O$1:$W$1,0))</f>
        <v>3902</v>
      </c>
      <c r="G156" s="83">
        <f>INDEX('Condenser Water Pumps'!$O$2:$W$9,MATCH(C156,'Condenser Water Pumps'!$M$2:$M$9,0),MATCH(B156,'Condenser Water Pumps'!$O$1:$W$1,0))</f>
        <v>3571</v>
      </c>
      <c r="H156" s="83">
        <f>INDEX('Heating Hot Water Pumps'!$O$2:$W$9,MATCH(C156,'Heating Hot Water Pumps'!$M$2:$M$9,0),MATCH(B156,'Heating Hot Water Pumps'!$O$1:$W$1,0))</f>
        <v>5991</v>
      </c>
      <c r="I156" s="113">
        <f>INDEX('Supply Fans'!$O$2:$W$14,MATCH(C156,'Supply Fans'!$M$2:$M$14,0),MATCH(B156,'Supply Fans'!$O$1:$W$1,0))</f>
        <v>8760</v>
      </c>
      <c r="J156" s="55"/>
      <c r="K156" s="55"/>
      <c r="L156" s="112" t="s">
        <v>202</v>
      </c>
      <c r="M156" s="50" t="s">
        <v>198</v>
      </c>
      <c r="N156" s="83" t="s">
        <v>326</v>
      </c>
      <c r="O156" s="101">
        <f>INDEX('Chilled Water Pumps'!$AA$2:$AI$9,MATCH('Lookup Table'!M156,'Chilled Water Pumps'!$Y$2:$Y$9,0),MATCH('Lookup Table'!L156,'Chilled Water Pumps'!$AA$1:$AI$1,0))</f>
        <v>0.28000000000000003</v>
      </c>
      <c r="P156" s="101">
        <f>INDEX('Cooling Tower Fan'!$AA$2:$AI$9,MATCH(M156,'Cooling Tower Fan'!$Y$2:$Y$9,0),MATCH(L156,'Cooling Tower Fan'!$AA$1:$AI$1,0))</f>
        <v>0.28000000000000003</v>
      </c>
      <c r="Q156" s="101">
        <f>INDEX('Condenser Water Pumps'!$AA$2:$AI$9,MATCH(M156,'Condenser Water Pumps'!$Y$2:$Y$9,0),MATCH(L156,'Condenser Water Pumps'!$AA$1:$AI$1,0))</f>
        <v>0.28000000000000003</v>
      </c>
      <c r="R156" s="101">
        <f>INDEX('Heating Hot Water Pumps'!$AA$2:$AI$9,MATCH(M156,'Heating Hot Water Pumps'!$Y$2:$Y$9,0),MATCH(L156,'Heating Hot Water Pumps'!$AA$1:$AI$1,0))</f>
        <v>0</v>
      </c>
      <c r="S156" s="119">
        <f>INDEX('Supply Fans'!$AA$2:$AI$14,MATCH(M156,'Supply Fans'!$Y$2:$Y$14,0),MATCH(L156,'Supply Fans'!$AA$1:$AI$1,0))</f>
        <v>0.28999999999999998</v>
      </c>
    </row>
    <row r="157" spans="2:19" ht="15" thickBot="1">
      <c r="B157" s="112" t="s">
        <v>202</v>
      </c>
      <c r="C157" s="50" t="s">
        <v>201</v>
      </c>
      <c r="D157" s="50" t="s">
        <v>327</v>
      </c>
      <c r="E157" s="83">
        <f>INDEX('Chilled Water Pumps'!$O$2:$W$9,MATCH('Lookup Table'!C157,'Chilled Water Pumps'!$M$2:$M$9,0),MATCH('Lookup Table'!B157,'Chilled Water Pumps'!$O$1:$W$1,0))</f>
        <v>1606</v>
      </c>
      <c r="F157" s="83">
        <f>INDEX('Cooling Tower Fan'!$O$2:$W$9,MATCH(C157,'Cooling Tower Fan'!$M$2:$M$9,0),MATCH(B157,'Cooling Tower Fan'!$O$1:$W$1,0))</f>
        <v>1606</v>
      </c>
      <c r="G157" s="83">
        <f>INDEX('Condenser Water Pumps'!$O$2:$W$9,MATCH(C157,'Condenser Water Pumps'!$M$2:$M$9,0),MATCH(B157,'Condenser Water Pumps'!$O$1:$W$1,0))</f>
        <v>1602</v>
      </c>
      <c r="H157" s="83">
        <f>INDEX('Heating Hot Water Pumps'!$O$2:$W$9,MATCH(C157,'Heating Hot Water Pumps'!$M$2:$M$9,0),MATCH(B157,'Heating Hot Water Pumps'!$O$1:$W$1,0))</f>
        <v>1287</v>
      </c>
      <c r="I157" s="113">
        <f>INDEX('Supply Fans'!$O$2:$W$14,MATCH(C157,'Supply Fans'!$M$2:$M$14,0),MATCH(B157,'Supply Fans'!$O$1:$W$1,0))</f>
        <v>3869</v>
      </c>
      <c r="J157" s="55"/>
      <c r="K157" s="55"/>
      <c r="L157" s="112" t="s">
        <v>202</v>
      </c>
      <c r="M157" s="50" t="s">
        <v>201</v>
      </c>
      <c r="N157" s="83" t="s">
        <v>327</v>
      </c>
      <c r="O157" s="101">
        <f>INDEX('Chilled Water Pumps'!$AA$2:$AI$9,MATCH('Lookup Table'!M157,'Chilled Water Pumps'!$Y$2:$Y$9,0),MATCH('Lookup Table'!L157,'Chilled Water Pumps'!$AA$1:$AI$1,0))</f>
        <v>0.54</v>
      </c>
      <c r="P157" s="101">
        <f>INDEX('Cooling Tower Fan'!$AA$2:$AI$9,MATCH(M157,'Cooling Tower Fan'!$Y$2:$Y$9,0),MATCH(L157,'Cooling Tower Fan'!$AA$1:$AI$1,0))</f>
        <v>0.54</v>
      </c>
      <c r="Q157" s="101">
        <f>INDEX('Condenser Water Pumps'!$AA$2:$AI$9,MATCH(M157,'Condenser Water Pumps'!$Y$2:$Y$9,0),MATCH(L157,'Condenser Water Pumps'!$AA$1:$AI$1,0))</f>
        <v>0.54</v>
      </c>
      <c r="R157" s="101">
        <f>INDEX('Heating Hot Water Pumps'!$AA$2:$AI$9,MATCH(M157,'Heating Hot Water Pumps'!$Y$2:$Y$9,0),MATCH(L157,'Heating Hot Water Pumps'!$AA$1:$AI$1,0))</f>
        <v>0</v>
      </c>
      <c r="S157" s="119">
        <f>INDEX('Supply Fans'!$AA$2:$AI$14,MATCH(M157,'Supply Fans'!$Y$2:$Y$14,0),MATCH(L157,'Supply Fans'!$AA$1:$AI$1,0))</f>
        <v>0.5</v>
      </c>
    </row>
    <row r="158" spans="2:19" ht="15" thickBot="1">
      <c r="B158" s="112" t="s">
        <v>202</v>
      </c>
      <c r="C158" s="50" t="s">
        <v>203</v>
      </c>
      <c r="D158" s="50" t="s">
        <v>328</v>
      </c>
      <c r="E158" s="83" t="e">
        <f>INDEX('Chilled Water Pumps'!$O$2:$W$9,MATCH('Lookup Table'!C158,'Chilled Water Pumps'!$M$2:$M$9,0),MATCH('Lookup Table'!B158,'Chilled Water Pumps'!$O$1:$W$1,0))</f>
        <v>#N/A</v>
      </c>
      <c r="F158" s="83" t="e">
        <f>INDEX('Cooling Tower Fan'!$O$2:$W$9,MATCH(C158,'Cooling Tower Fan'!$M$2:$M$9,0),MATCH(B158,'Cooling Tower Fan'!$O$1:$W$1,0))</f>
        <v>#N/A</v>
      </c>
      <c r="G158" s="83" t="e">
        <f>INDEX('Condenser Water Pumps'!$O$2:$W$9,MATCH(C158,'Condenser Water Pumps'!$M$2:$M$9,0),MATCH(B158,'Condenser Water Pumps'!$O$1:$W$1,0))</f>
        <v>#N/A</v>
      </c>
      <c r="H158" s="83" t="e">
        <f>INDEX('Heating Hot Water Pumps'!$O$2:$W$9,MATCH(C158,'Heating Hot Water Pumps'!$M$2:$M$9,0),MATCH(B158,'Heating Hot Water Pumps'!$O$1:$W$1,0))</f>
        <v>#N/A</v>
      </c>
      <c r="I158" s="113">
        <f>INDEX('Supply Fans'!$O$2:$W$14,MATCH(C158,'Supply Fans'!$M$2:$M$14,0),MATCH(B158,'Supply Fans'!$O$1:$W$1,0))</f>
        <v>5201</v>
      </c>
      <c r="J158" s="55"/>
      <c r="K158" s="55"/>
      <c r="L158" s="112" t="s">
        <v>202</v>
      </c>
      <c r="M158" s="50" t="s">
        <v>203</v>
      </c>
      <c r="N158" s="83" t="s">
        <v>328</v>
      </c>
      <c r="O158" s="101" t="e">
        <f>INDEX('Chilled Water Pumps'!$AA$2:$AI$9,MATCH('Lookup Table'!M158,'Chilled Water Pumps'!$Y$2:$Y$9,0),MATCH('Lookup Table'!L158,'Chilled Water Pumps'!$AA$1:$AI$1,0))</f>
        <v>#N/A</v>
      </c>
      <c r="P158" s="101" t="e">
        <f>INDEX('Cooling Tower Fan'!$AA$2:$AI$9,MATCH(M158,'Cooling Tower Fan'!$Y$2:$Y$9,0),MATCH(L158,'Cooling Tower Fan'!$AA$1:$AI$1,0))</f>
        <v>#N/A</v>
      </c>
      <c r="Q158" s="101" t="e">
        <f>INDEX('Condenser Water Pumps'!$AA$2:$AI$9,MATCH(M158,'Condenser Water Pumps'!$Y$2:$Y$9,0),MATCH(L158,'Condenser Water Pumps'!$AA$1:$AI$1,0))</f>
        <v>#N/A</v>
      </c>
      <c r="R158" s="101" t="e">
        <f>INDEX('Heating Hot Water Pumps'!$AA$2:$AI$9,MATCH(M158,'Heating Hot Water Pumps'!$Y$2:$Y$9,0),MATCH(L158,'Heating Hot Water Pumps'!$AA$1:$AI$1,0))</f>
        <v>#N/A</v>
      </c>
      <c r="S158" s="119">
        <f>INDEX('Supply Fans'!$AA$2:$AI$14,MATCH(M158,'Supply Fans'!$Y$2:$Y$14,0),MATCH(L158,'Supply Fans'!$AA$1:$AI$1,0))</f>
        <v>0.56000000000000005</v>
      </c>
    </row>
    <row r="159" spans="2:19" ht="15" thickBot="1">
      <c r="B159" s="112" t="s">
        <v>202</v>
      </c>
      <c r="C159" s="50" t="s">
        <v>205</v>
      </c>
      <c r="D159" s="50" t="s">
        <v>329</v>
      </c>
      <c r="E159" s="83">
        <f>INDEX('Chilled Water Pumps'!$O$2:$W$9,MATCH('Lookup Table'!C159,'Chilled Water Pumps'!$M$2:$M$9,0),MATCH('Lookup Table'!B159,'Chilled Water Pumps'!$O$1:$W$1,0))</f>
        <v>5686</v>
      </c>
      <c r="F159" s="83">
        <f>INDEX('Cooling Tower Fan'!$O$2:$W$9,MATCH(C159,'Cooling Tower Fan'!$M$2:$M$9,0),MATCH(B159,'Cooling Tower Fan'!$O$1:$W$1,0))</f>
        <v>5683</v>
      </c>
      <c r="G159" s="83">
        <f>INDEX('Condenser Water Pumps'!$O$2:$W$9,MATCH(C159,'Condenser Water Pumps'!$M$2:$M$9,0),MATCH(B159,'Condenser Water Pumps'!$O$1:$W$1,0))</f>
        <v>5239</v>
      </c>
      <c r="H159" s="83">
        <f>INDEX('Heating Hot Water Pumps'!$O$2:$W$9,MATCH(C159,'Heating Hot Water Pumps'!$M$2:$M$9,0),MATCH(B159,'Heating Hot Water Pumps'!$O$1:$W$1,0))</f>
        <v>6574</v>
      </c>
      <c r="I159" s="113">
        <f>INDEX('Supply Fans'!$O$2:$W$14,MATCH(C159,'Supply Fans'!$M$2:$M$14,0),MATCH(B159,'Supply Fans'!$O$1:$W$1,0))</f>
        <v>8760</v>
      </c>
      <c r="J159" s="55"/>
      <c r="K159" s="55"/>
      <c r="L159" s="112" t="s">
        <v>202</v>
      </c>
      <c r="M159" s="50" t="s">
        <v>205</v>
      </c>
      <c r="N159" s="83" t="s">
        <v>329</v>
      </c>
      <c r="O159" s="101">
        <f>INDEX('Chilled Water Pumps'!$AA$2:$AI$9,MATCH('Lookup Table'!M159,'Chilled Water Pumps'!$Y$2:$Y$9,0),MATCH('Lookup Table'!L159,'Chilled Water Pumps'!$AA$1:$AI$1,0))</f>
        <v>0.69</v>
      </c>
      <c r="P159" s="101">
        <f>INDEX('Cooling Tower Fan'!$AA$2:$AI$9,MATCH(M159,'Cooling Tower Fan'!$Y$2:$Y$9,0),MATCH(L159,'Cooling Tower Fan'!$AA$1:$AI$1,0))</f>
        <v>0.7</v>
      </c>
      <c r="Q159" s="101">
        <f>INDEX('Condenser Water Pumps'!$AA$2:$AI$9,MATCH(M159,'Condenser Water Pumps'!$Y$2:$Y$9,0),MATCH(L159,'Condenser Water Pumps'!$AA$1:$AI$1,0))</f>
        <v>0.7</v>
      </c>
      <c r="R159" s="101">
        <f>INDEX('Heating Hot Water Pumps'!$AA$2:$AI$9,MATCH(M159,'Heating Hot Water Pumps'!$Y$2:$Y$9,0),MATCH(L159,'Heating Hot Water Pumps'!$AA$1:$AI$1,0))</f>
        <v>0</v>
      </c>
      <c r="S159" s="119">
        <f>INDEX('Supply Fans'!$AA$2:$AI$14,MATCH(M159,'Supply Fans'!$Y$2:$Y$14,0),MATCH(L159,'Supply Fans'!$AA$1:$AI$1,0))</f>
        <v>0.73</v>
      </c>
    </row>
    <row r="160" spans="2:19" ht="15" thickBot="1">
      <c r="B160" s="112" t="s">
        <v>202</v>
      </c>
      <c r="C160" s="50" t="s">
        <v>208</v>
      </c>
      <c r="D160" s="50" t="s">
        <v>330</v>
      </c>
      <c r="E160" s="83">
        <f>INDEX('Chilled Water Pumps'!$O$2:$W$9,MATCH('Lookup Table'!C160,'Chilled Water Pumps'!$M$2:$M$9,0),MATCH('Lookup Table'!B160,'Chilled Water Pumps'!$O$1:$W$1,0))</f>
        <v>1739</v>
      </c>
      <c r="F160" s="83">
        <f>INDEX('Cooling Tower Fan'!$O$2:$W$9,MATCH(C160,'Cooling Tower Fan'!$M$2:$M$9,0),MATCH(B160,'Cooling Tower Fan'!$O$1:$W$1,0))</f>
        <v>1739</v>
      </c>
      <c r="G160" s="83">
        <f>INDEX('Condenser Water Pumps'!$O$2:$W$9,MATCH(C160,'Condenser Water Pumps'!$M$2:$M$9,0),MATCH(B160,'Condenser Water Pumps'!$O$1:$W$1,0))</f>
        <v>1730</v>
      </c>
      <c r="H160" s="83">
        <f>INDEX('Heating Hot Water Pumps'!$O$2:$W$9,MATCH(C160,'Heating Hot Water Pumps'!$M$2:$M$9,0),MATCH(B160,'Heating Hot Water Pumps'!$O$1:$W$1,0))</f>
        <v>3246</v>
      </c>
      <c r="I160" s="113">
        <f>INDEX('Supply Fans'!$O$2:$W$14,MATCH(C160,'Supply Fans'!$M$2:$M$14,0),MATCH(B160,'Supply Fans'!$O$1:$W$1,0))</f>
        <v>4240</v>
      </c>
      <c r="J160" s="55"/>
      <c r="K160" s="55"/>
      <c r="L160" s="112" t="s">
        <v>202</v>
      </c>
      <c r="M160" s="50" t="s">
        <v>208</v>
      </c>
      <c r="N160" s="83" t="s">
        <v>330</v>
      </c>
      <c r="O160" s="101">
        <f>INDEX('Chilled Water Pumps'!$AA$2:$AI$9,MATCH('Lookup Table'!M160,'Chilled Water Pumps'!$Y$2:$Y$9,0),MATCH('Lookup Table'!L160,'Chilled Water Pumps'!$AA$1:$AI$1,0))</f>
        <v>0.33</v>
      </c>
      <c r="P160" s="101">
        <f>INDEX('Cooling Tower Fan'!$AA$2:$AI$9,MATCH(M160,'Cooling Tower Fan'!$Y$2:$Y$9,0),MATCH(L160,'Cooling Tower Fan'!$AA$1:$AI$1,0))</f>
        <v>0.33</v>
      </c>
      <c r="Q160" s="101">
        <f>INDEX('Condenser Water Pumps'!$AA$2:$AI$9,MATCH(M160,'Condenser Water Pumps'!$Y$2:$Y$9,0),MATCH(L160,'Condenser Water Pumps'!$AA$1:$AI$1,0))</f>
        <v>0.33</v>
      </c>
      <c r="R160" s="101">
        <f>INDEX('Heating Hot Water Pumps'!$AA$2:$AI$9,MATCH(M160,'Heating Hot Water Pumps'!$Y$2:$Y$9,0),MATCH(L160,'Heating Hot Water Pumps'!$AA$1:$AI$1,0))</f>
        <v>0</v>
      </c>
      <c r="S160" s="119">
        <f>INDEX('Supply Fans'!$AA$2:$AI$14,MATCH(M160,'Supply Fans'!$Y$2:$Y$14,0),MATCH(L160,'Supply Fans'!$AA$1:$AI$1,0))</f>
        <v>0.35</v>
      </c>
    </row>
    <row r="161" spans="2:19" ht="15" thickBot="1">
      <c r="B161" s="112" t="s">
        <v>202</v>
      </c>
      <c r="C161" s="50" t="s">
        <v>209</v>
      </c>
      <c r="D161" s="50" t="s">
        <v>331</v>
      </c>
      <c r="E161" s="83" t="e">
        <f>INDEX('Chilled Water Pumps'!$O$2:$W$9,MATCH('Lookup Table'!C161,'Chilled Water Pumps'!$M$2:$M$9,0),MATCH('Lookup Table'!B161,'Chilled Water Pumps'!$O$1:$W$1,0))</f>
        <v>#N/A</v>
      </c>
      <c r="F161" s="83" t="e">
        <f>INDEX('Cooling Tower Fan'!$O$2:$W$9,MATCH(C161,'Cooling Tower Fan'!$M$2:$M$9,0),MATCH(B161,'Cooling Tower Fan'!$O$1:$W$1,0))</f>
        <v>#N/A</v>
      </c>
      <c r="G161" s="83" t="e">
        <f>INDEX('Condenser Water Pumps'!$O$2:$W$9,MATCH(C161,'Condenser Water Pumps'!$M$2:$M$9,0),MATCH(B161,'Condenser Water Pumps'!$O$1:$W$1,0))</f>
        <v>#N/A</v>
      </c>
      <c r="H161" s="83" t="e">
        <f>INDEX('Heating Hot Water Pumps'!$O$2:$W$9,MATCH(C161,'Heating Hot Water Pumps'!$M$2:$M$9,0),MATCH(B161,'Heating Hot Water Pumps'!$O$1:$W$1,0))</f>
        <v>#N/A</v>
      </c>
      <c r="I161" s="113">
        <f>INDEX('Supply Fans'!$O$2:$W$14,MATCH(C161,'Supply Fans'!$M$2:$M$14,0),MATCH(B161,'Supply Fans'!$O$1:$W$1,0))</f>
        <v>6300</v>
      </c>
      <c r="J161" s="55"/>
      <c r="K161" s="55"/>
      <c r="L161" s="112" t="s">
        <v>202</v>
      </c>
      <c r="M161" s="50" t="s">
        <v>209</v>
      </c>
      <c r="N161" s="83" t="s">
        <v>331</v>
      </c>
      <c r="O161" s="101" t="e">
        <f>INDEX('Chilled Water Pumps'!$AA$2:$AI$9,MATCH('Lookup Table'!M161,'Chilled Water Pumps'!$Y$2:$Y$9,0),MATCH('Lookup Table'!L161,'Chilled Water Pumps'!$AA$1:$AI$1,0))</f>
        <v>#N/A</v>
      </c>
      <c r="P161" s="101" t="e">
        <f>INDEX('Cooling Tower Fan'!$AA$2:$AI$9,MATCH(M161,'Cooling Tower Fan'!$Y$2:$Y$9,0),MATCH(L161,'Cooling Tower Fan'!$AA$1:$AI$1,0))</f>
        <v>#N/A</v>
      </c>
      <c r="Q161" s="101" t="e">
        <f>INDEX('Condenser Water Pumps'!$AA$2:$AI$9,MATCH(M161,'Condenser Water Pumps'!$Y$2:$Y$9,0),MATCH(L161,'Condenser Water Pumps'!$AA$1:$AI$1,0))</f>
        <v>#N/A</v>
      </c>
      <c r="R161" s="101" t="e">
        <f>INDEX('Heating Hot Water Pumps'!$AA$2:$AI$9,MATCH(M161,'Heating Hot Water Pumps'!$Y$2:$Y$9,0),MATCH(L161,'Heating Hot Water Pumps'!$AA$1:$AI$1,0))</f>
        <v>#N/A</v>
      </c>
      <c r="S161" s="119">
        <f>INDEX('Supply Fans'!$AA$2:$AI$14,MATCH(M161,'Supply Fans'!$Y$2:$Y$14,0),MATCH(L161,'Supply Fans'!$AA$1:$AI$1,0))</f>
        <v>0.49</v>
      </c>
    </row>
    <row r="162" spans="2:19" ht="15" thickBot="1">
      <c r="B162" s="112" t="s">
        <v>202</v>
      </c>
      <c r="C162" s="50" t="s">
        <v>210</v>
      </c>
      <c r="D162" s="50" t="s">
        <v>332</v>
      </c>
      <c r="E162" s="83">
        <f>INDEX('Chilled Water Pumps'!$O$2:$W$9,MATCH('Lookup Table'!C162,'Chilled Water Pumps'!$M$2:$M$9,0),MATCH('Lookup Table'!B162,'Chilled Water Pumps'!$O$1:$W$1,0))</f>
        <v>2795</v>
      </c>
      <c r="F162" s="83">
        <f>INDEX('Cooling Tower Fan'!$O$2:$W$9,MATCH(C162,'Cooling Tower Fan'!$M$2:$M$9,0),MATCH(B162,'Cooling Tower Fan'!$O$1:$W$1,0))</f>
        <v>2795</v>
      </c>
      <c r="G162" s="83">
        <f>INDEX('Condenser Water Pumps'!$O$2:$W$9,MATCH(C162,'Condenser Water Pumps'!$M$2:$M$9,0),MATCH(B162,'Condenser Water Pumps'!$O$1:$W$1,0))</f>
        <v>2757</v>
      </c>
      <c r="H162" s="83">
        <f>INDEX('Heating Hot Water Pumps'!$O$2:$W$9,MATCH(C162,'Heating Hot Water Pumps'!$M$2:$M$9,0),MATCH(B162,'Heating Hot Water Pumps'!$O$1:$W$1,0))</f>
        <v>2908</v>
      </c>
      <c r="I162" s="113">
        <f>INDEX('Supply Fans'!$O$2:$W$14,MATCH(C162,'Supply Fans'!$M$2:$M$14,0),MATCH(B162,'Supply Fans'!$O$1:$W$1,0))</f>
        <v>5146</v>
      </c>
      <c r="J162" s="55"/>
      <c r="K162" s="55"/>
      <c r="L162" s="112" t="s">
        <v>202</v>
      </c>
      <c r="M162" s="50" t="s">
        <v>210</v>
      </c>
      <c r="N162" s="83" t="s">
        <v>332</v>
      </c>
      <c r="O162" s="101">
        <f>INDEX('Chilled Water Pumps'!$AA$2:$AI$9,MATCH('Lookup Table'!M162,'Chilled Water Pumps'!$Y$2:$Y$9,0),MATCH('Lookup Table'!L162,'Chilled Water Pumps'!$AA$1:$AI$1,0))</f>
        <v>0.47</v>
      </c>
      <c r="P162" s="101">
        <f>INDEX('Cooling Tower Fan'!$AA$2:$AI$9,MATCH(M162,'Cooling Tower Fan'!$Y$2:$Y$9,0),MATCH(L162,'Cooling Tower Fan'!$AA$1:$AI$1,0))</f>
        <v>0.47</v>
      </c>
      <c r="Q162" s="101">
        <f>INDEX('Condenser Water Pumps'!$AA$2:$AI$9,MATCH(M162,'Condenser Water Pumps'!$Y$2:$Y$9,0),MATCH(L162,'Condenser Water Pumps'!$AA$1:$AI$1,0))</f>
        <v>0.47</v>
      </c>
      <c r="R162" s="101">
        <f>INDEX('Heating Hot Water Pumps'!$AA$2:$AI$9,MATCH(M162,'Heating Hot Water Pumps'!$Y$2:$Y$9,0),MATCH(L162,'Heating Hot Water Pumps'!$AA$1:$AI$1,0))</f>
        <v>0</v>
      </c>
      <c r="S162" s="119">
        <f>INDEX('Supply Fans'!$AA$2:$AI$14,MATCH(M162,'Supply Fans'!$Y$2:$Y$14,0),MATCH(L162,'Supply Fans'!$AA$1:$AI$1,0))</f>
        <v>0.54</v>
      </c>
    </row>
    <row r="163" spans="2:19" ht="15" thickBot="1">
      <c r="B163" s="112" t="s">
        <v>202</v>
      </c>
      <c r="C163" s="50" t="s">
        <v>211</v>
      </c>
      <c r="D163" s="50" t="s">
        <v>333</v>
      </c>
      <c r="E163" s="83" t="e">
        <f>INDEX('Chilled Water Pumps'!$O$2:$W$9,MATCH('Lookup Table'!C163,'Chilled Water Pumps'!$M$2:$M$9,0),MATCH('Lookup Table'!B163,'Chilled Water Pumps'!$O$1:$W$1,0))</f>
        <v>#N/A</v>
      </c>
      <c r="F163" s="83" t="e">
        <f>INDEX('Cooling Tower Fan'!$O$2:$W$9,MATCH(C163,'Cooling Tower Fan'!$M$2:$M$9,0),MATCH(B163,'Cooling Tower Fan'!$O$1:$W$1,0))</f>
        <v>#N/A</v>
      </c>
      <c r="G163" s="83" t="e">
        <f>INDEX('Condenser Water Pumps'!$O$2:$W$9,MATCH(C163,'Condenser Water Pumps'!$M$2:$M$9,0),MATCH(B163,'Condenser Water Pumps'!$O$1:$W$1,0))</f>
        <v>#N/A</v>
      </c>
      <c r="H163" s="83" t="e">
        <f>INDEX('Heating Hot Water Pumps'!$O$2:$W$9,MATCH(C163,'Heating Hot Water Pumps'!$M$2:$M$9,0),MATCH(B163,'Heating Hot Water Pumps'!$O$1:$W$1,0))</f>
        <v>#N/A</v>
      </c>
      <c r="I163" s="113">
        <f>INDEX('Supply Fans'!$O$2:$W$14,MATCH(C163,'Supply Fans'!$M$2:$M$14,0),MATCH(B163,'Supply Fans'!$O$1:$W$1,0))</f>
        <v>5110</v>
      </c>
      <c r="J163" s="55"/>
      <c r="K163" s="55"/>
      <c r="L163" s="112" t="s">
        <v>202</v>
      </c>
      <c r="M163" s="50" t="s">
        <v>211</v>
      </c>
      <c r="N163" s="83" t="s">
        <v>333</v>
      </c>
      <c r="O163" s="101" t="e">
        <f>INDEX('Chilled Water Pumps'!$AA$2:$AI$9,MATCH('Lookup Table'!M163,'Chilled Water Pumps'!$Y$2:$Y$9,0),MATCH('Lookup Table'!L163,'Chilled Water Pumps'!$AA$1:$AI$1,0))</f>
        <v>#N/A</v>
      </c>
      <c r="P163" s="101" t="e">
        <f>INDEX('Cooling Tower Fan'!$AA$2:$AI$9,MATCH(M163,'Cooling Tower Fan'!$Y$2:$Y$9,0),MATCH(L163,'Cooling Tower Fan'!$AA$1:$AI$1,0))</f>
        <v>#N/A</v>
      </c>
      <c r="Q163" s="101" t="e">
        <f>INDEX('Condenser Water Pumps'!$AA$2:$AI$9,MATCH(M163,'Condenser Water Pumps'!$Y$2:$Y$9,0),MATCH(L163,'Condenser Water Pumps'!$AA$1:$AI$1,0))</f>
        <v>#N/A</v>
      </c>
      <c r="R163" s="101" t="e">
        <f>INDEX('Heating Hot Water Pumps'!$AA$2:$AI$9,MATCH(M163,'Heating Hot Water Pumps'!$Y$2:$Y$9,0),MATCH(L163,'Heating Hot Water Pumps'!$AA$1:$AI$1,0))</f>
        <v>#N/A</v>
      </c>
      <c r="S163" s="119">
        <f>INDEX('Supply Fans'!$AA$2:$AI$14,MATCH(M163,'Supply Fans'!$Y$2:$Y$14,0),MATCH(L163,'Supply Fans'!$AA$1:$AI$1,0))</f>
        <v>0.23</v>
      </c>
    </row>
    <row r="164" spans="2:19" ht="15" thickBot="1">
      <c r="B164" s="112" t="s">
        <v>202</v>
      </c>
      <c r="C164" s="50" t="s">
        <v>212</v>
      </c>
      <c r="D164" s="50" t="s">
        <v>334</v>
      </c>
      <c r="E164" s="83" t="e">
        <f>INDEX('Chilled Water Pumps'!$O$2:$W$9,MATCH('Lookup Table'!C164,'Chilled Water Pumps'!$M$2:$M$9,0),MATCH('Lookup Table'!B164,'Chilled Water Pumps'!$O$1:$W$1,0))</f>
        <v>#N/A</v>
      </c>
      <c r="F164" s="83" t="e">
        <f>INDEX('Cooling Tower Fan'!$O$2:$W$9,MATCH(C164,'Cooling Tower Fan'!$M$2:$M$9,0),MATCH(B164,'Cooling Tower Fan'!$O$1:$W$1,0))</f>
        <v>#N/A</v>
      </c>
      <c r="G164" s="83" t="e">
        <f>INDEX('Condenser Water Pumps'!$O$2:$W$9,MATCH(C164,'Condenser Water Pumps'!$M$2:$M$9,0),MATCH(B164,'Condenser Water Pumps'!$O$1:$W$1,0))</f>
        <v>#N/A</v>
      </c>
      <c r="H164" s="83" t="e">
        <f>INDEX('Heating Hot Water Pumps'!$O$2:$W$9,MATCH(C164,'Heating Hot Water Pumps'!$M$2:$M$9,0),MATCH(B164,'Heating Hot Water Pumps'!$O$1:$W$1,0))</f>
        <v>#N/A</v>
      </c>
      <c r="I164" s="113">
        <f>INDEX('Supply Fans'!$O$2:$W$14,MATCH(C164,'Supply Fans'!$M$2:$M$14,0),MATCH(B164,'Supply Fans'!$O$1:$W$1,0))</f>
        <v>4041</v>
      </c>
      <c r="J164" s="55"/>
      <c r="K164" s="55"/>
      <c r="L164" s="112" t="s">
        <v>202</v>
      </c>
      <c r="M164" s="50" t="s">
        <v>212</v>
      </c>
      <c r="N164" s="83" t="s">
        <v>334</v>
      </c>
      <c r="O164" s="101" t="e">
        <f>INDEX('Chilled Water Pumps'!$AA$2:$AI$9,MATCH('Lookup Table'!M164,'Chilled Water Pumps'!$Y$2:$Y$9,0),MATCH('Lookup Table'!L164,'Chilled Water Pumps'!$AA$1:$AI$1,0))</f>
        <v>#N/A</v>
      </c>
      <c r="P164" s="101" t="e">
        <f>INDEX('Cooling Tower Fan'!$AA$2:$AI$9,MATCH(M164,'Cooling Tower Fan'!$Y$2:$Y$9,0),MATCH(L164,'Cooling Tower Fan'!$AA$1:$AI$1,0))</f>
        <v>#N/A</v>
      </c>
      <c r="Q164" s="101" t="e">
        <f>INDEX('Condenser Water Pumps'!$AA$2:$AI$9,MATCH(M164,'Condenser Water Pumps'!$Y$2:$Y$9,0),MATCH(L164,'Condenser Water Pumps'!$AA$1:$AI$1,0))</f>
        <v>#N/A</v>
      </c>
      <c r="R164" s="101" t="e">
        <f>INDEX('Heating Hot Water Pumps'!$AA$2:$AI$9,MATCH(M164,'Heating Hot Water Pumps'!$Y$2:$Y$9,0),MATCH(L164,'Heating Hot Water Pumps'!$AA$1:$AI$1,0))</f>
        <v>#N/A</v>
      </c>
      <c r="S164" s="119">
        <f>INDEX('Supply Fans'!$AA$2:$AI$14,MATCH(M164,'Supply Fans'!$Y$2:$Y$14,0),MATCH(L164,'Supply Fans'!$AA$1:$AI$1,0))</f>
        <v>0.51</v>
      </c>
    </row>
    <row r="165" spans="2:19" ht="15" thickBot="1">
      <c r="B165" s="112" t="s">
        <v>204</v>
      </c>
      <c r="C165" s="83" t="s">
        <v>178</v>
      </c>
      <c r="D165" s="50" t="s">
        <v>335</v>
      </c>
      <c r="E165" s="83">
        <f>INDEX('Chilled Water Pumps'!$O$2:$W$9,MATCH('Lookup Table'!C165,'Chilled Water Pumps'!$M$2:$M$9,0),MATCH('Lookup Table'!B165,'Chilled Water Pumps'!$O$1:$W$1,0))</f>
        <v>3828</v>
      </c>
      <c r="F165" s="83">
        <f>INDEX('Cooling Tower Fan'!$O$2:$W$9,MATCH(C165,'Cooling Tower Fan'!$M$2:$M$9,0),MATCH(B165,'Cooling Tower Fan'!$O$1:$W$1,0))</f>
        <v>3827</v>
      </c>
      <c r="G165" s="83">
        <f>INDEX('Condenser Water Pumps'!$O$2:$W$9,MATCH(C165,'Condenser Water Pumps'!$M$2:$M$9,0),MATCH(B165,'Condenser Water Pumps'!$O$1:$W$1,0))</f>
        <v>3500</v>
      </c>
      <c r="H165" s="83">
        <f>INDEX('Heating Hot Water Pumps'!$O$2:$W$9,MATCH(C165,'Heating Hot Water Pumps'!$M$2:$M$9,0),MATCH(B165,'Heating Hot Water Pumps'!$O$1:$W$1,0))</f>
        <v>4638</v>
      </c>
      <c r="I165" s="113">
        <f>INDEX('Supply Fans'!$O$2:$W$14,MATCH(C165,'Supply Fans'!$M$2:$M$14,0),MATCH(B165,'Supply Fans'!$O$1:$W$1,0))</f>
        <v>5876</v>
      </c>
      <c r="J165" s="55"/>
      <c r="K165" s="55"/>
      <c r="L165" s="112" t="s">
        <v>204</v>
      </c>
      <c r="M165" s="83" t="s">
        <v>178</v>
      </c>
      <c r="N165" s="83" t="s">
        <v>335</v>
      </c>
      <c r="O165" s="101">
        <f>INDEX('Chilled Water Pumps'!$AA$2:$AI$9,MATCH('Lookup Table'!M165,'Chilled Water Pumps'!$Y$2:$Y$9,0),MATCH('Lookup Table'!L165,'Chilled Water Pumps'!$AA$1:$AI$1,0))</f>
        <v>0.33</v>
      </c>
      <c r="P165" s="101">
        <f>INDEX('Cooling Tower Fan'!$AA$2:$AI$9,MATCH(M165,'Cooling Tower Fan'!$Y$2:$Y$9,0),MATCH(L165,'Cooling Tower Fan'!$AA$1:$AI$1,0))</f>
        <v>0.33</v>
      </c>
      <c r="Q165" s="101">
        <f>INDEX('Condenser Water Pumps'!$AA$2:$AI$9,MATCH(M165,'Condenser Water Pumps'!$Y$2:$Y$9,0),MATCH(L165,'Condenser Water Pumps'!$AA$1:$AI$1,0))</f>
        <v>0.33</v>
      </c>
      <c r="R165" s="101">
        <f>INDEX('Heating Hot Water Pumps'!$AA$2:$AI$9,MATCH(M165,'Heating Hot Water Pumps'!$Y$2:$Y$9,0),MATCH(L165,'Heating Hot Water Pumps'!$AA$1:$AI$1,0))</f>
        <v>0.01</v>
      </c>
      <c r="S165" s="119">
        <f>INDEX('Supply Fans'!$AA$2:$AI$14,MATCH(M165,'Supply Fans'!$Y$2:$Y$14,0),MATCH(L165,'Supply Fans'!$AA$1:$AI$1,0))</f>
        <v>0.38</v>
      </c>
    </row>
    <row r="166" spans="2:19" ht="15" thickBot="1">
      <c r="B166" s="112" t="s">
        <v>204</v>
      </c>
      <c r="C166" s="50" t="s">
        <v>184</v>
      </c>
      <c r="D166" s="50" t="s">
        <v>336</v>
      </c>
      <c r="E166" s="83">
        <f>INDEX('Chilled Water Pumps'!$O$2:$W$9,MATCH('Lookup Table'!C166,'Chilled Water Pumps'!$M$2:$M$9,0),MATCH('Lookup Table'!B166,'Chilled Water Pumps'!$O$1:$W$1,0))</f>
        <v>2310</v>
      </c>
      <c r="F166" s="83">
        <f>INDEX('Cooling Tower Fan'!$O$2:$W$9,MATCH(C166,'Cooling Tower Fan'!$M$2:$M$9,0),MATCH(B166,'Cooling Tower Fan'!$O$1:$W$1,0))</f>
        <v>2313</v>
      </c>
      <c r="G166" s="83">
        <f>INDEX('Condenser Water Pumps'!$O$2:$W$9,MATCH(C166,'Condenser Water Pumps'!$M$2:$M$9,0),MATCH(B166,'Condenser Water Pumps'!$O$1:$W$1,0))</f>
        <v>2164</v>
      </c>
      <c r="H166" s="83">
        <f>INDEX('Heating Hot Water Pumps'!$O$2:$W$9,MATCH(C166,'Heating Hot Water Pumps'!$M$2:$M$9,0),MATCH(B166,'Heating Hot Water Pumps'!$O$1:$W$1,0))</f>
        <v>3830</v>
      </c>
      <c r="I166" s="113">
        <f>INDEX('Supply Fans'!$O$2:$W$14,MATCH(C166,'Supply Fans'!$M$2:$M$14,0),MATCH(B166,'Supply Fans'!$O$1:$W$1,0))</f>
        <v>4490</v>
      </c>
      <c r="J166" s="55"/>
      <c r="K166" s="55"/>
      <c r="L166" s="112" t="s">
        <v>204</v>
      </c>
      <c r="M166" s="50" t="s">
        <v>184</v>
      </c>
      <c r="N166" s="83" t="s">
        <v>336</v>
      </c>
      <c r="O166" s="101">
        <f>INDEX('Chilled Water Pumps'!$AA$2:$AI$9,MATCH('Lookup Table'!M166,'Chilled Water Pumps'!$Y$2:$Y$9,0),MATCH('Lookup Table'!L166,'Chilled Water Pumps'!$AA$1:$AI$1,0))</f>
        <v>0.12</v>
      </c>
      <c r="P166" s="101">
        <f>INDEX('Cooling Tower Fan'!$AA$2:$AI$9,MATCH(M166,'Cooling Tower Fan'!$Y$2:$Y$9,0),MATCH(L166,'Cooling Tower Fan'!$AA$1:$AI$1,0))</f>
        <v>0.12</v>
      </c>
      <c r="Q166" s="101">
        <f>INDEX('Condenser Water Pumps'!$AA$2:$AI$9,MATCH(M166,'Condenser Water Pumps'!$Y$2:$Y$9,0),MATCH(L166,'Condenser Water Pumps'!$AA$1:$AI$1,0))</f>
        <v>0.12</v>
      </c>
      <c r="R166" s="101">
        <f>INDEX('Heating Hot Water Pumps'!$AA$2:$AI$9,MATCH(M166,'Heating Hot Water Pumps'!$Y$2:$Y$9,0),MATCH(L166,'Heating Hot Water Pumps'!$AA$1:$AI$1,0))</f>
        <v>0</v>
      </c>
      <c r="S166" s="119">
        <f>INDEX('Supply Fans'!$AA$2:$AI$14,MATCH(M166,'Supply Fans'!$Y$2:$Y$14,0),MATCH(L166,'Supply Fans'!$AA$1:$AI$1,0))</f>
        <v>0.12</v>
      </c>
    </row>
    <row r="167" spans="2:19" ht="15" thickBot="1">
      <c r="B167" s="112" t="s">
        <v>204</v>
      </c>
      <c r="C167" s="50" t="s">
        <v>190</v>
      </c>
      <c r="D167" s="50" t="s">
        <v>337</v>
      </c>
      <c r="E167" s="83" t="e">
        <f>INDEX('Chilled Water Pumps'!$O$2:$W$9,MATCH('Lookup Table'!C167,'Chilled Water Pumps'!$M$2:$M$9,0),MATCH('Lookup Table'!B167,'Chilled Water Pumps'!$O$1:$W$1,0))</f>
        <v>#N/A</v>
      </c>
      <c r="F167" s="83" t="e">
        <f>INDEX('Cooling Tower Fan'!$O$2:$W$9,MATCH(C167,'Cooling Tower Fan'!$M$2:$M$9,0),MATCH(B167,'Cooling Tower Fan'!$O$1:$W$1,0))</f>
        <v>#N/A</v>
      </c>
      <c r="G167" s="83" t="e">
        <f>INDEX('Condenser Water Pumps'!$O$2:$W$9,MATCH(C167,'Condenser Water Pumps'!$M$2:$M$9,0),MATCH(B167,'Condenser Water Pumps'!$O$1:$W$1,0))</f>
        <v>#N/A</v>
      </c>
      <c r="H167" s="83" t="e">
        <f>INDEX('Heating Hot Water Pumps'!$O$2:$W$9,MATCH(C167,'Heating Hot Water Pumps'!$M$2:$M$9,0),MATCH(B167,'Heating Hot Water Pumps'!$O$1:$W$1,0))</f>
        <v>#N/A</v>
      </c>
      <c r="I167" s="113">
        <f>INDEX('Supply Fans'!$O$2:$W$14,MATCH(C167,'Supply Fans'!$M$2:$M$14,0),MATCH(B167,'Supply Fans'!$O$1:$W$1,0))</f>
        <v>6725</v>
      </c>
      <c r="J167" s="55"/>
      <c r="K167" s="55"/>
      <c r="L167" s="112" t="s">
        <v>204</v>
      </c>
      <c r="M167" s="50" t="s">
        <v>190</v>
      </c>
      <c r="N167" s="83" t="s">
        <v>337</v>
      </c>
      <c r="O167" s="101" t="e">
        <f>INDEX('Chilled Water Pumps'!$AA$2:$AI$9,MATCH('Lookup Table'!M167,'Chilled Water Pumps'!$Y$2:$Y$9,0),MATCH('Lookup Table'!L167,'Chilled Water Pumps'!$AA$1:$AI$1,0))</f>
        <v>#N/A</v>
      </c>
      <c r="P167" s="101" t="e">
        <f>INDEX('Cooling Tower Fan'!$AA$2:$AI$9,MATCH(M167,'Cooling Tower Fan'!$Y$2:$Y$9,0),MATCH(L167,'Cooling Tower Fan'!$AA$1:$AI$1,0))</f>
        <v>#N/A</v>
      </c>
      <c r="Q167" s="101" t="e">
        <f>INDEX('Condenser Water Pumps'!$AA$2:$AI$9,MATCH(M167,'Condenser Water Pumps'!$Y$2:$Y$9,0),MATCH(L167,'Condenser Water Pumps'!$AA$1:$AI$1,0))</f>
        <v>#N/A</v>
      </c>
      <c r="R167" s="101" t="e">
        <f>INDEX('Heating Hot Water Pumps'!$AA$2:$AI$9,MATCH(M167,'Heating Hot Water Pumps'!$Y$2:$Y$9,0),MATCH(L167,'Heating Hot Water Pumps'!$AA$1:$AI$1,0))</f>
        <v>#N/A</v>
      </c>
      <c r="S167" s="119">
        <f>INDEX('Supply Fans'!$AA$2:$AI$14,MATCH(M167,'Supply Fans'!$Y$2:$Y$14,0),MATCH(L167,'Supply Fans'!$AA$1:$AI$1,0))</f>
        <v>0.21</v>
      </c>
    </row>
    <row r="168" spans="2:19" ht="15" thickBot="1">
      <c r="B168" s="112" t="s">
        <v>204</v>
      </c>
      <c r="C168" s="50" t="s">
        <v>195</v>
      </c>
      <c r="D168" s="50" t="s">
        <v>338</v>
      </c>
      <c r="E168" s="83">
        <f>INDEX('Chilled Water Pumps'!$O$2:$W$9,MATCH('Lookup Table'!C168,'Chilled Water Pumps'!$M$2:$M$9,0),MATCH('Lookup Table'!B168,'Chilled Water Pumps'!$O$1:$W$1,0))</f>
        <v>5266</v>
      </c>
      <c r="F168" s="83">
        <f>INDEX('Cooling Tower Fan'!$O$2:$W$9,MATCH(C168,'Cooling Tower Fan'!$M$2:$M$9,0),MATCH(B168,'Cooling Tower Fan'!$O$1:$W$1,0))</f>
        <v>5263</v>
      </c>
      <c r="G168" s="83">
        <f>INDEX('Condenser Water Pumps'!$O$2:$W$9,MATCH(C168,'Condenser Water Pumps'!$M$2:$M$9,0),MATCH(B168,'Condenser Water Pumps'!$O$1:$W$1,0))</f>
        <v>3713</v>
      </c>
      <c r="H168" s="83">
        <f>INDEX('Heating Hot Water Pumps'!$O$2:$W$9,MATCH(C168,'Heating Hot Water Pumps'!$M$2:$M$9,0),MATCH(B168,'Heating Hot Water Pumps'!$O$1:$W$1,0))</f>
        <v>8760</v>
      </c>
      <c r="I168" s="113">
        <f>INDEX('Supply Fans'!$O$2:$W$14,MATCH(C168,'Supply Fans'!$M$2:$M$14,0),MATCH(B168,'Supply Fans'!$O$1:$W$1,0))</f>
        <v>8760</v>
      </c>
      <c r="J168" s="55"/>
      <c r="K168" s="55"/>
      <c r="L168" s="112" t="s">
        <v>204</v>
      </c>
      <c r="M168" s="50" t="s">
        <v>195</v>
      </c>
      <c r="N168" s="83" t="s">
        <v>338</v>
      </c>
      <c r="O168" s="101">
        <f>INDEX('Chilled Water Pumps'!$AA$2:$AI$9,MATCH('Lookup Table'!M168,'Chilled Water Pumps'!$Y$2:$Y$9,0),MATCH('Lookup Table'!L168,'Chilled Water Pumps'!$AA$1:$AI$1,0))</f>
        <v>0.44</v>
      </c>
      <c r="P168" s="101">
        <f>INDEX('Cooling Tower Fan'!$AA$2:$AI$9,MATCH(M168,'Cooling Tower Fan'!$Y$2:$Y$9,0),MATCH(L168,'Cooling Tower Fan'!$AA$1:$AI$1,0))</f>
        <v>0.44</v>
      </c>
      <c r="Q168" s="101">
        <f>INDEX('Condenser Water Pumps'!$AA$2:$AI$9,MATCH(M168,'Condenser Water Pumps'!$Y$2:$Y$9,0),MATCH(L168,'Condenser Water Pumps'!$AA$1:$AI$1,0))</f>
        <v>0.44</v>
      </c>
      <c r="R168" s="101">
        <f>INDEX('Heating Hot Water Pumps'!$AA$2:$AI$9,MATCH(M168,'Heating Hot Water Pumps'!$Y$2:$Y$9,0),MATCH(L168,'Heating Hot Water Pumps'!$AA$1:$AI$1,0))</f>
        <v>0.09</v>
      </c>
      <c r="S168" s="119">
        <f>INDEX('Supply Fans'!$AA$2:$AI$14,MATCH(M168,'Supply Fans'!$Y$2:$Y$14,0),MATCH(L168,'Supply Fans'!$AA$1:$AI$1,0))</f>
        <v>0.4</v>
      </c>
    </row>
    <row r="169" spans="2:19" ht="15" thickBot="1">
      <c r="B169" s="112" t="s">
        <v>204</v>
      </c>
      <c r="C169" s="50" t="s">
        <v>198</v>
      </c>
      <c r="D169" s="50" t="s">
        <v>339</v>
      </c>
      <c r="E169" s="83">
        <f>INDEX('Chilled Water Pumps'!$O$2:$W$9,MATCH('Lookup Table'!C169,'Chilled Water Pumps'!$M$2:$M$9,0),MATCH('Lookup Table'!B169,'Chilled Water Pumps'!$O$1:$W$1,0))</f>
        <v>3710</v>
      </c>
      <c r="F169" s="83">
        <f>INDEX('Cooling Tower Fan'!$O$2:$W$9,MATCH(C169,'Cooling Tower Fan'!$M$2:$M$9,0),MATCH(B169,'Cooling Tower Fan'!$O$1:$W$1,0))</f>
        <v>3711</v>
      </c>
      <c r="G169" s="83">
        <f>INDEX('Condenser Water Pumps'!$O$2:$W$9,MATCH(C169,'Condenser Water Pumps'!$M$2:$M$9,0),MATCH(B169,'Condenser Water Pumps'!$O$1:$W$1,0))</f>
        <v>3687</v>
      </c>
      <c r="H169" s="83">
        <f>INDEX('Heating Hot Water Pumps'!$O$2:$W$9,MATCH(C169,'Heating Hot Water Pumps'!$M$2:$M$9,0),MATCH(B169,'Heating Hot Water Pumps'!$O$1:$W$1,0))</f>
        <v>6223</v>
      </c>
      <c r="I169" s="113">
        <f>INDEX('Supply Fans'!$O$2:$W$14,MATCH(C169,'Supply Fans'!$M$2:$M$14,0),MATCH(B169,'Supply Fans'!$O$1:$W$1,0))</f>
        <v>8760</v>
      </c>
      <c r="J169" s="55"/>
      <c r="K169" s="55"/>
      <c r="L169" s="112" t="s">
        <v>204</v>
      </c>
      <c r="M169" s="50" t="s">
        <v>198</v>
      </c>
      <c r="N169" s="83" t="s">
        <v>339</v>
      </c>
      <c r="O169" s="101">
        <f>INDEX('Chilled Water Pumps'!$AA$2:$AI$9,MATCH('Lookup Table'!M169,'Chilled Water Pumps'!$Y$2:$Y$9,0),MATCH('Lookup Table'!L169,'Chilled Water Pumps'!$AA$1:$AI$1,0))</f>
        <v>0.23</v>
      </c>
      <c r="P169" s="101">
        <f>INDEX('Cooling Tower Fan'!$AA$2:$AI$9,MATCH(M169,'Cooling Tower Fan'!$Y$2:$Y$9,0),MATCH(L169,'Cooling Tower Fan'!$AA$1:$AI$1,0))</f>
        <v>0.23</v>
      </c>
      <c r="Q169" s="101">
        <f>INDEX('Condenser Water Pumps'!$AA$2:$AI$9,MATCH(M169,'Condenser Water Pumps'!$Y$2:$Y$9,0),MATCH(L169,'Condenser Water Pumps'!$AA$1:$AI$1,0))</f>
        <v>0.23</v>
      </c>
      <c r="R169" s="101">
        <f>INDEX('Heating Hot Water Pumps'!$AA$2:$AI$9,MATCH(M169,'Heating Hot Water Pumps'!$Y$2:$Y$9,0),MATCH(L169,'Heating Hot Water Pumps'!$AA$1:$AI$1,0))</f>
        <v>0</v>
      </c>
      <c r="S169" s="119">
        <f>INDEX('Supply Fans'!$AA$2:$AI$14,MATCH(M169,'Supply Fans'!$Y$2:$Y$14,0),MATCH(L169,'Supply Fans'!$AA$1:$AI$1,0))</f>
        <v>0.25</v>
      </c>
    </row>
    <row r="170" spans="2:19" ht="15" thickBot="1">
      <c r="B170" s="112" t="s">
        <v>204</v>
      </c>
      <c r="C170" s="50" t="s">
        <v>201</v>
      </c>
      <c r="D170" s="50" t="s">
        <v>340</v>
      </c>
      <c r="E170" s="83">
        <f>INDEX('Chilled Water Pumps'!$O$2:$W$9,MATCH('Lookup Table'!C170,'Chilled Water Pumps'!$M$2:$M$9,0),MATCH('Lookup Table'!B170,'Chilled Water Pumps'!$O$1:$W$1,0))</f>
        <v>1558</v>
      </c>
      <c r="F170" s="83">
        <f>INDEX('Cooling Tower Fan'!$O$2:$W$9,MATCH(C170,'Cooling Tower Fan'!$M$2:$M$9,0),MATCH(B170,'Cooling Tower Fan'!$O$1:$W$1,0))</f>
        <v>1558</v>
      </c>
      <c r="G170" s="83">
        <f>INDEX('Condenser Water Pumps'!$O$2:$W$9,MATCH(C170,'Condenser Water Pumps'!$M$2:$M$9,0),MATCH(B170,'Condenser Water Pumps'!$O$1:$W$1,0))</f>
        <v>1558</v>
      </c>
      <c r="H170" s="83">
        <f>INDEX('Heating Hot Water Pumps'!$O$2:$W$9,MATCH(C170,'Heating Hot Water Pumps'!$M$2:$M$9,0),MATCH(B170,'Heating Hot Water Pumps'!$O$1:$W$1,0))</f>
        <v>1393</v>
      </c>
      <c r="I170" s="113">
        <f>INDEX('Supply Fans'!$O$2:$W$14,MATCH(C170,'Supply Fans'!$M$2:$M$14,0),MATCH(B170,'Supply Fans'!$O$1:$W$1,0))</f>
        <v>3902</v>
      </c>
      <c r="J170" s="55"/>
      <c r="K170" s="55"/>
      <c r="L170" s="112" t="s">
        <v>204</v>
      </c>
      <c r="M170" s="50" t="s">
        <v>201</v>
      </c>
      <c r="N170" s="83" t="s">
        <v>340</v>
      </c>
      <c r="O170" s="101">
        <f>INDEX('Chilled Water Pumps'!$AA$2:$AI$9,MATCH('Lookup Table'!M170,'Chilled Water Pumps'!$Y$2:$Y$9,0),MATCH('Lookup Table'!L170,'Chilled Water Pumps'!$AA$1:$AI$1,0))</f>
        <v>0.48</v>
      </c>
      <c r="P170" s="101">
        <f>INDEX('Cooling Tower Fan'!$AA$2:$AI$9,MATCH(M170,'Cooling Tower Fan'!$Y$2:$Y$9,0),MATCH(L170,'Cooling Tower Fan'!$AA$1:$AI$1,0))</f>
        <v>0.48</v>
      </c>
      <c r="Q170" s="101">
        <f>INDEX('Condenser Water Pumps'!$AA$2:$AI$9,MATCH(M170,'Condenser Water Pumps'!$Y$2:$Y$9,0),MATCH(L170,'Condenser Water Pumps'!$AA$1:$AI$1,0))</f>
        <v>0.48</v>
      </c>
      <c r="R170" s="101">
        <f>INDEX('Heating Hot Water Pumps'!$AA$2:$AI$9,MATCH(M170,'Heating Hot Water Pumps'!$Y$2:$Y$9,0),MATCH(L170,'Heating Hot Water Pumps'!$AA$1:$AI$1,0))</f>
        <v>0</v>
      </c>
      <c r="S170" s="119">
        <f>INDEX('Supply Fans'!$AA$2:$AI$14,MATCH(M170,'Supply Fans'!$Y$2:$Y$14,0),MATCH(L170,'Supply Fans'!$AA$1:$AI$1,0))</f>
        <v>0.43</v>
      </c>
    </row>
    <row r="171" spans="2:19" ht="15" thickBot="1">
      <c r="B171" s="112" t="s">
        <v>204</v>
      </c>
      <c r="C171" s="50" t="s">
        <v>203</v>
      </c>
      <c r="D171" s="50" t="s">
        <v>341</v>
      </c>
      <c r="E171" s="83" t="e">
        <f>INDEX('Chilled Water Pumps'!$O$2:$W$9,MATCH('Lookup Table'!C171,'Chilled Water Pumps'!$M$2:$M$9,0),MATCH('Lookup Table'!B171,'Chilled Water Pumps'!$O$1:$W$1,0))</f>
        <v>#N/A</v>
      </c>
      <c r="F171" s="83" t="e">
        <f>INDEX('Cooling Tower Fan'!$O$2:$W$9,MATCH(C171,'Cooling Tower Fan'!$M$2:$M$9,0),MATCH(B171,'Cooling Tower Fan'!$O$1:$W$1,0))</f>
        <v>#N/A</v>
      </c>
      <c r="G171" s="83" t="e">
        <f>INDEX('Condenser Water Pumps'!$O$2:$W$9,MATCH(C171,'Condenser Water Pumps'!$M$2:$M$9,0),MATCH(B171,'Condenser Water Pumps'!$O$1:$W$1,0))</f>
        <v>#N/A</v>
      </c>
      <c r="H171" s="83" t="e">
        <f>INDEX('Heating Hot Water Pumps'!$O$2:$W$9,MATCH(C171,'Heating Hot Water Pumps'!$M$2:$M$9,0),MATCH(B171,'Heating Hot Water Pumps'!$O$1:$W$1,0))</f>
        <v>#N/A</v>
      </c>
      <c r="I171" s="113">
        <f>INDEX('Supply Fans'!$O$2:$W$14,MATCH(C171,'Supply Fans'!$M$2:$M$14,0),MATCH(B171,'Supply Fans'!$O$1:$W$1,0))</f>
        <v>5207</v>
      </c>
      <c r="J171" s="55"/>
      <c r="K171" s="55"/>
      <c r="L171" s="112" t="s">
        <v>204</v>
      </c>
      <c r="M171" s="50" t="s">
        <v>203</v>
      </c>
      <c r="N171" s="83" t="s">
        <v>341</v>
      </c>
      <c r="O171" s="101" t="e">
        <f>INDEX('Chilled Water Pumps'!$AA$2:$AI$9,MATCH('Lookup Table'!M171,'Chilled Water Pumps'!$Y$2:$Y$9,0),MATCH('Lookup Table'!L171,'Chilled Water Pumps'!$AA$1:$AI$1,0))</f>
        <v>#N/A</v>
      </c>
      <c r="P171" s="101" t="e">
        <f>INDEX('Cooling Tower Fan'!$AA$2:$AI$9,MATCH(M171,'Cooling Tower Fan'!$Y$2:$Y$9,0),MATCH(L171,'Cooling Tower Fan'!$AA$1:$AI$1,0))</f>
        <v>#N/A</v>
      </c>
      <c r="Q171" s="101" t="e">
        <f>INDEX('Condenser Water Pumps'!$AA$2:$AI$9,MATCH(M171,'Condenser Water Pumps'!$Y$2:$Y$9,0),MATCH(L171,'Condenser Water Pumps'!$AA$1:$AI$1,0))</f>
        <v>#N/A</v>
      </c>
      <c r="R171" s="101" t="e">
        <f>INDEX('Heating Hot Water Pumps'!$AA$2:$AI$9,MATCH(M171,'Heating Hot Water Pumps'!$Y$2:$Y$9,0),MATCH(L171,'Heating Hot Water Pumps'!$AA$1:$AI$1,0))</f>
        <v>#N/A</v>
      </c>
      <c r="S171" s="119">
        <f>INDEX('Supply Fans'!$AA$2:$AI$14,MATCH(M171,'Supply Fans'!$Y$2:$Y$14,0),MATCH(L171,'Supply Fans'!$AA$1:$AI$1,0))</f>
        <v>0.47</v>
      </c>
    </row>
    <row r="172" spans="2:19" ht="15" thickBot="1">
      <c r="B172" s="112" t="s">
        <v>204</v>
      </c>
      <c r="C172" s="50" t="s">
        <v>205</v>
      </c>
      <c r="D172" s="50" t="s">
        <v>342</v>
      </c>
      <c r="E172" s="83">
        <f>INDEX('Chilled Water Pumps'!$O$2:$W$9,MATCH('Lookup Table'!C172,'Chilled Water Pumps'!$M$2:$M$9,0),MATCH('Lookup Table'!B172,'Chilled Water Pumps'!$O$1:$W$1,0))</f>
        <v>5655</v>
      </c>
      <c r="F172" s="83">
        <f>INDEX('Cooling Tower Fan'!$O$2:$W$9,MATCH(C172,'Cooling Tower Fan'!$M$2:$M$9,0),MATCH(B172,'Cooling Tower Fan'!$O$1:$W$1,0))</f>
        <v>5652</v>
      </c>
      <c r="G172" s="83">
        <f>INDEX('Condenser Water Pumps'!$O$2:$W$9,MATCH(C172,'Condenser Water Pumps'!$M$2:$M$9,0),MATCH(B172,'Condenser Water Pumps'!$O$1:$W$1,0))</f>
        <v>5353</v>
      </c>
      <c r="H172" s="83">
        <f>INDEX('Heating Hot Water Pumps'!$O$2:$W$9,MATCH(C172,'Heating Hot Water Pumps'!$M$2:$M$9,0),MATCH(B172,'Heating Hot Water Pumps'!$O$1:$W$1,0))</f>
        <v>6628</v>
      </c>
      <c r="I172" s="113">
        <f>INDEX('Supply Fans'!$O$2:$W$14,MATCH(C172,'Supply Fans'!$M$2:$M$14,0),MATCH(B172,'Supply Fans'!$O$1:$W$1,0))</f>
        <v>8760</v>
      </c>
      <c r="J172" s="55"/>
      <c r="K172" s="55"/>
      <c r="L172" s="112" t="s">
        <v>204</v>
      </c>
      <c r="M172" s="50" t="s">
        <v>205</v>
      </c>
      <c r="N172" s="83" t="s">
        <v>342</v>
      </c>
      <c r="O172" s="101">
        <f>INDEX('Chilled Water Pumps'!$AA$2:$AI$9,MATCH('Lookup Table'!M172,'Chilled Water Pumps'!$Y$2:$Y$9,0),MATCH('Lookup Table'!L172,'Chilled Water Pumps'!$AA$1:$AI$1,0))</f>
        <v>0.59</v>
      </c>
      <c r="P172" s="101">
        <f>INDEX('Cooling Tower Fan'!$AA$2:$AI$9,MATCH(M172,'Cooling Tower Fan'!$Y$2:$Y$9,0),MATCH(L172,'Cooling Tower Fan'!$AA$1:$AI$1,0))</f>
        <v>0.59</v>
      </c>
      <c r="Q172" s="101">
        <f>INDEX('Condenser Water Pumps'!$AA$2:$AI$9,MATCH(M172,'Condenser Water Pumps'!$Y$2:$Y$9,0),MATCH(L172,'Condenser Water Pumps'!$AA$1:$AI$1,0))</f>
        <v>0.59</v>
      </c>
      <c r="R172" s="101">
        <f>INDEX('Heating Hot Water Pumps'!$AA$2:$AI$9,MATCH(M172,'Heating Hot Water Pumps'!$Y$2:$Y$9,0),MATCH(L172,'Heating Hot Water Pumps'!$AA$1:$AI$1,0))</f>
        <v>0</v>
      </c>
      <c r="S172" s="119">
        <f>INDEX('Supply Fans'!$AA$2:$AI$14,MATCH(M172,'Supply Fans'!$Y$2:$Y$14,0),MATCH(L172,'Supply Fans'!$AA$1:$AI$1,0))</f>
        <v>0.65</v>
      </c>
    </row>
    <row r="173" spans="2:19" ht="15" thickBot="1">
      <c r="B173" s="112" t="s">
        <v>204</v>
      </c>
      <c r="C173" s="50" t="s">
        <v>208</v>
      </c>
      <c r="D173" s="50" t="s">
        <v>343</v>
      </c>
      <c r="E173" s="83">
        <f>INDEX('Chilled Water Pumps'!$O$2:$W$9,MATCH('Lookup Table'!C173,'Chilled Water Pumps'!$M$2:$M$9,0),MATCH('Lookup Table'!B173,'Chilled Water Pumps'!$O$1:$W$1,0))</f>
        <v>1638</v>
      </c>
      <c r="F173" s="83">
        <f>INDEX('Cooling Tower Fan'!$O$2:$W$9,MATCH(C173,'Cooling Tower Fan'!$M$2:$M$9,0),MATCH(B173,'Cooling Tower Fan'!$O$1:$W$1,0))</f>
        <v>1638</v>
      </c>
      <c r="G173" s="83">
        <f>INDEX('Condenser Water Pumps'!$O$2:$W$9,MATCH(C173,'Condenser Water Pumps'!$M$2:$M$9,0),MATCH(B173,'Condenser Water Pumps'!$O$1:$W$1,0))</f>
        <v>1631</v>
      </c>
      <c r="H173" s="83">
        <f>INDEX('Heating Hot Water Pumps'!$O$2:$W$9,MATCH(C173,'Heating Hot Water Pumps'!$M$2:$M$9,0),MATCH(B173,'Heating Hot Water Pumps'!$O$1:$W$1,0))</f>
        <v>3336</v>
      </c>
      <c r="I173" s="113">
        <f>INDEX('Supply Fans'!$O$2:$W$14,MATCH(C173,'Supply Fans'!$M$2:$M$14,0),MATCH(B173,'Supply Fans'!$O$1:$W$1,0))</f>
        <v>4228</v>
      </c>
      <c r="J173" s="55"/>
      <c r="K173" s="55"/>
      <c r="L173" s="112" t="s">
        <v>204</v>
      </c>
      <c r="M173" s="50" t="s">
        <v>208</v>
      </c>
      <c r="N173" s="83" t="s">
        <v>343</v>
      </c>
      <c r="O173" s="101">
        <f>INDEX('Chilled Water Pumps'!$AA$2:$AI$9,MATCH('Lookup Table'!M173,'Chilled Water Pumps'!$Y$2:$Y$9,0),MATCH('Lookup Table'!L173,'Chilled Water Pumps'!$AA$1:$AI$1,0))</f>
        <v>0.28999999999999998</v>
      </c>
      <c r="P173" s="101">
        <f>INDEX('Cooling Tower Fan'!$AA$2:$AI$9,MATCH(M173,'Cooling Tower Fan'!$Y$2:$Y$9,0),MATCH(L173,'Cooling Tower Fan'!$AA$1:$AI$1,0))</f>
        <v>0.28999999999999998</v>
      </c>
      <c r="Q173" s="101">
        <f>INDEX('Condenser Water Pumps'!$AA$2:$AI$9,MATCH(M173,'Condenser Water Pumps'!$Y$2:$Y$9,0),MATCH(L173,'Condenser Water Pumps'!$AA$1:$AI$1,0))</f>
        <v>0.28999999999999998</v>
      </c>
      <c r="R173" s="101">
        <f>INDEX('Heating Hot Water Pumps'!$AA$2:$AI$9,MATCH(M173,'Heating Hot Water Pumps'!$Y$2:$Y$9,0),MATCH(L173,'Heating Hot Water Pumps'!$AA$1:$AI$1,0))</f>
        <v>0</v>
      </c>
      <c r="S173" s="119">
        <f>INDEX('Supply Fans'!$AA$2:$AI$14,MATCH(M173,'Supply Fans'!$Y$2:$Y$14,0),MATCH(L173,'Supply Fans'!$AA$1:$AI$1,0))</f>
        <v>0.32</v>
      </c>
    </row>
    <row r="174" spans="2:19" ht="15" thickBot="1">
      <c r="B174" s="112" t="s">
        <v>204</v>
      </c>
      <c r="C174" s="50" t="s">
        <v>209</v>
      </c>
      <c r="D174" s="50" t="s">
        <v>344</v>
      </c>
      <c r="E174" s="83" t="e">
        <f>INDEX('Chilled Water Pumps'!$O$2:$W$9,MATCH('Lookup Table'!C174,'Chilled Water Pumps'!$M$2:$M$9,0),MATCH('Lookup Table'!B174,'Chilled Water Pumps'!$O$1:$W$1,0))</f>
        <v>#N/A</v>
      </c>
      <c r="F174" s="83" t="e">
        <f>INDEX('Cooling Tower Fan'!$O$2:$W$9,MATCH(C174,'Cooling Tower Fan'!$M$2:$M$9,0),MATCH(B174,'Cooling Tower Fan'!$O$1:$W$1,0))</f>
        <v>#N/A</v>
      </c>
      <c r="G174" s="83" t="e">
        <f>INDEX('Condenser Water Pumps'!$O$2:$W$9,MATCH(C174,'Condenser Water Pumps'!$M$2:$M$9,0),MATCH(B174,'Condenser Water Pumps'!$O$1:$W$1,0))</f>
        <v>#N/A</v>
      </c>
      <c r="H174" s="83" t="e">
        <f>INDEX('Heating Hot Water Pumps'!$O$2:$W$9,MATCH(C174,'Heating Hot Water Pumps'!$M$2:$M$9,0),MATCH(B174,'Heating Hot Water Pumps'!$O$1:$W$1,0))</f>
        <v>#N/A</v>
      </c>
      <c r="I174" s="113">
        <f>INDEX('Supply Fans'!$O$2:$W$14,MATCH(C174,'Supply Fans'!$M$2:$M$14,0),MATCH(B174,'Supply Fans'!$O$1:$W$1,0))</f>
        <v>6315</v>
      </c>
      <c r="J174" s="55"/>
      <c r="K174" s="55"/>
      <c r="L174" s="112" t="s">
        <v>204</v>
      </c>
      <c r="M174" s="50" t="s">
        <v>209</v>
      </c>
      <c r="N174" s="83" t="s">
        <v>344</v>
      </c>
      <c r="O174" s="101" t="e">
        <f>INDEX('Chilled Water Pumps'!$AA$2:$AI$9,MATCH('Lookup Table'!M174,'Chilled Water Pumps'!$Y$2:$Y$9,0),MATCH('Lookup Table'!L174,'Chilled Water Pumps'!$AA$1:$AI$1,0))</f>
        <v>#N/A</v>
      </c>
      <c r="P174" s="101" t="e">
        <f>INDEX('Cooling Tower Fan'!$AA$2:$AI$9,MATCH(M174,'Cooling Tower Fan'!$Y$2:$Y$9,0),MATCH(L174,'Cooling Tower Fan'!$AA$1:$AI$1,0))</f>
        <v>#N/A</v>
      </c>
      <c r="Q174" s="101" t="e">
        <f>INDEX('Condenser Water Pumps'!$AA$2:$AI$9,MATCH(M174,'Condenser Water Pumps'!$Y$2:$Y$9,0),MATCH(L174,'Condenser Water Pumps'!$AA$1:$AI$1,0))</f>
        <v>#N/A</v>
      </c>
      <c r="R174" s="101" t="e">
        <f>INDEX('Heating Hot Water Pumps'!$AA$2:$AI$9,MATCH(M174,'Heating Hot Water Pumps'!$Y$2:$Y$9,0),MATCH(L174,'Heating Hot Water Pumps'!$AA$1:$AI$1,0))</f>
        <v>#N/A</v>
      </c>
      <c r="S174" s="119">
        <f>INDEX('Supply Fans'!$AA$2:$AI$14,MATCH(M174,'Supply Fans'!$Y$2:$Y$14,0),MATCH(L174,'Supply Fans'!$AA$1:$AI$1,0))</f>
        <v>0.39</v>
      </c>
    </row>
    <row r="175" spans="2:19" ht="15" thickBot="1">
      <c r="B175" s="112" t="s">
        <v>204</v>
      </c>
      <c r="C175" s="50" t="s">
        <v>210</v>
      </c>
      <c r="D175" s="50" t="s">
        <v>345</v>
      </c>
      <c r="E175" s="83">
        <f>INDEX('Chilled Water Pumps'!$O$2:$W$9,MATCH('Lookup Table'!C175,'Chilled Water Pumps'!$M$2:$M$9,0),MATCH('Lookup Table'!B175,'Chilled Water Pumps'!$O$1:$W$1,0))</f>
        <v>2735</v>
      </c>
      <c r="F175" s="83">
        <f>INDEX('Cooling Tower Fan'!$O$2:$W$9,MATCH(C175,'Cooling Tower Fan'!$M$2:$M$9,0),MATCH(B175,'Cooling Tower Fan'!$O$1:$W$1,0))</f>
        <v>2736</v>
      </c>
      <c r="G175" s="83">
        <f>INDEX('Condenser Water Pumps'!$O$2:$W$9,MATCH(C175,'Condenser Water Pumps'!$M$2:$M$9,0),MATCH(B175,'Condenser Water Pumps'!$O$1:$W$1,0))</f>
        <v>2702</v>
      </c>
      <c r="H175" s="83">
        <f>INDEX('Heating Hot Water Pumps'!$O$2:$W$9,MATCH(C175,'Heating Hot Water Pumps'!$M$2:$M$9,0),MATCH(B175,'Heating Hot Water Pumps'!$O$1:$W$1,0))</f>
        <v>2841</v>
      </c>
      <c r="I175" s="113">
        <f>INDEX('Supply Fans'!$O$2:$W$14,MATCH(C175,'Supply Fans'!$M$2:$M$14,0),MATCH(B175,'Supply Fans'!$O$1:$W$1,0))</f>
        <v>5149</v>
      </c>
      <c r="J175" s="55"/>
      <c r="K175" s="55"/>
      <c r="L175" s="112" t="s">
        <v>204</v>
      </c>
      <c r="M175" s="50" t="s">
        <v>210</v>
      </c>
      <c r="N175" s="83" t="s">
        <v>345</v>
      </c>
      <c r="O175" s="101">
        <f>INDEX('Chilled Water Pumps'!$AA$2:$AI$9,MATCH('Lookup Table'!M175,'Chilled Water Pumps'!$Y$2:$Y$9,0),MATCH('Lookup Table'!L175,'Chilled Water Pumps'!$AA$1:$AI$1,0))</f>
        <v>0.42</v>
      </c>
      <c r="P175" s="101">
        <f>INDEX('Cooling Tower Fan'!$AA$2:$AI$9,MATCH(M175,'Cooling Tower Fan'!$Y$2:$Y$9,0),MATCH(L175,'Cooling Tower Fan'!$AA$1:$AI$1,0))</f>
        <v>0.42</v>
      </c>
      <c r="Q175" s="101">
        <f>INDEX('Condenser Water Pumps'!$AA$2:$AI$9,MATCH(M175,'Condenser Water Pumps'!$Y$2:$Y$9,0),MATCH(L175,'Condenser Water Pumps'!$AA$1:$AI$1,0))</f>
        <v>0.42</v>
      </c>
      <c r="R175" s="101">
        <f>INDEX('Heating Hot Water Pumps'!$AA$2:$AI$9,MATCH(M175,'Heating Hot Water Pumps'!$Y$2:$Y$9,0),MATCH(L175,'Heating Hot Water Pumps'!$AA$1:$AI$1,0))</f>
        <v>0</v>
      </c>
      <c r="S175" s="119">
        <f>INDEX('Supply Fans'!$AA$2:$AI$14,MATCH(M175,'Supply Fans'!$Y$2:$Y$14,0),MATCH(L175,'Supply Fans'!$AA$1:$AI$1,0))</f>
        <v>0.45</v>
      </c>
    </row>
    <row r="176" spans="2:19" ht="15" thickBot="1">
      <c r="B176" s="112" t="s">
        <v>204</v>
      </c>
      <c r="C176" s="50" t="s">
        <v>211</v>
      </c>
      <c r="D176" s="50" t="s">
        <v>346</v>
      </c>
      <c r="E176" s="83" t="e">
        <f>INDEX('Chilled Water Pumps'!$O$2:$W$9,MATCH('Lookup Table'!C176,'Chilled Water Pumps'!$M$2:$M$9,0),MATCH('Lookup Table'!B176,'Chilled Water Pumps'!$O$1:$W$1,0))</f>
        <v>#N/A</v>
      </c>
      <c r="F176" s="83" t="e">
        <f>INDEX('Cooling Tower Fan'!$O$2:$W$9,MATCH(C176,'Cooling Tower Fan'!$M$2:$M$9,0),MATCH(B176,'Cooling Tower Fan'!$O$1:$W$1,0))</f>
        <v>#N/A</v>
      </c>
      <c r="G176" s="83" t="e">
        <f>INDEX('Condenser Water Pumps'!$O$2:$W$9,MATCH(C176,'Condenser Water Pumps'!$M$2:$M$9,0),MATCH(B176,'Condenser Water Pumps'!$O$1:$W$1,0))</f>
        <v>#N/A</v>
      </c>
      <c r="H176" s="83" t="e">
        <f>INDEX('Heating Hot Water Pumps'!$O$2:$W$9,MATCH(C176,'Heating Hot Water Pumps'!$M$2:$M$9,0),MATCH(B176,'Heating Hot Water Pumps'!$O$1:$W$1,0))</f>
        <v>#N/A</v>
      </c>
      <c r="I176" s="113">
        <f>INDEX('Supply Fans'!$O$2:$W$14,MATCH(C176,'Supply Fans'!$M$2:$M$14,0),MATCH(B176,'Supply Fans'!$O$1:$W$1,0))</f>
        <v>5188</v>
      </c>
      <c r="J176" s="55"/>
      <c r="K176" s="55"/>
      <c r="L176" s="112" t="s">
        <v>204</v>
      </c>
      <c r="M176" s="50" t="s">
        <v>211</v>
      </c>
      <c r="N176" s="83" t="s">
        <v>346</v>
      </c>
      <c r="O176" s="101" t="e">
        <f>INDEX('Chilled Water Pumps'!$AA$2:$AI$9,MATCH('Lookup Table'!M176,'Chilled Water Pumps'!$Y$2:$Y$9,0),MATCH('Lookup Table'!L176,'Chilled Water Pumps'!$AA$1:$AI$1,0))</f>
        <v>#N/A</v>
      </c>
      <c r="P176" s="101" t="e">
        <f>INDEX('Cooling Tower Fan'!$AA$2:$AI$9,MATCH(M176,'Cooling Tower Fan'!$Y$2:$Y$9,0),MATCH(L176,'Cooling Tower Fan'!$AA$1:$AI$1,0))</f>
        <v>#N/A</v>
      </c>
      <c r="Q176" s="101" t="e">
        <f>INDEX('Condenser Water Pumps'!$AA$2:$AI$9,MATCH(M176,'Condenser Water Pumps'!$Y$2:$Y$9,0),MATCH(L176,'Condenser Water Pumps'!$AA$1:$AI$1,0))</f>
        <v>#N/A</v>
      </c>
      <c r="R176" s="101" t="e">
        <f>INDEX('Heating Hot Water Pumps'!$AA$2:$AI$9,MATCH(M176,'Heating Hot Water Pumps'!$Y$2:$Y$9,0),MATCH(L176,'Heating Hot Water Pumps'!$AA$1:$AI$1,0))</f>
        <v>#N/A</v>
      </c>
      <c r="S176" s="119">
        <f>INDEX('Supply Fans'!$AA$2:$AI$14,MATCH(M176,'Supply Fans'!$Y$2:$Y$14,0),MATCH(L176,'Supply Fans'!$AA$1:$AI$1,0))</f>
        <v>0.15</v>
      </c>
    </row>
    <row r="177" spans="2:19" ht="15" thickBot="1">
      <c r="B177" s="112" t="s">
        <v>204</v>
      </c>
      <c r="C177" s="50" t="s">
        <v>212</v>
      </c>
      <c r="D177" s="50" t="s">
        <v>347</v>
      </c>
      <c r="E177" s="83" t="e">
        <f>INDEX('Chilled Water Pumps'!$O$2:$W$9,MATCH('Lookup Table'!C177,'Chilled Water Pumps'!$M$2:$M$9,0),MATCH('Lookup Table'!B177,'Chilled Water Pumps'!$O$1:$W$1,0))</f>
        <v>#N/A</v>
      </c>
      <c r="F177" s="83" t="e">
        <f>INDEX('Cooling Tower Fan'!$O$2:$W$9,MATCH(C177,'Cooling Tower Fan'!$M$2:$M$9,0),MATCH(B177,'Cooling Tower Fan'!$O$1:$W$1,0))</f>
        <v>#N/A</v>
      </c>
      <c r="G177" s="83" t="e">
        <f>INDEX('Condenser Water Pumps'!$O$2:$W$9,MATCH(C177,'Condenser Water Pumps'!$M$2:$M$9,0),MATCH(B177,'Condenser Water Pumps'!$O$1:$W$1,0))</f>
        <v>#N/A</v>
      </c>
      <c r="H177" s="83" t="e">
        <f>INDEX('Heating Hot Water Pumps'!$O$2:$W$9,MATCH(C177,'Heating Hot Water Pumps'!$M$2:$M$9,0),MATCH(B177,'Heating Hot Water Pumps'!$O$1:$W$1,0))</f>
        <v>#N/A</v>
      </c>
      <c r="I177" s="113">
        <f>INDEX('Supply Fans'!$O$2:$W$14,MATCH(C177,'Supply Fans'!$M$2:$M$14,0),MATCH(B177,'Supply Fans'!$O$1:$W$1,0))</f>
        <v>4041</v>
      </c>
      <c r="J177" s="55"/>
      <c r="K177" s="55"/>
      <c r="L177" s="112" t="s">
        <v>204</v>
      </c>
      <c r="M177" s="50" t="s">
        <v>212</v>
      </c>
      <c r="N177" s="83" t="s">
        <v>347</v>
      </c>
      <c r="O177" s="101" t="e">
        <f>INDEX('Chilled Water Pumps'!$AA$2:$AI$9,MATCH('Lookup Table'!M177,'Chilled Water Pumps'!$Y$2:$Y$9,0),MATCH('Lookup Table'!L177,'Chilled Water Pumps'!$AA$1:$AI$1,0))</f>
        <v>#N/A</v>
      </c>
      <c r="P177" s="101" t="e">
        <f>INDEX('Cooling Tower Fan'!$AA$2:$AI$9,MATCH(M177,'Cooling Tower Fan'!$Y$2:$Y$9,0),MATCH(L177,'Cooling Tower Fan'!$AA$1:$AI$1,0))</f>
        <v>#N/A</v>
      </c>
      <c r="Q177" s="101" t="e">
        <f>INDEX('Condenser Water Pumps'!$AA$2:$AI$9,MATCH(M177,'Condenser Water Pumps'!$Y$2:$Y$9,0),MATCH(L177,'Condenser Water Pumps'!$AA$1:$AI$1,0))</f>
        <v>#N/A</v>
      </c>
      <c r="R177" s="101" t="e">
        <f>INDEX('Heating Hot Water Pumps'!$AA$2:$AI$9,MATCH(M177,'Heating Hot Water Pumps'!$Y$2:$Y$9,0),MATCH(L177,'Heating Hot Water Pumps'!$AA$1:$AI$1,0))</f>
        <v>#N/A</v>
      </c>
      <c r="S177" s="119">
        <f>INDEX('Supply Fans'!$AA$2:$AI$14,MATCH(M177,'Supply Fans'!$Y$2:$Y$14,0),MATCH(L177,'Supply Fans'!$AA$1:$AI$1,0))</f>
        <v>0.48</v>
      </c>
    </row>
    <row r="178" spans="2:19" ht="15" thickBot="1">
      <c r="B178" s="112" t="s">
        <v>206</v>
      </c>
      <c r="C178" s="83" t="s">
        <v>178</v>
      </c>
      <c r="D178" s="50" t="s">
        <v>348</v>
      </c>
      <c r="E178" s="83">
        <f>INDEX('Chilled Water Pumps'!$O$2:$W$9,MATCH('Lookup Table'!C178,'Chilled Water Pumps'!$M$2:$M$9,0),MATCH('Lookup Table'!B178,'Chilled Water Pumps'!$O$1:$W$1,0))</f>
        <v>3872</v>
      </c>
      <c r="F178" s="83">
        <f>INDEX('Cooling Tower Fan'!$O$2:$W$9,MATCH(C178,'Cooling Tower Fan'!$M$2:$M$9,0),MATCH(B178,'Cooling Tower Fan'!$O$1:$W$1,0))</f>
        <v>3871</v>
      </c>
      <c r="G178" s="83">
        <f>INDEX('Condenser Water Pumps'!$O$2:$W$9,MATCH(C178,'Condenser Water Pumps'!$M$2:$M$9,0),MATCH(B178,'Condenser Water Pumps'!$O$1:$W$1,0))</f>
        <v>3489</v>
      </c>
      <c r="H178" s="83">
        <f>INDEX('Heating Hot Water Pumps'!$O$2:$W$9,MATCH(C178,'Heating Hot Water Pumps'!$M$2:$M$9,0),MATCH(B178,'Heating Hot Water Pumps'!$O$1:$W$1,0))</f>
        <v>4487</v>
      </c>
      <c r="I178" s="113">
        <f>INDEX('Supply Fans'!$O$2:$W$14,MATCH(C178,'Supply Fans'!$M$2:$M$14,0),MATCH(B178,'Supply Fans'!$O$1:$W$1,0))</f>
        <v>5905</v>
      </c>
      <c r="J178" s="55"/>
      <c r="K178" s="55"/>
      <c r="L178" s="112" t="s">
        <v>206</v>
      </c>
      <c r="M178" s="83" t="s">
        <v>178</v>
      </c>
      <c r="N178" s="83" t="s">
        <v>348</v>
      </c>
      <c r="O178" s="101">
        <f>INDEX('Chilled Water Pumps'!$AA$2:$AI$9,MATCH('Lookup Table'!M178,'Chilled Water Pumps'!$Y$2:$Y$9,0),MATCH('Lookup Table'!L178,'Chilled Water Pumps'!$AA$1:$AI$1,0))</f>
        <v>0.4</v>
      </c>
      <c r="P178" s="101">
        <f>INDEX('Cooling Tower Fan'!$AA$2:$AI$9,MATCH(M178,'Cooling Tower Fan'!$Y$2:$Y$9,0),MATCH(L178,'Cooling Tower Fan'!$AA$1:$AI$1,0))</f>
        <v>0.39</v>
      </c>
      <c r="Q178" s="101">
        <f>INDEX('Condenser Water Pumps'!$AA$2:$AI$9,MATCH(M178,'Condenser Water Pumps'!$Y$2:$Y$9,0),MATCH(L178,'Condenser Water Pumps'!$AA$1:$AI$1,0))</f>
        <v>0.39</v>
      </c>
      <c r="R178" s="101">
        <f>INDEX('Heating Hot Water Pumps'!$AA$2:$AI$9,MATCH(M178,'Heating Hot Water Pumps'!$Y$2:$Y$9,0),MATCH(L178,'Heating Hot Water Pumps'!$AA$1:$AI$1,0))</f>
        <v>0.01</v>
      </c>
      <c r="S178" s="119">
        <f>INDEX('Supply Fans'!$AA$2:$AI$14,MATCH(M178,'Supply Fans'!$Y$2:$Y$14,0),MATCH(L178,'Supply Fans'!$AA$1:$AI$1,0))</f>
        <v>0.44</v>
      </c>
    </row>
    <row r="179" spans="2:19" ht="15" thickBot="1">
      <c r="B179" s="112" t="s">
        <v>206</v>
      </c>
      <c r="C179" s="50" t="s">
        <v>184</v>
      </c>
      <c r="D179" s="50" t="s">
        <v>349</v>
      </c>
      <c r="E179" s="83">
        <f>INDEX('Chilled Water Pumps'!$O$2:$W$9,MATCH('Lookup Table'!C179,'Chilled Water Pumps'!$M$2:$M$9,0),MATCH('Lookup Table'!B179,'Chilled Water Pumps'!$O$1:$W$1,0))</f>
        <v>2573</v>
      </c>
      <c r="F179" s="83">
        <f>INDEX('Cooling Tower Fan'!$O$2:$W$9,MATCH(C179,'Cooling Tower Fan'!$M$2:$M$9,0),MATCH(B179,'Cooling Tower Fan'!$O$1:$W$1,0))</f>
        <v>2604</v>
      </c>
      <c r="G179" s="83">
        <f>INDEX('Condenser Water Pumps'!$O$2:$W$9,MATCH(C179,'Condenser Water Pumps'!$M$2:$M$9,0),MATCH(B179,'Condenser Water Pumps'!$O$1:$W$1,0))</f>
        <v>2423</v>
      </c>
      <c r="H179" s="83">
        <f>INDEX('Heating Hot Water Pumps'!$O$2:$W$9,MATCH(C179,'Heating Hot Water Pumps'!$M$2:$M$9,0),MATCH(B179,'Heating Hot Water Pumps'!$O$1:$W$1,0))</f>
        <v>3658</v>
      </c>
      <c r="I179" s="113">
        <f>INDEX('Supply Fans'!$O$2:$W$14,MATCH(C179,'Supply Fans'!$M$2:$M$14,0),MATCH(B179,'Supply Fans'!$O$1:$W$1,0))</f>
        <v>4377</v>
      </c>
      <c r="J179" s="55"/>
      <c r="K179" s="55"/>
      <c r="L179" s="112" t="s">
        <v>206</v>
      </c>
      <c r="M179" s="50" t="s">
        <v>184</v>
      </c>
      <c r="N179" s="83" t="s">
        <v>349</v>
      </c>
      <c r="O179" s="101">
        <f>INDEX('Chilled Water Pumps'!$AA$2:$AI$9,MATCH('Lookup Table'!M179,'Chilled Water Pumps'!$Y$2:$Y$9,0),MATCH('Lookup Table'!L179,'Chilled Water Pumps'!$AA$1:$AI$1,0))</f>
        <v>0.16</v>
      </c>
      <c r="P179" s="101">
        <f>INDEX('Cooling Tower Fan'!$AA$2:$AI$9,MATCH(M179,'Cooling Tower Fan'!$Y$2:$Y$9,0),MATCH(L179,'Cooling Tower Fan'!$AA$1:$AI$1,0))</f>
        <v>0.17</v>
      </c>
      <c r="Q179" s="101">
        <f>INDEX('Condenser Water Pumps'!$AA$2:$AI$9,MATCH(M179,'Condenser Water Pumps'!$Y$2:$Y$9,0),MATCH(L179,'Condenser Water Pumps'!$AA$1:$AI$1,0))</f>
        <v>0.17</v>
      </c>
      <c r="R179" s="101">
        <f>INDEX('Heating Hot Water Pumps'!$AA$2:$AI$9,MATCH(M179,'Heating Hot Water Pumps'!$Y$2:$Y$9,0),MATCH(L179,'Heating Hot Water Pumps'!$AA$1:$AI$1,0))</f>
        <v>0</v>
      </c>
      <c r="S179" s="119">
        <f>INDEX('Supply Fans'!$AA$2:$AI$14,MATCH(M179,'Supply Fans'!$Y$2:$Y$14,0),MATCH(L179,'Supply Fans'!$AA$1:$AI$1,0))</f>
        <v>0.15</v>
      </c>
    </row>
    <row r="180" spans="2:19" ht="15" thickBot="1">
      <c r="B180" s="112" t="s">
        <v>206</v>
      </c>
      <c r="C180" s="50" t="s">
        <v>190</v>
      </c>
      <c r="D180" s="50" t="s">
        <v>350</v>
      </c>
      <c r="E180" s="83" t="e">
        <f>INDEX('Chilled Water Pumps'!$O$2:$W$9,MATCH('Lookup Table'!C180,'Chilled Water Pumps'!$M$2:$M$9,0),MATCH('Lookup Table'!B180,'Chilled Water Pumps'!$O$1:$W$1,0))</f>
        <v>#N/A</v>
      </c>
      <c r="F180" s="83" t="e">
        <f>INDEX('Cooling Tower Fan'!$O$2:$W$9,MATCH(C180,'Cooling Tower Fan'!$M$2:$M$9,0),MATCH(B180,'Cooling Tower Fan'!$O$1:$W$1,0))</f>
        <v>#N/A</v>
      </c>
      <c r="G180" s="83" t="e">
        <f>INDEX('Condenser Water Pumps'!$O$2:$W$9,MATCH(C180,'Condenser Water Pumps'!$M$2:$M$9,0),MATCH(B180,'Condenser Water Pumps'!$O$1:$W$1,0))</f>
        <v>#N/A</v>
      </c>
      <c r="H180" s="83" t="e">
        <f>INDEX('Heating Hot Water Pumps'!$O$2:$W$9,MATCH(C180,'Heating Hot Water Pumps'!$M$2:$M$9,0),MATCH(B180,'Heating Hot Water Pumps'!$O$1:$W$1,0))</f>
        <v>#N/A</v>
      </c>
      <c r="I180" s="113">
        <f>INDEX('Supply Fans'!$O$2:$W$14,MATCH(C180,'Supply Fans'!$M$2:$M$14,0),MATCH(B180,'Supply Fans'!$O$1:$W$1,0))</f>
        <v>6710</v>
      </c>
      <c r="J180" s="55"/>
      <c r="K180" s="55"/>
      <c r="L180" s="112" t="s">
        <v>206</v>
      </c>
      <c r="M180" s="50" t="s">
        <v>190</v>
      </c>
      <c r="N180" s="83" t="s">
        <v>350</v>
      </c>
      <c r="O180" s="101" t="e">
        <f>INDEX('Chilled Water Pumps'!$AA$2:$AI$9,MATCH('Lookup Table'!M180,'Chilled Water Pumps'!$Y$2:$Y$9,0),MATCH('Lookup Table'!L180,'Chilled Water Pumps'!$AA$1:$AI$1,0))</f>
        <v>#N/A</v>
      </c>
      <c r="P180" s="101" t="e">
        <f>INDEX('Cooling Tower Fan'!$AA$2:$AI$9,MATCH(M180,'Cooling Tower Fan'!$Y$2:$Y$9,0),MATCH(L180,'Cooling Tower Fan'!$AA$1:$AI$1,0))</f>
        <v>#N/A</v>
      </c>
      <c r="Q180" s="101" t="e">
        <f>INDEX('Condenser Water Pumps'!$AA$2:$AI$9,MATCH(M180,'Condenser Water Pumps'!$Y$2:$Y$9,0),MATCH(L180,'Condenser Water Pumps'!$AA$1:$AI$1,0))</f>
        <v>#N/A</v>
      </c>
      <c r="R180" s="101" t="e">
        <f>INDEX('Heating Hot Water Pumps'!$AA$2:$AI$9,MATCH(M180,'Heating Hot Water Pumps'!$Y$2:$Y$9,0),MATCH(L180,'Heating Hot Water Pumps'!$AA$1:$AI$1,0))</f>
        <v>#N/A</v>
      </c>
      <c r="S180" s="119">
        <f>INDEX('Supply Fans'!$AA$2:$AI$14,MATCH(M180,'Supply Fans'!$Y$2:$Y$14,0),MATCH(L180,'Supply Fans'!$AA$1:$AI$1,0))</f>
        <v>0.24</v>
      </c>
    </row>
    <row r="181" spans="2:19" ht="15" thickBot="1">
      <c r="B181" s="112" t="s">
        <v>206</v>
      </c>
      <c r="C181" s="50" t="s">
        <v>195</v>
      </c>
      <c r="D181" s="50" t="s">
        <v>351</v>
      </c>
      <c r="E181" s="83">
        <f>INDEX('Chilled Water Pumps'!$O$2:$W$9,MATCH('Lookup Table'!C181,'Chilled Water Pumps'!$M$2:$M$9,0),MATCH('Lookup Table'!B181,'Chilled Water Pumps'!$O$1:$W$1,0))</f>
        <v>5628</v>
      </c>
      <c r="F181" s="83">
        <f>INDEX('Cooling Tower Fan'!$O$2:$W$9,MATCH(C181,'Cooling Tower Fan'!$M$2:$M$9,0),MATCH(B181,'Cooling Tower Fan'!$O$1:$W$1,0))</f>
        <v>5626</v>
      </c>
      <c r="G181" s="83">
        <f>INDEX('Condenser Water Pumps'!$O$2:$W$9,MATCH(C181,'Condenser Water Pumps'!$M$2:$M$9,0),MATCH(B181,'Condenser Water Pumps'!$O$1:$W$1,0))</f>
        <v>3670</v>
      </c>
      <c r="H181" s="83">
        <f>INDEX('Heating Hot Water Pumps'!$O$2:$W$9,MATCH(C181,'Heating Hot Water Pumps'!$M$2:$M$9,0),MATCH(B181,'Heating Hot Water Pumps'!$O$1:$W$1,0))</f>
        <v>8760</v>
      </c>
      <c r="I181" s="113">
        <f>INDEX('Supply Fans'!$O$2:$W$14,MATCH(C181,'Supply Fans'!$M$2:$M$14,0),MATCH(B181,'Supply Fans'!$O$1:$W$1,0))</f>
        <v>8760</v>
      </c>
      <c r="J181" s="55"/>
      <c r="K181" s="55"/>
      <c r="L181" s="112" t="s">
        <v>206</v>
      </c>
      <c r="M181" s="50" t="s">
        <v>195</v>
      </c>
      <c r="N181" s="83" t="s">
        <v>351</v>
      </c>
      <c r="O181" s="101">
        <f>INDEX('Chilled Water Pumps'!$AA$2:$AI$9,MATCH('Lookup Table'!M181,'Chilled Water Pumps'!$Y$2:$Y$9,0),MATCH('Lookup Table'!L181,'Chilled Water Pumps'!$AA$1:$AI$1,0))</f>
        <v>0.47</v>
      </c>
      <c r="P181" s="101">
        <f>INDEX('Cooling Tower Fan'!$AA$2:$AI$9,MATCH(M181,'Cooling Tower Fan'!$Y$2:$Y$9,0),MATCH(L181,'Cooling Tower Fan'!$AA$1:$AI$1,0))</f>
        <v>0.46</v>
      </c>
      <c r="Q181" s="101">
        <f>INDEX('Condenser Water Pumps'!$AA$2:$AI$9,MATCH(M181,'Condenser Water Pumps'!$Y$2:$Y$9,0),MATCH(L181,'Condenser Water Pumps'!$AA$1:$AI$1,0))</f>
        <v>0.46</v>
      </c>
      <c r="R181" s="101">
        <f>INDEX('Heating Hot Water Pumps'!$AA$2:$AI$9,MATCH(M181,'Heating Hot Water Pumps'!$Y$2:$Y$9,0),MATCH(L181,'Heating Hot Water Pumps'!$AA$1:$AI$1,0))</f>
        <v>0.09</v>
      </c>
      <c r="S181" s="119">
        <f>INDEX('Supply Fans'!$AA$2:$AI$14,MATCH(M181,'Supply Fans'!$Y$2:$Y$14,0),MATCH(L181,'Supply Fans'!$AA$1:$AI$1,0))</f>
        <v>0.41</v>
      </c>
    </row>
    <row r="182" spans="2:19" ht="15" thickBot="1">
      <c r="B182" s="112" t="s">
        <v>206</v>
      </c>
      <c r="C182" s="50" t="s">
        <v>198</v>
      </c>
      <c r="D182" s="50" t="s">
        <v>352</v>
      </c>
      <c r="E182" s="83">
        <f>INDEX('Chilled Water Pumps'!$O$2:$W$9,MATCH('Lookup Table'!C182,'Chilled Water Pumps'!$M$2:$M$9,0),MATCH('Lookup Table'!B182,'Chilled Water Pumps'!$O$1:$W$1,0))</f>
        <v>3818</v>
      </c>
      <c r="F182" s="83">
        <f>INDEX('Cooling Tower Fan'!$O$2:$W$9,MATCH(C182,'Cooling Tower Fan'!$M$2:$M$9,0),MATCH(B182,'Cooling Tower Fan'!$O$1:$W$1,0))</f>
        <v>3819</v>
      </c>
      <c r="G182" s="83">
        <f>INDEX('Condenser Water Pumps'!$O$2:$W$9,MATCH(C182,'Condenser Water Pumps'!$M$2:$M$9,0),MATCH(B182,'Condenser Water Pumps'!$O$1:$W$1,0))</f>
        <v>3722</v>
      </c>
      <c r="H182" s="83">
        <f>INDEX('Heating Hot Water Pumps'!$O$2:$W$9,MATCH(C182,'Heating Hot Water Pumps'!$M$2:$M$9,0),MATCH(B182,'Heating Hot Water Pumps'!$O$1:$W$1,0))</f>
        <v>6045</v>
      </c>
      <c r="I182" s="113">
        <f>INDEX('Supply Fans'!$O$2:$W$14,MATCH(C182,'Supply Fans'!$M$2:$M$14,0),MATCH(B182,'Supply Fans'!$O$1:$W$1,0))</f>
        <v>8760</v>
      </c>
      <c r="J182" s="55"/>
      <c r="K182" s="55"/>
      <c r="L182" s="112" t="s">
        <v>206</v>
      </c>
      <c r="M182" s="50" t="s">
        <v>198</v>
      </c>
      <c r="N182" s="83" t="s">
        <v>352</v>
      </c>
      <c r="O182" s="101">
        <f>INDEX('Chilled Water Pumps'!$AA$2:$AI$9,MATCH('Lookup Table'!M182,'Chilled Water Pumps'!$Y$2:$Y$9,0),MATCH('Lookup Table'!L182,'Chilled Water Pumps'!$AA$1:$AI$1,0))</f>
        <v>0.26</v>
      </c>
      <c r="P182" s="101">
        <f>INDEX('Cooling Tower Fan'!$AA$2:$AI$9,MATCH(M182,'Cooling Tower Fan'!$Y$2:$Y$9,0),MATCH(L182,'Cooling Tower Fan'!$AA$1:$AI$1,0))</f>
        <v>0.26</v>
      </c>
      <c r="Q182" s="101">
        <f>INDEX('Condenser Water Pumps'!$AA$2:$AI$9,MATCH(M182,'Condenser Water Pumps'!$Y$2:$Y$9,0),MATCH(L182,'Condenser Water Pumps'!$AA$1:$AI$1,0))</f>
        <v>0.26</v>
      </c>
      <c r="R182" s="101">
        <f>INDEX('Heating Hot Water Pumps'!$AA$2:$AI$9,MATCH(M182,'Heating Hot Water Pumps'!$Y$2:$Y$9,0),MATCH(L182,'Heating Hot Water Pumps'!$AA$1:$AI$1,0))</f>
        <v>0</v>
      </c>
      <c r="S182" s="119">
        <f>INDEX('Supply Fans'!$AA$2:$AI$14,MATCH(M182,'Supply Fans'!$Y$2:$Y$14,0),MATCH(L182,'Supply Fans'!$AA$1:$AI$1,0))</f>
        <v>0.28000000000000003</v>
      </c>
    </row>
    <row r="183" spans="2:19" ht="15" thickBot="1">
      <c r="B183" s="112" t="s">
        <v>206</v>
      </c>
      <c r="C183" s="50" t="s">
        <v>201</v>
      </c>
      <c r="D183" s="50" t="s">
        <v>353</v>
      </c>
      <c r="E183" s="83">
        <f>INDEX('Chilled Water Pumps'!$O$2:$W$9,MATCH('Lookup Table'!C183,'Chilled Water Pumps'!$M$2:$M$9,0),MATCH('Lookup Table'!B183,'Chilled Water Pumps'!$O$1:$W$1,0))</f>
        <v>1633</v>
      </c>
      <c r="F183" s="83">
        <f>INDEX('Cooling Tower Fan'!$O$2:$W$9,MATCH(C183,'Cooling Tower Fan'!$M$2:$M$9,0),MATCH(B183,'Cooling Tower Fan'!$O$1:$W$1,0))</f>
        <v>1633</v>
      </c>
      <c r="G183" s="83">
        <f>INDEX('Condenser Water Pumps'!$O$2:$W$9,MATCH(C183,'Condenser Water Pumps'!$M$2:$M$9,0),MATCH(B183,'Condenser Water Pumps'!$O$1:$W$1,0))</f>
        <v>1632</v>
      </c>
      <c r="H183" s="83">
        <f>INDEX('Heating Hot Water Pumps'!$O$2:$W$9,MATCH(C183,'Heating Hot Water Pumps'!$M$2:$M$9,0),MATCH(B183,'Heating Hot Water Pumps'!$O$1:$W$1,0))</f>
        <v>1277</v>
      </c>
      <c r="I183" s="113">
        <f>INDEX('Supply Fans'!$O$2:$W$14,MATCH(C183,'Supply Fans'!$M$2:$M$14,0),MATCH(B183,'Supply Fans'!$O$1:$W$1,0))</f>
        <v>3829</v>
      </c>
      <c r="J183" s="55"/>
      <c r="K183" s="55"/>
      <c r="L183" s="112" t="s">
        <v>206</v>
      </c>
      <c r="M183" s="50" t="s">
        <v>201</v>
      </c>
      <c r="N183" s="83" t="s">
        <v>353</v>
      </c>
      <c r="O183" s="101">
        <f>INDEX('Chilled Water Pumps'!$AA$2:$AI$9,MATCH('Lookup Table'!M183,'Chilled Water Pumps'!$Y$2:$Y$9,0),MATCH('Lookup Table'!L183,'Chilled Water Pumps'!$AA$1:$AI$1,0))</f>
        <v>0.5</v>
      </c>
      <c r="P183" s="101">
        <f>INDEX('Cooling Tower Fan'!$AA$2:$AI$9,MATCH(M183,'Cooling Tower Fan'!$Y$2:$Y$9,0),MATCH(L183,'Cooling Tower Fan'!$AA$1:$AI$1,0))</f>
        <v>0.5</v>
      </c>
      <c r="Q183" s="101">
        <f>INDEX('Condenser Water Pumps'!$AA$2:$AI$9,MATCH(M183,'Condenser Water Pumps'!$Y$2:$Y$9,0),MATCH(L183,'Condenser Water Pumps'!$AA$1:$AI$1,0))</f>
        <v>0.5</v>
      </c>
      <c r="R183" s="101">
        <f>INDEX('Heating Hot Water Pumps'!$AA$2:$AI$9,MATCH(M183,'Heating Hot Water Pumps'!$Y$2:$Y$9,0),MATCH(L183,'Heating Hot Water Pumps'!$AA$1:$AI$1,0))</f>
        <v>0</v>
      </c>
      <c r="S183" s="119">
        <f>INDEX('Supply Fans'!$AA$2:$AI$14,MATCH(M183,'Supply Fans'!$Y$2:$Y$14,0),MATCH(L183,'Supply Fans'!$AA$1:$AI$1,0))</f>
        <v>0.46</v>
      </c>
    </row>
    <row r="184" spans="2:19" ht="15" thickBot="1">
      <c r="B184" s="112" t="s">
        <v>206</v>
      </c>
      <c r="C184" s="50" t="s">
        <v>203</v>
      </c>
      <c r="D184" s="50" t="s">
        <v>354</v>
      </c>
      <c r="E184" s="83" t="e">
        <f>INDEX('Chilled Water Pumps'!$O$2:$W$9,MATCH('Lookup Table'!C184,'Chilled Water Pumps'!$M$2:$M$9,0),MATCH('Lookup Table'!B184,'Chilled Water Pumps'!$O$1:$W$1,0))</f>
        <v>#N/A</v>
      </c>
      <c r="F184" s="83" t="e">
        <f>INDEX('Cooling Tower Fan'!$O$2:$W$9,MATCH(C184,'Cooling Tower Fan'!$M$2:$M$9,0),MATCH(B184,'Cooling Tower Fan'!$O$1:$W$1,0))</f>
        <v>#N/A</v>
      </c>
      <c r="G184" s="83" t="e">
        <f>INDEX('Condenser Water Pumps'!$O$2:$W$9,MATCH(C184,'Condenser Water Pumps'!$M$2:$M$9,0),MATCH(B184,'Condenser Water Pumps'!$O$1:$W$1,0))</f>
        <v>#N/A</v>
      </c>
      <c r="H184" s="83" t="e">
        <f>INDEX('Heating Hot Water Pumps'!$O$2:$W$9,MATCH(C184,'Heating Hot Water Pumps'!$M$2:$M$9,0),MATCH(B184,'Heating Hot Water Pumps'!$O$1:$W$1,0))</f>
        <v>#N/A</v>
      </c>
      <c r="I184" s="113">
        <f>INDEX('Supply Fans'!$O$2:$W$14,MATCH(C184,'Supply Fans'!$M$2:$M$14,0),MATCH(B184,'Supply Fans'!$O$1:$W$1,0))</f>
        <v>5184</v>
      </c>
      <c r="J184" s="55"/>
      <c r="K184" s="55"/>
      <c r="L184" s="112" t="s">
        <v>206</v>
      </c>
      <c r="M184" s="50" t="s">
        <v>203</v>
      </c>
      <c r="N184" s="83" t="s">
        <v>354</v>
      </c>
      <c r="O184" s="101" t="e">
        <f>INDEX('Chilled Water Pumps'!$AA$2:$AI$9,MATCH('Lookup Table'!M184,'Chilled Water Pumps'!$Y$2:$Y$9,0),MATCH('Lookup Table'!L184,'Chilled Water Pumps'!$AA$1:$AI$1,0))</f>
        <v>#N/A</v>
      </c>
      <c r="P184" s="101" t="e">
        <f>INDEX('Cooling Tower Fan'!$AA$2:$AI$9,MATCH(M184,'Cooling Tower Fan'!$Y$2:$Y$9,0),MATCH(L184,'Cooling Tower Fan'!$AA$1:$AI$1,0))</f>
        <v>#N/A</v>
      </c>
      <c r="Q184" s="101" t="e">
        <f>INDEX('Condenser Water Pumps'!$AA$2:$AI$9,MATCH(M184,'Condenser Water Pumps'!$Y$2:$Y$9,0),MATCH(L184,'Condenser Water Pumps'!$AA$1:$AI$1,0))</f>
        <v>#N/A</v>
      </c>
      <c r="R184" s="101" t="e">
        <f>INDEX('Heating Hot Water Pumps'!$AA$2:$AI$9,MATCH(M184,'Heating Hot Water Pumps'!$Y$2:$Y$9,0),MATCH(L184,'Heating Hot Water Pumps'!$AA$1:$AI$1,0))</f>
        <v>#N/A</v>
      </c>
      <c r="S184" s="119">
        <f>INDEX('Supply Fans'!$AA$2:$AI$14,MATCH(M184,'Supply Fans'!$Y$2:$Y$14,0),MATCH(L184,'Supply Fans'!$AA$1:$AI$1,0))</f>
        <v>0.52</v>
      </c>
    </row>
    <row r="185" spans="2:19" ht="15" thickBot="1">
      <c r="B185" s="112" t="s">
        <v>206</v>
      </c>
      <c r="C185" s="50" t="s">
        <v>205</v>
      </c>
      <c r="D185" s="50" t="s">
        <v>355</v>
      </c>
      <c r="E185" s="83">
        <f>INDEX('Chilled Water Pumps'!$O$2:$W$9,MATCH('Lookup Table'!C185,'Chilled Water Pumps'!$M$2:$M$9,0),MATCH('Lookup Table'!B185,'Chilled Water Pumps'!$O$1:$W$1,0))</f>
        <v>5776</v>
      </c>
      <c r="F185" s="83">
        <f>INDEX('Cooling Tower Fan'!$O$2:$W$9,MATCH(C185,'Cooling Tower Fan'!$M$2:$M$9,0),MATCH(B185,'Cooling Tower Fan'!$O$1:$W$1,0))</f>
        <v>5773</v>
      </c>
      <c r="G185" s="83">
        <f>INDEX('Condenser Water Pumps'!$O$2:$W$9,MATCH(C185,'Condenser Water Pumps'!$M$2:$M$9,0),MATCH(B185,'Condenser Water Pumps'!$O$1:$W$1,0))</f>
        <v>5328</v>
      </c>
      <c r="H185" s="83">
        <f>INDEX('Heating Hot Water Pumps'!$O$2:$W$9,MATCH(C185,'Heating Hot Water Pumps'!$M$2:$M$9,0),MATCH(B185,'Heating Hot Water Pumps'!$O$1:$W$1,0))</f>
        <v>6387</v>
      </c>
      <c r="I185" s="113">
        <f>INDEX('Supply Fans'!$O$2:$W$14,MATCH(C185,'Supply Fans'!$M$2:$M$14,0),MATCH(B185,'Supply Fans'!$O$1:$W$1,0))</f>
        <v>8760</v>
      </c>
      <c r="J185" s="55"/>
      <c r="K185" s="55"/>
      <c r="L185" s="112" t="s">
        <v>206</v>
      </c>
      <c r="M185" s="50" t="s">
        <v>205</v>
      </c>
      <c r="N185" s="83" t="s">
        <v>355</v>
      </c>
      <c r="O185" s="101">
        <f>INDEX('Chilled Water Pumps'!$AA$2:$AI$9,MATCH('Lookup Table'!M185,'Chilled Water Pumps'!$Y$2:$Y$9,0),MATCH('Lookup Table'!L185,'Chilled Water Pumps'!$AA$1:$AI$1,0))</f>
        <v>0.66</v>
      </c>
      <c r="P185" s="101">
        <f>INDEX('Cooling Tower Fan'!$AA$2:$AI$9,MATCH(M185,'Cooling Tower Fan'!$Y$2:$Y$9,0),MATCH(L185,'Cooling Tower Fan'!$AA$1:$AI$1,0))</f>
        <v>0.66</v>
      </c>
      <c r="Q185" s="101">
        <f>INDEX('Condenser Water Pumps'!$AA$2:$AI$9,MATCH(M185,'Condenser Water Pumps'!$Y$2:$Y$9,0),MATCH(L185,'Condenser Water Pumps'!$AA$1:$AI$1,0))</f>
        <v>0.66</v>
      </c>
      <c r="R185" s="101">
        <f>INDEX('Heating Hot Water Pumps'!$AA$2:$AI$9,MATCH(M185,'Heating Hot Water Pumps'!$Y$2:$Y$9,0),MATCH(L185,'Heating Hot Water Pumps'!$AA$1:$AI$1,0))</f>
        <v>0</v>
      </c>
      <c r="S185" s="119">
        <f>INDEX('Supply Fans'!$AA$2:$AI$14,MATCH(M185,'Supply Fans'!$Y$2:$Y$14,0),MATCH(L185,'Supply Fans'!$AA$1:$AI$1,0))</f>
        <v>0.71</v>
      </c>
    </row>
    <row r="186" spans="2:19" ht="15" thickBot="1">
      <c r="B186" s="112" t="s">
        <v>206</v>
      </c>
      <c r="C186" s="50" t="s">
        <v>208</v>
      </c>
      <c r="D186" s="50" t="s">
        <v>356</v>
      </c>
      <c r="E186" s="83">
        <f>INDEX('Chilled Water Pumps'!$O$2:$W$9,MATCH('Lookup Table'!C186,'Chilled Water Pumps'!$M$2:$M$9,0),MATCH('Lookup Table'!B186,'Chilled Water Pumps'!$O$1:$W$1,0))</f>
        <v>1711</v>
      </c>
      <c r="F186" s="83">
        <f>INDEX('Cooling Tower Fan'!$O$2:$W$9,MATCH(C186,'Cooling Tower Fan'!$M$2:$M$9,0),MATCH(B186,'Cooling Tower Fan'!$O$1:$W$1,0))</f>
        <v>1711</v>
      </c>
      <c r="G186" s="83">
        <f>INDEX('Condenser Water Pumps'!$O$2:$W$9,MATCH(C186,'Condenser Water Pumps'!$M$2:$M$9,0),MATCH(B186,'Condenser Water Pumps'!$O$1:$W$1,0))</f>
        <v>1702</v>
      </c>
      <c r="H186" s="83">
        <f>INDEX('Heating Hot Water Pumps'!$O$2:$W$9,MATCH(C186,'Heating Hot Water Pumps'!$M$2:$M$9,0),MATCH(B186,'Heating Hot Water Pumps'!$O$1:$W$1,0))</f>
        <v>3169</v>
      </c>
      <c r="I186" s="113">
        <f>INDEX('Supply Fans'!$O$2:$W$14,MATCH(C186,'Supply Fans'!$M$2:$M$14,0),MATCH(B186,'Supply Fans'!$O$1:$W$1,0))</f>
        <v>4139</v>
      </c>
      <c r="J186" s="55"/>
      <c r="K186" s="55"/>
      <c r="L186" s="112" t="s">
        <v>206</v>
      </c>
      <c r="M186" s="50" t="s">
        <v>208</v>
      </c>
      <c r="N186" s="83" t="s">
        <v>356</v>
      </c>
      <c r="O186" s="101">
        <f>INDEX('Chilled Water Pumps'!$AA$2:$AI$9,MATCH('Lookup Table'!M186,'Chilled Water Pumps'!$Y$2:$Y$9,0),MATCH('Lookup Table'!L186,'Chilled Water Pumps'!$AA$1:$AI$1,0))</f>
        <v>0.32</v>
      </c>
      <c r="P186" s="101">
        <f>INDEX('Cooling Tower Fan'!$AA$2:$AI$9,MATCH(M186,'Cooling Tower Fan'!$Y$2:$Y$9,0),MATCH(L186,'Cooling Tower Fan'!$AA$1:$AI$1,0))</f>
        <v>0.32</v>
      </c>
      <c r="Q186" s="101">
        <f>INDEX('Condenser Water Pumps'!$AA$2:$AI$9,MATCH(M186,'Condenser Water Pumps'!$Y$2:$Y$9,0),MATCH(L186,'Condenser Water Pumps'!$AA$1:$AI$1,0))</f>
        <v>0.32</v>
      </c>
      <c r="R186" s="101">
        <f>INDEX('Heating Hot Water Pumps'!$AA$2:$AI$9,MATCH(M186,'Heating Hot Water Pumps'!$Y$2:$Y$9,0),MATCH(L186,'Heating Hot Water Pumps'!$AA$1:$AI$1,0))</f>
        <v>0</v>
      </c>
      <c r="S186" s="119">
        <f>INDEX('Supply Fans'!$AA$2:$AI$14,MATCH(M186,'Supply Fans'!$Y$2:$Y$14,0),MATCH(L186,'Supply Fans'!$AA$1:$AI$1,0))</f>
        <v>0.34</v>
      </c>
    </row>
    <row r="187" spans="2:19" ht="15" thickBot="1">
      <c r="B187" s="112" t="s">
        <v>206</v>
      </c>
      <c r="C187" s="50" t="s">
        <v>209</v>
      </c>
      <c r="D187" s="50" t="s">
        <v>357</v>
      </c>
      <c r="E187" s="83" t="e">
        <f>INDEX('Chilled Water Pumps'!$O$2:$W$9,MATCH('Lookup Table'!C187,'Chilled Water Pumps'!$M$2:$M$9,0),MATCH('Lookup Table'!B187,'Chilled Water Pumps'!$O$1:$W$1,0))</f>
        <v>#N/A</v>
      </c>
      <c r="F187" s="83" t="e">
        <f>INDEX('Cooling Tower Fan'!$O$2:$W$9,MATCH(C187,'Cooling Tower Fan'!$M$2:$M$9,0),MATCH(B187,'Cooling Tower Fan'!$O$1:$W$1,0))</f>
        <v>#N/A</v>
      </c>
      <c r="G187" s="83" t="e">
        <f>INDEX('Condenser Water Pumps'!$O$2:$W$9,MATCH(C187,'Condenser Water Pumps'!$M$2:$M$9,0),MATCH(B187,'Condenser Water Pumps'!$O$1:$W$1,0))</f>
        <v>#N/A</v>
      </c>
      <c r="H187" s="83" t="e">
        <f>INDEX('Heating Hot Water Pumps'!$O$2:$W$9,MATCH(C187,'Heating Hot Water Pumps'!$M$2:$M$9,0),MATCH(B187,'Heating Hot Water Pumps'!$O$1:$W$1,0))</f>
        <v>#N/A</v>
      </c>
      <c r="I187" s="113">
        <f>INDEX('Supply Fans'!$O$2:$W$14,MATCH(C187,'Supply Fans'!$M$2:$M$14,0),MATCH(B187,'Supply Fans'!$O$1:$W$1,0))</f>
        <v>6286</v>
      </c>
      <c r="J187" s="55"/>
      <c r="K187" s="55"/>
      <c r="L187" s="112" t="s">
        <v>206</v>
      </c>
      <c r="M187" s="50" t="s">
        <v>209</v>
      </c>
      <c r="N187" s="83" t="s">
        <v>357</v>
      </c>
      <c r="O187" s="101" t="e">
        <f>INDEX('Chilled Water Pumps'!$AA$2:$AI$9,MATCH('Lookup Table'!M187,'Chilled Water Pumps'!$Y$2:$Y$9,0),MATCH('Lookup Table'!L187,'Chilled Water Pumps'!$AA$1:$AI$1,0))</f>
        <v>#N/A</v>
      </c>
      <c r="P187" s="101" t="e">
        <f>INDEX('Cooling Tower Fan'!$AA$2:$AI$9,MATCH(M187,'Cooling Tower Fan'!$Y$2:$Y$9,0),MATCH(L187,'Cooling Tower Fan'!$AA$1:$AI$1,0))</f>
        <v>#N/A</v>
      </c>
      <c r="Q187" s="101" t="e">
        <f>INDEX('Condenser Water Pumps'!$AA$2:$AI$9,MATCH(M187,'Condenser Water Pumps'!$Y$2:$Y$9,0),MATCH(L187,'Condenser Water Pumps'!$AA$1:$AI$1,0))</f>
        <v>#N/A</v>
      </c>
      <c r="R187" s="101" t="e">
        <f>INDEX('Heating Hot Water Pumps'!$AA$2:$AI$9,MATCH(M187,'Heating Hot Water Pumps'!$Y$2:$Y$9,0),MATCH(L187,'Heating Hot Water Pumps'!$AA$1:$AI$1,0))</f>
        <v>#N/A</v>
      </c>
      <c r="S187" s="119">
        <f>INDEX('Supply Fans'!$AA$2:$AI$14,MATCH(M187,'Supply Fans'!$Y$2:$Y$14,0),MATCH(L187,'Supply Fans'!$AA$1:$AI$1,0))</f>
        <v>0.45</v>
      </c>
    </row>
    <row r="188" spans="2:19" ht="15" thickBot="1">
      <c r="B188" s="112" t="s">
        <v>206</v>
      </c>
      <c r="C188" s="50" t="s">
        <v>210</v>
      </c>
      <c r="D188" s="50" t="s">
        <v>358</v>
      </c>
      <c r="E188" s="83">
        <f>INDEX('Chilled Water Pumps'!$O$2:$W$9,MATCH('Lookup Table'!C188,'Chilled Water Pumps'!$M$2:$M$9,0),MATCH('Lookup Table'!B188,'Chilled Water Pumps'!$O$1:$W$1,0))</f>
        <v>2898</v>
      </c>
      <c r="F188" s="83">
        <f>INDEX('Cooling Tower Fan'!$O$2:$W$9,MATCH(C188,'Cooling Tower Fan'!$M$2:$M$9,0),MATCH(B188,'Cooling Tower Fan'!$O$1:$W$1,0))</f>
        <v>2898</v>
      </c>
      <c r="G188" s="83">
        <f>INDEX('Condenser Water Pumps'!$O$2:$W$9,MATCH(C188,'Condenser Water Pumps'!$M$2:$M$9,0),MATCH(B188,'Condenser Water Pumps'!$O$1:$W$1,0))</f>
        <v>2847</v>
      </c>
      <c r="H188" s="83">
        <f>INDEX('Heating Hot Water Pumps'!$O$2:$W$9,MATCH(C188,'Heating Hot Water Pumps'!$M$2:$M$9,0),MATCH(B188,'Heating Hot Water Pumps'!$O$1:$W$1,0))</f>
        <v>2660</v>
      </c>
      <c r="I188" s="113">
        <f>INDEX('Supply Fans'!$O$2:$W$14,MATCH(C188,'Supply Fans'!$M$2:$M$14,0),MATCH(B188,'Supply Fans'!$O$1:$W$1,0))</f>
        <v>5134</v>
      </c>
      <c r="J188" s="55"/>
      <c r="K188" s="55"/>
      <c r="L188" s="112" t="s">
        <v>206</v>
      </c>
      <c r="M188" s="50" t="s">
        <v>210</v>
      </c>
      <c r="N188" s="83" t="s">
        <v>358</v>
      </c>
      <c r="O188" s="101">
        <f>INDEX('Chilled Water Pumps'!$AA$2:$AI$9,MATCH('Lookup Table'!M188,'Chilled Water Pumps'!$Y$2:$Y$9,0),MATCH('Lookup Table'!L188,'Chilled Water Pumps'!$AA$1:$AI$1,0))</f>
        <v>0.47</v>
      </c>
      <c r="P188" s="101">
        <f>INDEX('Cooling Tower Fan'!$AA$2:$AI$9,MATCH(M188,'Cooling Tower Fan'!$Y$2:$Y$9,0),MATCH(L188,'Cooling Tower Fan'!$AA$1:$AI$1,0))</f>
        <v>0.47</v>
      </c>
      <c r="Q188" s="101">
        <f>INDEX('Condenser Water Pumps'!$AA$2:$AI$9,MATCH(M188,'Condenser Water Pumps'!$Y$2:$Y$9,0),MATCH(L188,'Condenser Water Pumps'!$AA$1:$AI$1,0))</f>
        <v>0.47</v>
      </c>
      <c r="R188" s="101">
        <f>INDEX('Heating Hot Water Pumps'!$AA$2:$AI$9,MATCH(M188,'Heating Hot Water Pumps'!$Y$2:$Y$9,0),MATCH(L188,'Heating Hot Water Pumps'!$AA$1:$AI$1,0))</f>
        <v>0</v>
      </c>
      <c r="S188" s="119">
        <f>INDEX('Supply Fans'!$AA$2:$AI$14,MATCH(M188,'Supply Fans'!$Y$2:$Y$14,0),MATCH(L188,'Supply Fans'!$AA$1:$AI$1,0))</f>
        <v>0.49</v>
      </c>
    </row>
    <row r="189" spans="2:19" ht="15" thickBot="1">
      <c r="B189" s="112" t="s">
        <v>206</v>
      </c>
      <c r="C189" s="50" t="s">
        <v>211</v>
      </c>
      <c r="D189" s="50" t="s">
        <v>359</v>
      </c>
      <c r="E189" s="83" t="e">
        <f>INDEX('Chilled Water Pumps'!$O$2:$W$9,MATCH('Lookup Table'!C189,'Chilled Water Pumps'!$M$2:$M$9,0),MATCH('Lookup Table'!B189,'Chilled Water Pumps'!$O$1:$W$1,0))</f>
        <v>#N/A</v>
      </c>
      <c r="F189" s="83" t="e">
        <f>INDEX('Cooling Tower Fan'!$O$2:$W$9,MATCH(C189,'Cooling Tower Fan'!$M$2:$M$9,0),MATCH(B189,'Cooling Tower Fan'!$O$1:$W$1,0))</f>
        <v>#N/A</v>
      </c>
      <c r="G189" s="83" t="e">
        <f>INDEX('Condenser Water Pumps'!$O$2:$W$9,MATCH(C189,'Condenser Water Pumps'!$M$2:$M$9,0),MATCH(B189,'Condenser Water Pumps'!$O$1:$W$1,0))</f>
        <v>#N/A</v>
      </c>
      <c r="H189" s="83" t="e">
        <f>INDEX('Heating Hot Water Pumps'!$O$2:$W$9,MATCH(C189,'Heating Hot Water Pumps'!$M$2:$M$9,0),MATCH(B189,'Heating Hot Water Pumps'!$O$1:$W$1,0))</f>
        <v>#N/A</v>
      </c>
      <c r="I189" s="113">
        <f>INDEX('Supply Fans'!$O$2:$W$14,MATCH(C189,'Supply Fans'!$M$2:$M$14,0),MATCH(B189,'Supply Fans'!$O$1:$W$1,0))</f>
        <v>5028</v>
      </c>
      <c r="J189" s="55"/>
      <c r="K189" s="55"/>
      <c r="L189" s="112" t="s">
        <v>206</v>
      </c>
      <c r="M189" s="50" t="s">
        <v>211</v>
      </c>
      <c r="N189" s="83" t="s">
        <v>359</v>
      </c>
      <c r="O189" s="101" t="e">
        <f>INDEX('Chilled Water Pumps'!$AA$2:$AI$9,MATCH('Lookup Table'!M189,'Chilled Water Pumps'!$Y$2:$Y$9,0),MATCH('Lookup Table'!L189,'Chilled Water Pumps'!$AA$1:$AI$1,0))</f>
        <v>#N/A</v>
      </c>
      <c r="P189" s="101" t="e">
        <f>INDEX('Cooling Tower Fan'!$AA$2:$AI$9,MATCH(M189,'Cooling Tower Fan'!$Y$2:$Y$9,0),MATCH(L189,'Cooling Tower Fan'!$AA$1:$AI$1,0))</f>
        <v>#N/A</v>
      </c>
      <c r="Q189" s="101" t="e">
        <f>INDEX('Condenser Water Pumps'!$AA$2:$AI$9,MATCH(M189,'Condenser Water Pumps'!$Y$2:$Y$9,0),MATCH(L189,'Condenser Water Pumps'!$AA$1:$AI$1,0))</f>
        <v>#N/A</v>
      </c>
      <c r="R189" s="101" t="e">
        <f>INDEX('Heating Hot Water Pumps'!$AA$2:$AI$9,MATCH(M189,'Heating Hot Water Pumps'!$Y$2:$Y$9,0),MATCH(L189,'Heating Hot Water Pumps'!$AA$1:$AI$1,0))</f>
        <v>#N/A</v>
      </c>
      <c r="S189" s="119">
        <f>INDEX('Supply Fans'!$AA$2:$AI$14,MATCH(M189,'Supply Fans'!$Y$2:$Y$14,0),MATCH(L189,'Supply Fans'!$AA$1:$AI$1,0))</f>
        <v>0.2</v>
      </c>
    </row>
    <row r="190" spans="2:19">
      <c r="B190" s="112" t="s">
        <v>206</v>
      </c>
      <c r="C190" s="50" t="s">
        <v>212</v>
      </c>
      <c r="D190" s="50" t="s">
        <v>360</v>
      </c>
      <c r="E190" s="83" t="e">
        <f>INDEX('Chilled Water Pumps'!$O$2:$W$9,MATCH('Lookup Table'!C190,'Chilled Water Pumps'!$M$2:$M$9,0),MATCH('Lookup Table'!B190,'Chilled Water Pumps'!$O$1:$W$1,0))</f>
        <v>#N/A</v>
      </c>
      <c r="F190" s="83" t="e">
        <f>INDEX('Cooling Tower Fan'!$O$2:$W$9,MATCH(C190,'Cooling Tower Fan'!$M$2:$M$9,0),MATCH(B190,'Cooling Tower Fan'!$O$1:$W$1,0))</f>
        <v>#N/A</v>
      </c>
      <c r="G190" s="83" t="e">
        <f>INDEX('Condenser Water Pumps'!$O$2:$W$9,MATCH(C190,'Condenser Water Pumps'!$M$2:$M$9,0),MATCH(B190,'Condenser Water Pumps'!$O$1:$W$1,0))</f>
        <v>#N/A</v>
      </c>
      <c r="H190" s="83" t="e">
        <f>INDEX('Heating Hot Water Pumps'!$O$2:$W$9,MATCH(C190,'Heating Hot Water Pumps'!$M$2:$M$9,0),MATCH(B190,'Heating Hot Water Pumps'!$O$1:$W$1,0))</f>
        <v>#N/A</v>
      </c>
      <c r="I190" s="113">
        <f>INDEX('Supply Fans'!$O$2:$W$14,MATCH(C190,'Supply Fans'!$M$2:$M$14,0),MATCH(B190,'Supply Fans'!$O$1:$W$1,0))</f>
        <v>4041</v>
      </c>
      <c r="J190" s="55"/>
      <c r="K190" s="55"/>
      <c r="L190" s="112" t="s">
        <v>206</v>
      </c>
      <c r="M190" s="50" t="s">
        <v>212</v>
      </c>
      <c r="N190" s="83" t="s">
        <v>360</v>
      </c>
      <c r="O190" s="101" t="e">
        <f>INDEX('Chilled Water Pumps'!$AA$2:$AI$9,MATCH('Lookup Table'!M190,'Chilled Water Pumps'!$Y$2:$Y$9,0),MATCH('Lookup Table'!L190,'Chilled Water Pumps'!$AA$1:$AI$1,0))</f>
        <v>#N/A</v>
      </c>
      <c r="P190" s="101" t="e">
        <f>INDEX('Cooling Tower Fan'!$AA$2:$AI$9,MATCH(M190,'Cooling Tower Fan'!$Y$2:$Y$9,0),MATCH(L190,'Cooling Tower Fan'!$AA$1:$AI$1,0))</f>
        <v>#N/A</v>
      </c>
      <c r="Q190" s="101" t="e">
        <f>INDEX('Condenser Water Pumps'!$AA$2:$AI$9,MATCH(M190,'Condenser Water Pumps'!$Y$2:$Y$9,0),MATCH(L190,'Condenser Water Pumps'!$AA$1:$AI$1,0))</f>
        <v>#N/A</v>
      </c>
      <c r="R190" s="101" t="e">
        <f>INDEX('Heating Hot Water Pumps'!$AA$2:$AI$9,MATCH(M190,'Heating Hot Water Pumps'!$Y$2:$Y$9,0),MATCH(L190,'Heating Hot Water Pumps'!$AA$1:$AI$1,0))</f>
        <v>#N/A</v>
      </c>
      <c r="S190" s="119">
        <f>INDEX('Supply Fans'!$AA$2:$AI$14,MATCH(M190,'Supply Fans'!$Y$2:$Y$14,0),MATCH(L190,'Supply Fans'!$AA$1:$AI$1,0))</f>
        <v>0.51</v>
      </c>
    </row>
    <row r="191" spans="2:19">
      <c r="B191" s="95"/>
      <c r="C191" s="50"/>
      <c r="D191" s="50"/>
      <c r="E191" s="50"/>
      <c r="F191" s="50"/>
      <c r="G191" s="50"/>
      <c r="H191" s="50"/>
      <c r="I191" s="114"/>
      <c r="J191" s="55"/>
      <c r="K191" s="55"/>
      <c r="L191" s="95"/>
      <c r="M191" s="50"/>
      <c r="N191" s="50"/>
      <c r="O191" s="50"/>
      <c r="P191" s="50"/>
      <c r="Q191" s="50"/>
      <c r="R191" s="50"/>
      <c r="S191" s="114"/>
    </row>
    <row r="192" spans="2:19">
      <c r="B192" s="95"/>
      <c r="C192" s="50"/>
      <c r="D192" s="50"/>
      <c r="E192" s="50"/>
      <c r="F192" s="50"/>
      <c r="G192" s="50"/>
      <c r="H192" s="50"/>
      <c r="I192" s="114"/>
      <c r="J192" s="55"/>
      <c r="K192" s="55"/>
      <c r="L192" s="95"/>
      <c r="M192" s="50"/>
      <c r="N192" s="50"/>
      <c r="O192" s="50"/>
      <c r="P192" s="50"/>
      <c r="Q192" s="50"/>
      <c r="R192" s="50"/>
      <c r="S192" s="114"/>
    </row>
    <row r="193" spans="2:19">
      <c r="B193" s="95"/>
      <c r="C193" s="50"/>
      <c r="D193" s="50"/>
      <c r="E193" s="50"/>
      <c r="F193" s="50"/>
      <c r="G193" s="50"/>
      <c r="H193" s="50"/>
      <c r="I193" s="114"/>
      <c r="J193" s="55"/>
      <c r="K193" s="55"/>
      <c r="L193" s="95"/>
      <c r="M193" s="50"/>
      <c r="N193" s="50"/>
      <c r="O193" s="50"/>
      <c r="P193" s="50"/>
      <c r="Q193" s="50"/>
      <c r="R193" s="50"/>
      <c r="S193" s="114"/>
    </row>
    <row r="194" spans="2:19">
      <c r="B194" s="95"/>
      <c r="C194" s="50"/>
      <c r="D194" s="50"/>
      <c r="E194" s="50"/>
      <c r="F194" s="50"/>
      <c r="G194" s="50"/>
      <c r="H194" s="50"/>
      <c r="I194" s="114"/>
      <c r="J194" s="55"/>
      <c r="K194" s="55"/>
      <c r="L194" s="95"/>
      <c r="M194" s="50"/>
      <c r="N194" s="50"/>
      <c r="O194" s="50"/>
      <c r="P194" s="50"/>
      <c r="Q194" s="50"/>
      <c r="R194" s="50"/>
      <c r="S194" s="114"/>
    </row>
    <row r="195" spans="2:19">
      <c r="B195" s="95"/>
      <c r="C195" s="50"/>
      <c r="D195" s="50"/>
      <c r="E195" s="50"/>
      <c r="F195" s="50"/>
      <c r="G195" s="50"/>
      <c r="H195" s="50"/>
      <c r="I195" s="114"/>
      <c r="J195" s="55"/>
      <c r="K195" s="55"/>
      <c r="L195" s="95"/>
      <c r="M195" s="50"/>
      <c r="N195" s="50"/>
      <c r="O195" s="50"/>
      <c r="P195" s="50"/>
      <c r="Q195" s="50"/>
      <c r="R195" s="50"/>
      <c r="S195" s="114"/>
    </row>
    <row r="196" spans="2:19">
      <c r="B196" s="95"/>
      <c r="C196" s="50"/>
      <c r="D196" s="50"/>
      <c r="E196" s="50"/>
      <c r="F196" s="50"/>
      <c r="G196" s="50"/>
      <c r="H196" s="50"/>
      <c r="I196" s="114"/>
      <c r="J196" s="55"/>
      <c r="K196" s="55"/>
      <c r="L196" s="95"/>
      <c r="M196" s="50"/>
      <c r="N196" s="50"/>
      <c r="O196" s="50"/>
      <c r="P196" s="50"/>
      <c r="Q196" s="50"/>
      <c r="R196" s="50"/>
      <c r="S196" s="114"/>
    </row>
    <row r="197" spans="2:19">
      <c r="B197" s="95"/>
      <c r="C197" s="50"/>
      <c r="D197" s="50"/>
      <c r="E197" s="50"/>
      <c r="F197" s="50"/>
      <c r="G197" s="50"/>
      <c r="H197" s="50"/>
      <c r="I197" s="114"/>
      <c r="J197" s="55"/>
      <c r="K197" s="55"/>
      <c r="L197" s="95"/>
      <c r="M197" s="50"/>
      <c r="N197" s="50"/>
      <c r="O197" s="50"/>
      <c r="P197" s="50"/>
      <c r="Q197" s="50"/>
      <c r="R197" s="50"/>
      <c r="S197" s="114"/>
    </row>
    <row r="198" spans="2:19">
      <c r="B198" s="95"/>
      <c r="C198" s="50"/>
      <c r="D198" s="50"/>
      <c r="E198" s="50"/>
      <c r="F198" s="50"/>
      <c r="G198" s="50"/>
      <c r="H198" s="50"/>
      <c r="I198" s="114"/>
      <c r="J198" s="55"/>
      <c r="K198" s="55"/>
      <c r="L198" s="95"/>
      <c r="M198" s="50"/>
      <c r="N198" s="50"/>
      <c r="O198" s="50"/>
      <c r="P198" s="50"/>
      <c r="Q198" s="50"/>
      <c r="R198" s="50"/>
      <c r="S198" s="114"/>
    </row>
    <row r="199" spans="2:19">
      <c r="B199" s="95"/>
      <c r="C199" s="50"/>
      <c r="D199" s="50"/>
      <c r="E199" s="50"/>
      <c r="F199" s="50"/>
      <c r="G199" s="50"/>
      <c r="H199" s="50"/>
      <c r="I199" s="114"/>
      <c r="J199" s="55"/>
      <c r="K199" s="55"/>
      <c r="L199" s="95"/>
      <c r="M199" s="50"/>
      <c r="N199" s="50"/>
      <c r="O199" s="50"/>
      <c r="P199" s="50"/>
      <c r="Q199" s="50"/>
      <c r="R199" s="50"/>
      <c r="S199" s="114"/>
    </row>
    <row r="200" spans="2:19">
      <c r="B200" s="95"/>
      <c r="C200" s="50"/>
      <c r="D200" s="50"/>
      <c r="E200" s="50"/>
      <c r="F200" s="50"/>
      <c r="G200" s="50"/>
      <c r="H200" s="50"/>
      <c r="I200" s="114"/>
      <c r="J200" s="55"/>
      <c r="K200" s="55"/>
      <c r="L200" s="95"/>
      <c r="M200" s="50"/>
      <c r="N200" s="50"/>
      <c r="O200" s="50"/>
      <c r="P200" s="50"/>
      <c r="Q200" s="50"/>
      <c r="R200" s="50"/>
      <c r="S200" s="114"/>
    </row>
    <row r="201" spans="2:19">
      <c r="B201" s="95"/>
      <c r="C201" s="50"/>
      <c r="D201" s="50"/>
      <c r="E201" s="50"/>
      <c r="F201" s="50"/>
      <c r="G201" s="50"/>
      <c r="H201" s="50"/>
      <c r="I201" s="114"/>
      <c r="J201" s="55"/>
      <c r="K201" s="55"/>
      <c r="L201" s="95"/>
      <c r="M201" s="50"/>
      <c r="N201" s="50"/>
      <c r="O201" s="50"/>
      <c r="P201" s="50"/>
      <c r="Q201" s="50"/>
      <c r="R201" s="50"/>
      <c r="S201" s="114"/>
    </row>
    <row r="202" spans="2:19">
      <c r="B202" s="95"/>
      <c r="C202" s="50"/>
      <c r="D202" s="50"/>
      <c r="E202" s="50"/>
      <c r="F202" s="50"/>
      <c r="G202" s="50"/>
      <c r="H202" s="50"/>
      <c r="I202" s="114"/>
      <c r="J202" s="55"/>
      <c r="K202" s="55"/>
      <c r="L202" s="95"/>
      <c r="M202" s="50"/>
      <c r="N202" s="50"/>
      <c r="O202" s="50"/>
      <c r="P202" s="50"/>
      <c r="Q202" s="50"/>
      <c r="R202" s="50"/>
      <c r="S202" s="114"/>
    </row>
    <row r="203" spans="2:19">
      <c r="B203" s="95"/>
      <c r="C203" s="50"/>
      <c r="D203" s="50"/>
      <c r="E203" s="50"/>
      <c r="F203" s="50"/>
      <c r="G203" s="50"/>
      <c r="H203" s="50"/>
      <c r="I203" s="114"/>
      <c r="J203" s="55"/>
      <c r="K203" s="55"/>
      <c r="L203" s="95"/>
      <c r="M203" s="50"/>
      <c r="N203" s="50"/>
      <c r="O203" s="50"/>
      <c r="P203" s="50"/>
      <c r="Q203" s="50"/>
      <c r="R203" s="50"/>
      <c r="S203" s="114"/>
    </row>
    <row r="204" spans="2:19">
      <c r="B204" s="95"/>
      <c r="C204" s="50"/>
      <c r="D204" s="50"/>
      <c r="E204" s="50"/>
      <c r="F204" s="50"/>
      <c r="G204" s="50"/>
      <c r="H204" s="50"/>
      <c r="I204" s="114"/>
      <c r="J204" s="55"/>
      <c r="K204" s="55"/>
      <c r="L204" s="95"/>
      <c r="M204" s="50"/>
      <c r="N204" s="50"/>
      <c r="O204" s="50"/>
      <c r="P204" s="50"/>
      <c r="Q204" s="50"/>
      <c r="R204" s="50"/>
      <c r="S204" s="114"/>
    </row>
    <row r="205" spans="2:19">
      <c r="B205" s="95"/>
      <c r="C205" s="50"/>
      <c r="D205" s="50"/>
      <c r="E205" s="50"/>
      <c r="F205" s="50"/>
      <c r="G205" s="50"/>
      <c r="H205" s="50"/>
      <c r="I205" s="114"/>
      <c r="J205" s="55"/>
      <c r="K205" s="55"/>
      <c r="L205" s="95"/>
      <c r="M205" s="50"/>
      <c r="N205" s="50"/>
      <c r="O205" s="50"/>
      <c r="P205" s="50"/>
      <c r="Q205" s="50"/>
      <c r="R205" s="50"/>
      <c r="S205" s="114"/>
    </row>
    <row r="206" spans="2:19">
      <c r="B206" s="95"/>
      <c r="C206" s="50"/>
      <c r="D206" s="50"/>
      <c r="E206" s="50"/>
      <c r="F206" s="50"/>
      <c r="G206" s="50"/>
      <c r="H206" s="50"/>
      <c r="I206" s="114"/>
      <c r="J206" s="55"/>
      <c r="K206" s="55"/>
      <c r="L206" s="95"/>
      <c r="M206" s="50"/>
      <c r="N206" s="50"/>
      <c r="O206" s="50"/>
      <c r="P206" s="50"/>
      <c r="Q206" s="50"/>
      <c r="R206" s="50"/>
      <c r="S206" s="114"/>
    </row>
    <row r="207" spans="2:19">
      <c r="B207" s="95"/>
      <c r="C207" s="50"/>
      <c r="D207" s="50"/>
      <c r="E207" s="50"/>
      <c r="F207" s="50"/>
      <c r="G207" s="50"/>
      <c r="H207" s="50"/>
      <c r="I207" s="114"/>
      <c r="J207" s="55"/>
      <c r="K207" s="55"/>
      <c r="L207" s="95"/>
      <c r="M207" s="50"/>
      <c r="N207" s="50"/>
      <c r="O207" s="50"/>
      <c r="P207" s="50"/>
      <c r="Q207" s="50"/>
      <c r="R207" s="50"/>
      <c r="S207" s="114"/>
    </row>
    <row r="208" spans="2:19">
      <c r="B208" s="95"/>
      <c r="C208" s="50"/>
      <c r="D208" s="50"/>
      <c r="E208" s="50"/>
      <c r="F208" s="50"/>
      <c r="G208" s="50"/>
      <c r="H208" s="50"/>
      <c r="I208" s="114"/>
      <c r="J208" s="55"/>
      <c r="K208" s="55"/>
      <c r="L208" s="95"/>
      <c r="M208" s="50"/>
      <c r="N208" s="50"/>
      <c r="O208" s="50"/>
      <c r="P208" s="50"/>
      <c r="Q208" s="50"/>
      <c r="R208" s="50"/>
      <c r="S208" s="114"/>
    </row>
    <row r="209" spans="2:22">
      <c r="B209" s="95"/>
      <c r="C209" s="50"/>
      <c r="D209" s="50"/>
      <c r="E209" s="50"/>
      <c r="F209" s="50"/>
      <c r="G209" s="50"/>
      <c r="H209" s="50"/>
      <c r="I209" s="114"/>
      <c r="J209" s="55"/>
      <c r="K209" s="55"/>
      <c r="L209" s="95"/>
      <c r="M209" s="50"/>
      <c r="N209" s="50"/>
      <c r="O209" s="50"/>
      <c r="P209" s="50"/>
      <c r="Q209" s="50"/>
      <c r="R209" s="50"/>
      <c r="S209" s="114"/>
    </row>
    <row r="210" spans="2:22">
      <c r="B210" s="95"/>
      <c r="C210" s="50"/>
      <c r="D210" s="50"/>
      <c r="E210" s="50"/>
      <c r="F210" s="50"/>
      <c r="G210" s="50"/>
      <c r="H210" s="50"/>
      <c r="I210" s="114"/>
      <c r="J210" s="55"/>
      <c r="K210" s="55"/>
      <c r="L210" s="95"/>
      <c r="M210" s="50"/>
      <c r="N210" s="50"/>
      <c r="O210" s="50"/>
      <c r="P210" s="50"/>
      <c r="Q210" s="50"/>
      <c r="R210" s="50"/>
      <c r="S210" s="114"/>
    </row>
    <row r="211" spans="2:22">
      <c r="B211" s="95"/>
      <c r="C211" s="50"/>
      <c r="D211" s="50"/>
      <c r="E211" s="50"/>
      <c r="F211" s="50"/>
      <c r="G211" s="50"/>
      <c r="H211" s="50"/>
      <c r="I211" s="114"/>
      <c r="J211" s="55"/>
      <c r="K211" s="55"/>
      <c r="L211" s="95"/>
      <c r="M211" s="50"/>
      <c r="N211" s="50"/>
      <c r="O211" s="50"/>
      <c r="P211" s="50"/>
      <c r="Q211" s="50"/>
      <c r="R211" s="50"/>
      <c r="S211" s="114"/>
    </row>
    <row r="212" spans="2:22">
      <c r="B212" s="95"/>
      <c r="C212" s="50"/>
      <c r="D212" s="50"/>
      <c r="E212" s="50"/>
      <c r="F212" s="50"/>
      <c r="G212" s="50"/>
      <c r="H212" s="50"/>
      <c r="I212" s="114"/>
      <c r="J212" s="55"/>
      <c r="K212" s="55"/>
      <c r="L212" s="95"/>
      <c r="M212" s="50"/>
      <c r="N212" s="50"/>
      <c r="O212" s="50"/>
      <c r="P212" s="50"/>
      <c r="Q212" s="50"/>
      <c r="R212" s="50"/>
      <c r="S212" s="114"/>
    </row>
    <row r="213" spans="2:22">
      <c r="B213" s="95"/>
      <c r="C213" s="50"/>
      <c r="D213" s="50"/>
      <c r="E213" s="50"/>
      <c r="F213" s="50"/>
      <c r="G213" s="50"/>
      <c r="H213" s="50"/>
      <c r="I213" s="114"/>
      <c r="J213" s="55"/>
      <c r="K213" s="55"/>
      <c r="L213" s="95"/>
      <c r="M213" s="50"/>
      <c r="N213" s="50"/>
      <c r="O213" s="50"/>
      <c r="P213" s="50"/>
      <c r="Q213" s="50"/>
      <c r="R213" s="50"/>
      <c r="S213" s="114"/>
    </row>
    <row r="214" spans="2:22">
      <c r="B214" s="95"/>
      <c r="C214" s="50"/>
      <c r="D214" s="50"/>
      <c r="E214" s="50"/>
      <c r="F214" s="50"/>
      <c r="G214" s="50"/>
      <c r="H214" s="50"/>
      <c r="I214" s="114"/>
      <c r="J214" s="55"/>
      <c r="K214" s="55"/>
      <c r="L214" s="95"/>
      <c r="M214" s="50"/>
      <c r="N214" s="50"/>
      <c r="O214" s="50"/>
      <c r="P214" s="50"/>
      <c r="Q214" s="50"/>
      <c r="R214" s="50"/>
      <c r="S214" s="114"/>
    </row>
    <row r="215" spans="2:22">
      <c r="B215" s="95"/>
      <c r="C215" s="50"/>
      <c r="D215" s="50"/>
      <c r="E215" s="50"/>
      <c r="F215" s="50"/>
      <c r="G215" s="50"/>
      <c r="H215" s="50"/>
      <c r="I215" s="114"/>
      <c r="J215" s="55"/>
      <c r="K215" s="55"/>
      <c r="L215" s="95"/>
      <c r="M215" s="50"/>
      <c r="N215" s="50"/>
      <c r="O215" s="50"/>
      <c r="P215" s="50"/>
      <c r="Q215" s="50"/>
      <c r="R215" s="50"/>
      <c r="S215" s="114"/>
    </row>
    <row r="216" spans="2:22">
      <c r="B216" s="95"/>
      <c r="C216" s="50"/>
      <c r="D216" s="50"/>
      <c r="E216" s="50"/>
      <c r="F216" s="50"/>
      <c r="G216" s="50"/>
      <c r="H216" s="50"/>
      <c r="I216" s="114"/>
      <c r="J216" s="55"/>
      <c r="K216" s="55"/>
      <c r="L216" s="95"/>
      <c r="M216" s="50"/>
      <c r="N216" s="50"/>
      <c r="O216" s="50"/>
      <c r="P216" s="50"/>
      <c r="Q216" s="50"/>
      <c r="R216" s="50"/>
      <c r="S216" s="114"/>
    </row>
    <row r="217" spans="2:22">
      <c r="B217" s="95"/>
      <c r="C217" s="50"/>
      <c r="D217" s="50"/>
      <c r="E217" s="50"/>
      <c r="F217" s="50"/>
      <c r="G217" s="50"/>
      <c r="H217" s="50"/>
      <c r="I217" s="114"/>
      <c r="J217" s="55"/>
      <c r="K217" s="55"/>
      <c r="L217" s="95"/>
      <c r="M217" s="50"/>
      <c r="N217" s="50"/>
      <c r="O217" s="50"/>
      <c r="P217" s="50"/>
      <c r="Q217" s="50"/>
      <c r="R217" s="50"/>
      <c r="S217" s="114"/>
    </row>
    <row r="218" spans="2:22">
      <c r="B218" s="95"/>
      <c r="C218" s="50"/>
      <c r="D218" s="50"/>
      <c r="E218" s="50"/>
      <c r="F218" s="50"/>
      <c r="G218" s="50"/>
      <c r="H218" s="50"/>
      <c r="I218" s="114"/>
      <c r="J218" s="55"/>
      <c r="K218" s="55"/>
      <c r="L218" s="95"/>
      <c r="M218" s="50"/>
      <c r="N218" s="50"/>
      <c r="O218" s="50"/>
      <c r="P218" s="50"/>
      <c r="Q218" s="50"/>
      <c r="R218" s="50"/>
      <c r="S218" s="114"/>
    </row>
    <row r="219" spans="2:22">
      <c r="B219" s="95"/>
      <c r="C219" s="50"/>
      <c r="D219" s="50"/>
      <c r="E219" s="50"/>
      <c r="F219" s="50"/>
      <c r="G219" s="50"/>
      <c r="H219" s="50"/>
      <c r="I219" s="114"/>
      <c r="J219" s="55"/>
      <c r="K219" s="55"/>
      <c r="L219" s="95"/>
      <c r="M219" s="50"/>
      <c r="N219" s="50"/>
      <c r="O219" s="50"/>
      <c r="P219" s="50"/>
      <c r="Q219" s="50"/>
      <c r="R219" s="50"/>
      <c r="S219" s="114"/>
    </row>
    <row r="220" spans="2:22" ht="15" thickBot="1">
      <c r="B220" s="97"/>
      <c r="C220" s="105"/>
      <c r="D220" s="105"/>
      <c r="E220" s="105"/>
      <c r="F220" s="105"/>
      <c r="G220" s="105"/>
      <c r="H220" s="105"/>
      <c r="I220" s="115"/>
      <c r="J220" s="55"/>
      <c r="K220" s="55"/>
      <c r="L220" s="97"/>
      <c r="M220" s="105"/>
      <c r="N220" s="105"/>
      <c r="O220" s="105"/>
      <c r="P220" s="105"/>
      <c r="Q220" s="105"/>
      <c r="R220" s="105"/>
      <c r="S220" s="115"/>
    </row>
    <row r="221" spans="2:22" ht="15" thickBot="1"/>
    <row r="222" spans="2:22" ht="18.75" thickBot="1">
      <c r="B222" s="501" t="s">
        <v>361</v>
      </c>
      <c r="C222" s="502"/>
      <c r="D222" s="502"/>
      <c r="E222" s="502"/>
      <c r="F222" s="502"/>
      <c r="G222" s="502"/>
      <c r="H222" s="502"/>
      <c r="I222" s="503"/>
      <c r="K222" s="508" t="s">
        <v>362</v>
      </c>
      <c r="L222" s="509"/>
      <c r="M222" s="509"/>
      <c r="N222" s="509"/>
      <c r="O222" s="509"/>
      <c r="P222" s="509"/>
      <c r="Q222" s="509"/>
      <c r="R222" s="509"/>
      <c r="S222" s="509"/>
      <c r="T222" s="509"/>
      <c r="U222" s="509"/>
      <c r="V222" s="510"/>
    </row>
    <row r="223" spans="2:22" ht="15" thickBot="1">
      <c r="B223" s="133" t="s">
        <v>106</v>
      </c>
      <c r="C223" s="134" t="s">
        <v>363</v>
      </c>
      <c r="D223" s="134" t="s">
        <v>242</v>
      </c>
      <c r="E223" s="134" t="s">
        <v>243</v>
      </c>
      <c r="F223" s="134" t="s">
        <v>364</v>
      </c>
      <c r="G223" s="134" t="s">
        <v>365</v>
      </c>
      <c r="H223" s="134" t="s">
        <v>73</v>
      </c>
      <c r="I223" s="135" t="s">
        <v>109</v>
      </c>
      <c r="K223" s="122" t="s">
        <v>119</v>
      </c>
      <c r="L223" s="46" t="s">
        <v>366</v>
      </c>
      <c r="M223" s="46"/>
      <c r="N223" s="46"/>
      <c r="O223" s="46"/>
      <c r="P223" s="46"/>
      <c r="Q223" s="46"/>
      <c r="R223" s="46"/>
      <c r="S223" s="46"/>
      <c r="T223" s="46"/>
      <c r="U223" s="46"/>
      <c r="V223" s="104"/>
    </row>
    <row r="224" spans="2:22">
      <c r="B224" s="130">
        <v>1</v>
      </c>
      <c r="C224" s="70">
        <f>'Project Summary'!$C$11</f>
        <v>0</v>
      </c>
      <c r="D224" s="70">
        <f>'Project Summary'!$C$12</f>
        <v>0</v>
      </c>
      <c r="E224" s="70" t="str">
        <f>CONCATENATE(C224, " ", D224)</f>
        <v>0 0</v>
      </c>
      <c r="F224" s="70">
        <f>'Premium Eff Motor'!D8</f>
        <v>0</v>
      </c>
      <c r="G224" s="70" t="e">
        <f>VLOOKUP(F224,$B$237:$C$241,2,FALSE)</f>
        <v>#N/A</v>
      </c>
      <c r="H224" s="131" t="e">
        <f>VLOOKUP(E224,$D$74:$I$220,G224,FALSE)</f>
        <v>#N/A</v>
      </c>
      <c r="I224" s="132" t="e">
        <f>VLOOKUP(E224,$N$74:$S$220,G224,FALSE)</f>
        <v>#N/A</v>
      </c>
      <c r="K224" s="122"/>
      <c r="L224" s="46">
        <v>0</v>
      </c>
      <c r="M224" s="46">
        <v>10</v>
      </c>
      <c r="N224" s="46">
        <v>20</v>
      </c>
      <c r="O224" s="46">
        <v>30</v>
      </c>
      <c r="P224" s="46">
        <v>40</v>
      </c>
      <c r="Q224" s="46">
        <v>50</v>
      </c>
      <c r="R224" s="46">
        <v>60</v>
      </c>
      <c r="S224" s="46">
        <v>70</v>
      </c>
      <c r="T224" s="46">
        <v>80</v>
      </c>
      <c r="U224" s="46">
        <v>90</v>
      </c>
      <c r="V224" s="104">
        <v>100</v>
      </c>
    </row>
    <row r="225" spans="2:23">
      <c r="B225" s="127">
        <v>2</v>
      </c>
      <c r="C225" s="58">
        <f>'Project Summary'!$C$11</f>
        <v>0</v>
      </c>
      <c r="D225" s="58">
        <f>'Project Summary'!$C$12</f>
        <v>0</v>
      </c>
      <c r="E225" s="58" t="str">
        <f t="shared" ref="E225:E233" si="14">CONCATENATE(C225, " ", D225)</f>
        <v>0 0</v>
      </c>
      <c r="F225" s="58">
        <f>'Premium Eff Motor'!D9</f>
        <v>0</v>
      </c>
      <c r="G225" s="58" t="e">
        <f t="shared" ref="G225:G233" si="15">VLOOKUP(F225,$B$237:$C$241,2,FALSE)</f>
        <v>#N/A</v>
      </c>
      <c r="H225" s="120" t="e">
        <f t="shared" ref="H225:H233" si="16">VLOOKUP(E225,$D$74:$I$220,G225,FALSE)</f>
        <v>#N/A</v>
      </c>
      <c r="I225" s="132" t="e">
        <f t="shared" ref="I225:I233" si="17">VLOOKUP(E225,$N$74:$S$220,G225,FALSE)</f>
        <v>#N/A</v>
      </c>
      <c r="K225" s="122" t="s">
        <v>367</v>
      </c>
      <c r="L225" s="176">
        <v>0</v>
      </c>
      <c r="M225" s="176">
        <v>0</v>
      </c>
      <c r="N225" s="176">
        <v>0</v>
      </c>
      <c r="O225" s="176">
        <v>0</v>
      </c>
      <c r="P225" s="176">
        <v>0</v>
      </c>
      <c r="Q225" s="176">
        <v>0.1</v>
      </c>
      <c r="R225" s="176">
        <v>0.2</v>
      </c>
      <c r="S225" s="176">
        <v>0.3</v>
      </c>
      <c r="T225" s="176">
        <v>0.2</v>
      </c>
      <c r="U225" s="176">
        <v>0.15</v>
      </c>
      <c r="V225" s="177">
        <v>0.05</v>
      </c>
    </row>
    <row r="226" spans="2:23" ht="15" thickBot="1">
      <c r="B226" s="127">
        <v>3</v>
      </c>
      <c r="C226" s="58">
        <f>'Project Summary'!$C$11</f>
        <v>0</v>
      </c>
      <c r="D226" s="58">
        <f>'Project Summary'!$C$12</f>
        <v>0</v>
      </c>
      <c r="E226" s="58" t="str">
        <f t="shared" si="14"/>
        <v>0 0</v>
      </c>
      <c r="F226" s="58">
        <f>'Premium Eff Motor'!D10</f>
        <v>0</v>
      </c>
      <c r="G226" s="58" t="e">
        <f t="shared" si="15"/>
        <v>#N/A</v>
      </c>
      <c r="H226" s="120" t="e">
        <f t="shared" si="16"/>
        <v>#N/A</v>
      </c>
      <c r="I226" s="132" t="e">
        <f t="shared" si="17"/>
        <v>#N/A</v>
      </c>
      <c r="K226" s="123" t="s">
        <v>368</v>
      </c>
      <c r="L226" s="178">
        <v>0</v>
      </c>
      <c r="M226" s="178">
        <v>0</v>
      </c>
      <c r="N226" s="178">
        <v>0</v>
      </c>
      <c r="O226" s="178">
        <v>0.05</v>
      </c>
      <c r="P226" s="178">
        <v>0.1</v>
      </c>
      <c r="Q226" s="178">
        <v>0.2</v>
      </c>
      <c r="R226" s="178">
        <v>0.3</v>
      </c>
      <c r="S226" s="178">
        <v>0.2</v>
      </c>
      <c r="T226" s="178">
        <v>0.1</v>
      </c>
      <c r="U226" s="178">
        <v>0.05</v>
      </c>
      <c r="V226" s="179">
        <v>0</v>
      </c>
    </row>
    <row r="227" spans="2:23">
      <c r="B227" s="127">
        <v>4</v>
      </c>
      <c r="C227" s="58">
        <f>'Project Summary'!$C$11</f>
        <v>0</v>
      </c>
      <c r="D227" s="58">
        <f>'Project Summary'!$C$12</f>
        <v>0</v>
      </c>
      <c r="E227" s="58" t="str">
        <f t="shared" si="14"/>
        <v>0 0</v>
      </c>
      <c r="F227" s="58">
        <f>'Premium Eff Motor'!D11</f>
        <v>0</v>
      </c>
      <c r="G227" s="58" t="e">
        <f t="shared" si="15"/>
        <v>#N/A</v>
      </c>
      <c r="H227" s="120" t="e">
        <f t="shared" si="16"/>
        <v>#N/A</v>
      </c>
      <c r="I227" s="132" t="e">
        <f t="shared" si="17"/>
        <v>#N/A</v>
      </c>
      <c r="K227" s="508" t="s">
        <v>369</v>
      </c>
      <c r="L227" s="509"/>
      <c r="M227" s="509"/>
      <c r="N227" s="509"/>
      <c r="O227" s="509"/>
      <c r="P227" s="509"/>
      <c r="Q227" s="509"/>
      <c r="R227" s="509"/>
      <c r="S227" s="509"/>
      <c r="T227" s="509"/>
      <c r="U227" s="509"/>
      <c r="V227" s="510"/>
    </row>
    <row r="228" spans="2:23">
      <c r="B228" s="127">
        <v>5</v>
      </c>
      <c r="C228" s="58">
        <f>'Project Summary'!$C$11</f>
        <v>0</v>
      </c>
      <c r="D228" s="58">
        <f>'Project Summary'!$C$12</f>
        <v>0</v>
      </c>
      <c r="E228" s="58" t="str">
        <f t="shared" si="14"/>
        <v>0 0</v>
      </c>
      <c r="F228" s="58">
        <f>'Premium Eff Motor'!D12</f>
        <v>0</v>
      </c>
      <c r="G228" s="58" t="e">
        <f t="shared" si="15"/>
        <v>#N/A</v>
      </c>
      <c r="H228" s="120" t="e">
        <f t="shared" si="16"/>
        <v>#N/A</v>
      </c>
      <c r="I228" s="132" t="e">
        <f t="shared" si="17"/>
        <v>#N/A</v>
      </c>
      <c r="K228" s="122" t="s">
        <v>370</v>
      </c>
      <c r="L228" s="46" t="s">
        <v>366</v>
      </c>
      <c r="M228" s="46"/>
      <c r="N228" s="46"/>
      <c r="O228" s="46"/>
      <c r="P228" s="46"/>
      <c r="Q228" s="46"/>
      <c r="R228" s="46"/>
      <c r="S228" s="46"/>
      <c r="T228" s="46"/>
      <c r="U228" s="46"/>
      <c r="V228" s="104"/>
    </row>
    <row r="229" spans="2:23">
      <c r="B229" s="127">
        <v>6</v>
      </c>
      <c r="C229" s="58">
        <f>'Project Summary'!$C$11</f>
        <v>0</v>
      </c>
      <c r="D229" s="58">
        <f>'Project Summary'!$C$12</f>
        <v>0</v>
      </c>
      <c r="E229" s="58" t="str">
        <f t="shared" si="14"/>
        <v>0 0</v>
      </c>
      <c r="F229" s="58">
        <f>'Premium Eff Motor'!D13</f>
        <v>0</v>
      </c>
      <c r="G229" s="58" t="e">
        <f t="shared" si="15"/>
        <v>#N/A</v>
      </c>
      <c r="H229" s="120" t="e">
        <f t="shared" si="16"/>
        <v>#N/A</v>
      </c>
      <c r="I229" s="132" t="e">
        <f t="shared" si="17"/>
        <v>#N/A</v>
      </c>
      <c r="K229" s="122"/>
      <c r="L229" s="46">
        <v>0</v>
      </c>
      <c r="M229" s="46">
        <v>10</v>
      </c>
      <c r="N229" s="46">
        <v>20</v>
      </c>
      <c r="O229" s="46">
        <v>30</v>
      </c>
      <c r="P229" s="46">
        <v>40</v>
      </c>
      <c r="Q229" s="46">
        <v>50</v>
      </c>
      <c r="R229" s="46">
        <v>60</v>
      </c>
      <c r="S229" s="46">
        <v>70</v>
      </c>
      <c r="T229" s="46">
        <v>80</v>
      </c>
      <c r="U229" s="46">
        <v>90</v>
      </c>
      <c r="V229" s="104">
        <v>100</v>
      </c>
    </row>
    <row r="230" spans="2:23">
      <c r="B230" s="127">
        <v>7</v>
      </c>
      <c r="C230" s="58">
        <f>'Project Summary'!$C$11</f>
        <v>0</v>
      </c>
      <c r="D230" s="58">
        <f>'Project Summary'!$C$12</f>
        <v>0</v>
      </c>
      <c r="E230" s="58" t="str">
        <f t="shared" si="14"/>
        <v>0 0</v>
      </c>
      <c r="F230" s="58">
        <f>'Premium Eff Motor'!D14</f>
        <v>0</v>
      </c>
      <c r="G230" s="58" t="e">
        <f t="shared" si="15"/>
        <v>#N/A</v>
      </c>
      <c r="H230" s="120" t="e">
        <f t="shared" si="16"/>
        <v>#N/A</v>
      </c>
      <c r="I230" s="132" t="e">
        <f t="shared" si="17"/>
        <v>#N/A</v>
      </c>
      <c r="K230" s="122" t="s">
        <v>371</v>
      </c>
      <c r="L230" s="46">
        <v>1</v>
      </c>
      <c r="M230" s="46">
        <v>1</v>
      </c>
      <c r="N230" s="46">
        <v>1</v>
      </c>
      <c r="O230" s="46">
        <v>1</v>
      </c>
      <c r="P230" s="46">
        <v>1</v>
      </c>
      <c r="Q230" s="46">
        <v>1</v>
      </c>
      <c r="R230" s="46">
        <v>1</v>
      </c>
      <c r="S230" s="46">
        <v>1</v>
      </c>
      <c r="T230" s="46">
        <v>1</v>
      </c>
      <c r="U230" s="46">
        <v>1</v>
      </c>
      <c r="V230" s="104">
        <v>1</v>
      </c>
      <c r="W230" s="2">
        <f>SUMPRODUCT($L$225:$V$225,L230:V230)</f>
        <v>1</v>
      </c>
    </row>
    <row r="231" spans="2:23">
      <c r="B231" s="127">
        <v>8</v>
      </c>
      <c r="C231" s="58">
        <f>'Project Summary'!$C$11</f>
        <v>0</v>
      </c>
      <c r="D231" s="58">
        <f>'Project Summary'!$C$12</f>
        <v>0</v>
      </c>
      <c r="E231" s="58" t="str">
        <f t="shared" si="14"/>
        <v>0 0</v>
      </c>
      <c r="F231" s="58">
        <f>'Premium Eff Motor'!D15</f>
        <v>0</v>
      </c>
      <c r="G231" s="58" t="e">
        <f t="shared" si="15"/>
        <v>#N/A</v>
      </c>
      <c r="H231" s="120" t="e">
        <f t="shared" si="16"/>
        <v>#N/A</v>
      </c>
      <c r="I231" s="132" t="e">
        <f t="shared" si="17"/>
        <v>#N/A</v>
      </c>
      <c r="K231" s="122" t="s">
        <v>372</v>
      </c>
      <c r="L231" s="46">
        <v>0.5</v>
      </c>
      <c r="M231" s="46">
        <v>0.5</v>
      </c>
      <c r="N231" s="46">
        <v>0.5</v>
      </c>
      <c r="O231" s="46">
        <v>0.5</v>
      </c>
      <c r="P231" s="46">
        <v>0.5</v>
      </c>
      <c r="Q231" s="46">
        <v>0.5</v>
      </c>
      <c r="R231" s="46">
        <v>1</v>
      </c>
      <c r="S231" s="46">
        <v>1</v>
      </c>
      <c r="T231" s="46">
        <v>1</v>
      </c>
      <c r="U231" s="46">
        <v>1</v>
      </c>
      <c r="V231" s="104">
        <v>1</v>
      </c>
      <c r="W231" s="2">
        <f>SUMPRODUCT($L$225:$V$225,L231:V231)</f>
        <v>0.95000000000000007</v>
      </c>
    </row>
    <row r="232" spans="2:23">
      <c r="B232" s="127">
        <v>9</v>
      </c>
      <c r="C232" s="58">
        <f>'Project Summary'!$C$11</f>
        <v>0</v>
      </c>
      <c r="D232" s="58">
        <f>'Project Summary'!$C$12</f>
        <v>0</v>
      </c>
      <c r="E232" s="58" t="str">
        <f t="shared" si="14"/>
        <v>0 0</v>
      </c>
      <c r="F232" s="58">
        <f>'Premium Eff Motor'!D16</f>
        <v>0</v>
      </c>
      <c r="G232" s="58" t="e">
        <f t="shared" si="15"/>
        <v>#N/A</v>
      </c>
      <c r="H232" s="120" t="e">
        <f t="shared" si="16"/>
        <v>#N/A</v>
      </c>
      <c r="I232" s="132" t="e">
        <f t="shared" si="17"/>
        <v>#N/A</v>
      </c>
      <c r="K232" s="122" t="s">
        <v>373</v>
      </c>
      <c r="L232" s="46">
        <v>0.56000000000000005</v>
      </c>
      <c r="M232" s="46">
        <v>0.53</v>
      </c>
      <c r="N232" s="46">
        <v>0.53</v>
      </c>
      <c r="O232" s="46">
        <v>0.56999999999999995</v>
      </c>
      <c r="P232" s="46">
        <v>0.64</v>
      </c>
      <c r="Q232" s="46">
        <v>0.72</v>
      </c>
      <c r="R232" s="46">
        <v>0.8</v>
      </c>
      <c r="S232" s="46">
        <v>0.89</v>
      </c>
      <c r="T232" s="46">
        <v>0.96</v>
      </c>
      <c r="U232" s="46">
        <v>1.02</v>
      </c>
      <c r="V232" s="104">
        <v>1.05</v>
      </c>
      <c r="W232" s="2">
        <f t="shared" ref="W232:W236" si="18">SUMPRODUCT($L$225:$V$225,L232:V232)</f>
        <v>0.89650000000000007</v>
      </c>
    </row>
    <row r="233" spans="2:23" ht="15" thickBot="1">
      <c r="B233" s="128">
        <v>10</v>
      </c>
      <c r="C233" s="66">
        <f>'Project Summary'!$C$11</f>
        <v>0</v>
      </c>
      <c r="D233" s="66">
        <f>'Project Summary'!$C$12</f>
        <v>0</v>
      </c>
      <c r="E233" s="66" t="str">
        <f t="shared" si="14"/>
        <v>0 0</v>
      </c>
      <c r="F233" s="66">
        <f>'Premium Eff Motor'!D17</f>
        <v>0</v>
      </c>
      <c r="G233" s="66" t="e">
        <f t="shared" si="15"/>
        <v>#N/A</v>
      </c>
      <c r="H233" s="129" t="e">
        <f t="shared" si="16"/>
        <v>#N/A</v>
      </c>
      <c r="I233" s="132" t="e">
        <f t="shared" si="17"/>
        <v>#N/A</v>
      </c>
      <c r="K233" s="122" t="s">
        <v>374</v>
      </c>
      <c r="L233" s="46">
        <v>0.47</v>
      </c>
      <c r="M233" s="46">
        <v>0.53</v>
      </c>
      <c r="N233" s="46">
        <v>0.56000000000000005</v>
      </c>
      <c r="O233" s="46">
        <v>0.56999999999999995</v>
      </c>
      <c r="P233" s="46">
        <v>0.59</v>
      </c>
      <c r="Q233" s="46">
        <v>0.6</v>
      </c>
      <c r="R233" s="46">
        <v>0.62</v>
      </c>
      <c r="S233" s="46">
        <v>0.67</v>
      </c>
      <c r="T233" s="46">
        <v>0.74</v>
      </c>
      <c r="U233" s="46">
        <v>0.85</v>
      </c>
      <c r="V233" s="104">
        <v>1</v>
      </c>
      <c r="W233" s="2">
        <f t="shared" si="18"/>
        <v>0.71050000000000013</v>
      </c>
    </row>
    <row r="234" spans="2:23" ht="15" thickBot="1">
      <c r="K234" s="122" t="s">
        <v>375</v>
      </c>
      <c r="L234" s="46">
        <v>0.2</v>
      </c>
      <c r="M234" s="46">
        <v>0.22</v>
      </c>
      <c r="N234" s="46">
        <v>0.26</v>
      </c>
      <c r="O234" s="46">
        <v>0.3</v>
      </c>
      <c r="P234" s="46">
        <v>0.37</v>
      </c>
      <c r="Q234" s="46">
        <v>0.45</v>
      </c>
      <c r="R234" s="46">
        <v>0.54</v>
      </c>
      <c r="S234" s="46">
        <v>0.65</v>
      </c>
      <c r="T234" s="46">
        <v>0.77</v>
      </c>
      <c r="U234" s="46">
        <v>0.91</v>
      </c>
      <c r="V234" s="104">
        <v>1.06</v>
      </c>
      <c r="W234" s="2">
        <f t="shared" si="18"/>
        <v>0.69150000000000011</v>
      </c>
    </row>
    <row r="235" spans="2:23" ht="18.75" thickBot="1">
      <c r="B235" s="522" t="s">
        <v>376</v>
      </c>
      <c r="C235" s="523"/>
      <c r="E235" s="518" t="s">
        <v>377</v>
      </c>
      <c r="F235" s="519"/>
      <c r="G235" s="520"/>
      <c r="K235" s="122" t="s">
        <v>378</v>
      </c>
      <c r="L235" s="46">
        <v>0.2</v>
      </c>
      <c r="M235" s="46">
        <v>0.21</v>
      </c>
      <c r="N235" s="46">
        <v>0.22</v>
      </c>
      <c r="O235" s="46">
        <v>0.23</v>
      </c>
      <c r="P235" s="46">
        <v>0.26</v>
      </c>
      <c r="Q235" s="46">
        <v>0.31</v>
      </c>
      <c r="R235" s="46">
        <v>0.39</v>
      </c>
      <c r="S235" s="46">
        <v>0.49</v>
      </c>
      <c r="T235" s="46">
        <v>0.63</v>
      </c>
      <c r="U235" s="46">
        <v>0.81</v>
      </c>
      <c r="V235" s="104">
        <v>1.04</v>
      </c>
      <c r="W235" s="2">
        <f t="shared" si="18"/>
        <v>0.5555000000000001</v>
      </c>
    </row>
    <row r="236" spans="2:23" ht="15" thickBot="1">
      <c r="B236" s="139" t="s">
        <v>242</v>
      </c>
      <c r="C236" s="140" t="s">
        <v>379</v>
      </c>
      <c r="E236" s="133" t="s">
        <v>242</v>
      </c>
      <c r="F236" s="134" t="s">
        <v>79</v>
      </c>
      <c r="G236" s="135" t="s">
        <v>81</v>
      </c>
      <c r="K236" s="123" t="s">
        <v>380</v>
      </c>
      <c r="L236" s="106">
        <v>0.05</v>
      </c>
      <c r="M236" s="106">
        <v>0.05</v>
      </c>
      <c r="N236" s="106">
        <v>0.05</v>
      </c>
      <c r="O236" s="106">
        <v>0.08</v>
      </c>
      <c r="P236" s="106">
        <v>0.13</v>
      </c>
      <c r="Q236" s="106">
        <v>0.2</v>
      </c>
      <c r="R236" s="106">
        <v>0.3</v>
      </c>
      <c r="S236" s="106">
        <v>0.43</v>
      </c>
      <c r="T236" s="106">
        <v>0.6</v>
      </c>
      <c r="U236" s="106">
        <v>0.8</v>
      </c>
      <c r="V236" s="107">
        <v>1.03</v>
      </c>
      <c r="W236" s="2">
        <f t="shared" si="18"/>
        <v>0.50050000000000006</v>
      </c>
    </row>
    <row r="237" spans="2:23">
      <c r="B237" s="138" t="s">
        <v>193</v>
      </c>
      <c r="C237" s="126">
        <v>2</v>
      </c>
      <c r="E237" s="124" t="s">
        <v>371</v>
      </c>
      <c r="F237" s="125">
        <v>0.53400000000000003</v>
      </c>
      <c r="G237" s="126">
        <v>0.34699999999999998</v>
      </c>
      <c r="K237" s="508" t="s">
        <v>381</v>
      </c>
      <c r="L237" s="509"/>
      <c r="M237" s="509"/>
      <c r="N237" s="509"/>
      <c r="O237" s="509"/>
      <c r="P237" s="509"/>
      <c r="Q237" s="509"/>
      <c r="R237" s="509"/>
      <c r="S237" s="509"/>
      <c r="T237" s="509"/>
      <c r="U237" s="509"/>
      <c r="V237" s="510"/>
    </row>
    <row r="238" spans="2:23">
      <c r="B238" s="136" t="s">
        <v>187</v>
      </c>
      <c r="C238" s="104">
        <v>3</v>
      </c>
      <c r="E238" s="122" t="s">
        <v>382</v>
      </c>
      <c r="F238" s="46">
        <v>0.35399999999999998</v>
      </c>
      <c r="G238" s="104">
        <v>0.26</v>
      </c>
      <c r="K238" s="122" t="s">
        <v>370</v>
      </c>
      <c r="L238" s="46" t="s">
        <v>366</v>
      </c>
      <c r="M238" s="46"/>
      <c r="N238" s="46"/>
      <c r="O238" s="46"/>
      <c r="P238" s="46"/>
      <c r="Q238" s="46"/>
      <c r="R238" s="46"/>
      <c r="S238" s="46"/>
      <c r="T238" s="46"/>
      <c r="U238" s="46"/>
      <c r="V238" s="104"/>
    </row>
    <row r="239" spans="2:23" ht="28.5">
      <c r="B239" s="136" t="s">
        <v>199</v>
      </c>
      <c r="C239" s="104">
        <v>4</v>
      </c>
      <c r="E239" s="122" t="s">
        <v>383</v>
      </c>
      <c r="F239" s="46">
        <v>0.22700000000000001</v>
      </c>
      <c r="G239" s="104">
        <v>0.13</v>
      </c>
      <c r="K239" s="122"/>
      <c r="L239" s="46">
        <v>0</v>
      </c>
      <c r="M239" s="46">
        <v>10</v>
      </c>
      <c r="N239" s="46">
        <v>20</v>
      </c>
      <c r="O239" s="46">
        <v>30</v>
      </c>
      <c r="P239" s="46">
        <v>40</v>
      </c>
      <c r="Q239" s="46">
        <v>50</v>
      </c>
      <c r="R239" s="46">
        <v>60</v>
      </c>
      <c r="S239" s="46">
        <v>70</v>
      </c>
      <c r="T239" s="46">
        <v>80</v>
      </c>
      <c r="U239" s="46">
        <v>90</v>
      </c>
      <c r="V239" s="104">
        <v>100</v>
      </c>
    </row>
    <row r="240" spans="2:23" ht="28.5">
      <c r="B240" s="136" t="s">
        <v>196</v>
      </c>
      <c r="C240" s="104">
        <v>5</v>
      </c>
      <c r="E240" s="122" t="s">
        <v>375</v>
      </c>
      <c r="F240" s="46">
        <v>0.17899999999999999</v>
      </c>
      <c r="G240" s="104">
        <v>0.13600000000000001</v>
      </c>
      <c r="K240" s="122" t="s">
        <v>371</v>
      </c>
      <c r="L240" s="46">
        <v>1</v>
      </c>
      <c r="M240" s="46">
        <v>1</v>
      </c>
      <c r="N240" s="46">
        <v>1</v>
      </c>
      <c r="O240" s="46">
        <v>1</v>
      </c>
      <c r="P240" s="46">
        <v>1</v>
      </c>
      <c r="Q240" s="46">
        <v>1</v>
      </c>
      <c r="R240" s="46">
        <v>1</v>
      </c>
      <c r="S240" s="46">
        <v>1</v>
      </c>
      <c r="T240" s="46">
        <v>1</v>
      </c>
      <c r="U240" s="46">
        <v>1</v>
      </c>
      <c r="V240" s="104">
        <v>1</v>
      </c>
      <c r="W240" s="2">
        <f>SUMPRODUCT($L$226:$V$226,L240:V240)</f>
        <v>1</v>
      </c>
    </row>
    <row r="241" spans="2:23" ht="15" thickBot="1">
      <c r="B241" s="137" t="s">
        <v>181</v>
      </c>
      <c r="C241" s="107">
        <v>6</v>
      </c>
      <c r="E241" s="122" t="s">
        <v>384</v>
      </c>
      <c r="F241" s="46">
        <v>9.1999999999999998E-2</v>
      </c>
      <c r="G241" s="104">
        <v>2.9000000000000001E-2</v>
      </c>
      <c r="K241" s="122" t="s">
        <v>385</v>
      </c>
      <c r="L241" s="46">
        <v>0.55000000000000004</v>
      </c>
      <c r="M241" s="46">
        <v>0.61</v>
      </c>
      <c r="N241" s="46">
        <v>0.67</v>
      </c>
      <c r="O241" s="46">
        <v>0.73</v>
      </c>
      <c r="P241" s="46">
        <v>0.78</v>
      </c>
      <c r="Q241" s="46">
        <v>0.82</v>
      </c>
      <c r="R241" s="46">
        <v>0.87</v>
      </c>
      <c r="S241" s="46">
        <v>0.9</v>
      </c>
      <c r="T241" s="46">
        <v>0.94</v>
      </c>
      <c r="U241" s="46">
        <v>0.97</v>
      </c>
      <c r="V241" s="104">
        <v>1</v>
      </c>
      <c r="W241" s="2">
        <f t="shared" ref="W241:W242" si="19">SUMPRODUCT($L$226:$V$226,L241:V241)</f>
        <v>0.8620000000000001</v>
      </c>
    </row>
    <row r="242" spans="2:23" ht="15" thickBot="1">
      <c r="E242" s="122" t="s">
        <v>193</v>
      </c>
      <c r="F242" s="46">
        <v>0.41099999999999998</v>
      </c>
      <c r="G242" s="104">
        <v>0.29899999999999999</v>
      </c>
      <c r="K242" s="123" t="s">
        <v>380</v>
      </c>
      <c r="L242" s="106">
        <v>0.27</v>
      </c>
      <c r="M242" s="106">
        <v>0.19</v>
      </c>
      <c r="N242" s="106">
        <v>0.14000000000000001</v>
      </c>
      <c r="O242" s="106">
        <v>0.13</v>
      </c>
      <c r="P242" s="106">
        <v>0.15</v>
      </c>
      <c r="Q242" s="106">
        <v>0.21</v>
      </c>
      <c r="R242" s="106">
        <v>0.3</v>
      </c>
      <c r="S242" s="106">
        <v>0.43</v>
      </c>
      <c r="T242" s="106">
        <v>0.6</v>
      </c>
      <c r="U242" s="106">
        <v>0.79</v>
      </c>
      <c r="V242" s="107">
        <v>1.03</v>
      </c>
      <c r="W242" s="2">
        <f t="shared" si="19"/>
        <v>0.33899999999999997</v>
      </c>
    </row>
    <row r="243" spans="2:23" ht="15" thickBot="1">
      <c r="E243" s="123" t="s">
        <v>386</v>
      </c>
      <c r="F243" s="106">
        <v>0.42399999999999999</v>
      </c>
      <c r="G243" s="107">
        <v>0</v>
      </c>
    </row>
    <row r="244" spans="2:23" ht="15" thickBot="1"/>
    <row r="245" spans="2:23" ht="18.75" thickBot="1">
      <c r="B245" s="501" t="s">
        <v>387</v>
      </c>
      <c r="C245" s="502"/>
      <c r="D245" s="502"/>
      <c r="E245" s="502"/>
      <c r="F245" s="502"/>
      <c r="G245" s="502"/>
      <c r="H245" s="502"/>
      <c r="I245" s="503"/>
    </row>
    <row r="246" spans="2:23" ht="15" thickBot="1">
      <c r="B246" s="141" t="s">
        <v>106</v>
      </c>
      <c r="C246" s="74" t="s">
        <v>363</v>
      </c>
      <c r="D246" s="74" t="s">
        <v>242</v>
      </c>
      <c r="E246" s="74" t="s">
        <v>243</v>
      </c>
      <c r="F246" s="74" t="s">
        <v>364</v>
      </c>
      <c r="G246" s="74" t="s">
        <v>365</v>
      </c>
      <c r="H246" s="74" t="s">
        <v>73</v>
      </c>
      <c r="I246" s="76" t="s">
        <v>109</v>
      </c>
    </row>
    <row r="247" spans="2:23">
      <c r="B247" s="142">
        <v>1</v>
      </c>
      <c r="C247" s="143">
        <f>'Project Summary'!$C$11</f>
        <v>0</v>
      </c>
      <c r="D247" s="143">
        <f>'Project Summary'!$C$12</f>
        <v>0</v>
      </c>
      <c r="E247" s="143" t="str">
        <f>CONCATENATE(C247, " ", D247)</f>
        <v>0 0</v>
      </c>
      <c r="F247" s="143">
        <f>VFDs!G8</f>
        <v>0</v>
      </c>
      <c r="G247" s="143" t="e">
        <f>VLOOKUP(F247,$B$236:$C$241,2,FALSE)</f>
        <v>#N/A</v>
      </c>
      <c r="H247" s="143" t="e">
        <f>VLOOKUP(E247,$D$74:$I$220,G247,FALSE)</f>
        <v>#N/A</v>
      </c>
      <c r="I247" s="144" t="e">
        <f>VLOOKUP(E247,$N$74:$S$220,G247,FALSE)</f>
        <v>#N/A</v>
      </c>
    </row>
    <row r="248" spans="2:23">
      <c r="B248" s="127">
        <v>2</v>
      </c>
      <c r="C248" s="58">
        <f>'Project Summary'!$C$11</f>
        <v>0</v>
      </c>
      <c r="D248" s="58">
        <f>'Project Summary'!$C$12</f>
        <v>0</v>
      </c>
      <c r="E248" s="58" t="str">
        <f t="shared" ref="E248:E256" si="20">CONCATENATE(C248, " ", D248)</f>
        <v>0 0</v>
      </c>
      <c r="F248" s="58">
        <f>VFDs!G9</f>
        <v>0</v>
      </c>
      <c r="G248" s="58" t="e">
        <f t="shared" ref="G248:G256" si="21">VLOOKUP(F248,$B$236:$C$241,2,FALSE)</f>
        <v>#N/A</v>
      </c>
      <c r="H248" s="58" t="e">
        <f t="shared" ref="H248:H256" si="22">VLOOKUP(E248,$D$74:$I$220,G248,FALSE)</f>
        <v>#N/A</v>
      </c>
      <c r="I248" s="60" t="e">
        <f t="shared" ref="I248:I256" si="23">VLOOKUP(E248,$N$74:$S$220,G248,FALSE)</f>
        <v>#N/A</v>
      </c>
    </row>
    <row r="249" spans="2:23">
      <c r="B249" s="127">
        <v>3</v>
      </c>
      <c r="C249" s="58">
        <f>'Project Summary'!$C$11</f>
        <v>0</v>
      </c>
      <c r="D249" s="58">
        <f>'Project Summary'!$C$12</f>
        <v>0</v>
      </c>
      <c r="E249" s="58" t="str">
        <f t="shared" si="20"/>
        <v>0 0</v>
      </c>
      <c r="F249" s="58">
        <f>VFDs!G10</f>
        <v>0</v>
      </c>
      <c r="G249" s="58" t="e">
        <f t="shared" si="21"/>
        <v>#N/A</v>
      </c>
      <c r="H249" s="58" t="e">
        <f t="shared" si="22"/>
        <v>#N/A</v>
      </c>
      <c r="I249" s="60" t="e">
        <f t="shared" si="23"/>
        <v>#N/A</v>
      </c>
    </row>
    <row r="250" spans="2:23">
      <c r="B250" s="127">
        <v>4</v>
      </c>
      <c r="C250" s="58">
        <f>'Project Summary'!$C$11</f>
        <v>0</v>
      </c>
      <c r="D250" s="58">
        <f>'Project Summary'!$C$12</f>
        <v>0</v>
      </c>
      <c r="E250" s="58" t="str">
        <f t="shared" si="20"/>
        <v>0 0</v>
      </c>
      <c r="F250" s="58">
        <f>VFDs!G11</f>
        <v>0</v>
      </c>
      <c r="G250" s="58" t="e">
        <f t="shared" si="21"/>
        <v>#N/A</v>
      </c>
      <c r="H250" s="58" t="e">
        <f t="shared" si="22"/>
        <v>#N/A</v>
      </c>
      <c r="I250" s="60" t="e">
        <f t="shared" si="23"/>
        <v>#N/A</v>
      </c>
    </row>
    <row r="251" spans="2:23">
      <c r="B251" s="127">
        <v>5</v>
      </c>
      <c r="C251" s="58">
        <f>'Project Summary'!$C$11</f>
        <v>0</v>
      </c>
      <c r="D251" s="58">
        <f>'Project Summary'!$C$12</f>
        <v>0</v>
      </c>
      <c r="E251" s="58" t="str">
        <f t="shared" si="20"/>
        <v>0 0</v>
      </c>
      <c r="F251" s="58">
        <f>VFDs!G12</f>
        <v>0</v>
      </c>
      <c r="G251" s="58" t="e">
        <f t="shared" si="21"/>
        <v>#N/A</v>
      </c>
      <c r="H251" s="58" t="e">
        <f t="shared" si="22"/>
        <v>#N/A</v>
      </c>
      <c r="I251" s="60" t="e">
        <f t="shared" si="23"/>
        <v>#N/A</v>
      </c>
    </row>
    <row r="252" spans="2:23">
      <c r="B252" s="127">
        <v>6</v>
      </c>
      <c r="C252" s="58">
        <f>'Project Summary'!$C$11</f>
        <v>0</v>
      </c>
      <c r="D252" s="58">
        <f>'Project Summary'!$C$12</f>
        <v>0</v>
      </c>
      <c r="E252" s="58" t="str">
        <f t="shared" si="20"/>
        <v>0 0</v>
      </c>
      <c r="F252" s="58">
        <f>VFDs!G13</f>
        <v>0</v>
      </c>
      <c r="G252" s="58" t="e">
        <f t="shared" si="21"/>
        <v>#N/A</v>
      </c>
      <c r="H252" s="58" t="e">
        <f t="shared" si="22"/>
        <v>#N/A</v>
      </c>
      <c r="I252" s="60" t="e">
        <f t="shared" si="23"/>
        <v>#N/A</v>
      </c>
    </row>
    <row r="253" spans="2:23">
      <c r="B253" s="127">
        <v>7</v>
      </c>
      <c r="C253" s="58">
        <f>'Project Summary'!$C$11</f>
        <v>0</v>
      </c>
      <c r="D253" s="58">
        <f>'Project Summary'!$C$12</f>
        <v>0</v>
      </c>
      <c r="E253" s="58" t="str">
        <f t="shared" si="20"/>
        <v>0 0</v>
      </c>
      <c r="F253" s="58">
        <f>VFDs!G14</f>
        <v>0</v>
      </c>
      <c r="G253" s="58" t="e">
        <f t="shared" si="21"/>
        <v>#N/A</v>
      </c>
      <c r="H253" s="58" t="e">
        <f t="shared" si="22"/>
        <v>#N/A</v>
      </c>
      <c r="I253" s="60" t="e">
        <f t="shared" si="23"/>
        <v>#N/A</v>
      </c>
    </row>
    <row r="254" spans="2:23">
      <c r="B254" s="127">
        <v>8</v>
      </c>
      <c r="C254" s="58">
        <f>'Project Summary'!$C$11</f>
        <v>0</v>
      </c>
      <c r="D254" s="58">
        <f>'Project Summary'!$C$12</f>
        <v>0</v>
      </c>
      <c r="E254" s="58" t="str">
        <f t="shared" si="20"/>
        <v>0 0</v>
      </c>
      <c r="F254" s="58">
        <f>VFDs!G15</f>
        <v>0</v>
      </c>
      <c r="G254" s="58" t="e">
        <f t="shared" si="21"/>
        <v>#N/A</v>
      </c>
      <c r="H254" s="58" t="e">
        <f t="shared" si="22"/>
        <v>#N/A</v>
      </c>
      <c r="I254" s="60" t="e">
        <f t="shared" si="23"/>
        <v>#N/A</v>
      </c>
    </row>
    <row r="255" spans="2:23">
      <c r="B255" s="127">
        <v>9</v>
      </c>
      <c r="C255" s="58">
        <f>'Project Summary'!$C$11</f>
        <v>0</v>
      </c>
      <c r="D255" s="58">
        <f>'Project Summary'!$C$12</f>
        <v>0</v>
      </c>
      <c r="E255" s="58" t="str">
        <f t="shared" si="20"/>
        <v>0 0</v>
      </c>
      <c r="F255" s="58">
        <f>VFDs!G16</f>
        <v>0</v>
      </c>
      <c r="G255" s="58" t="e">
        <f t="shared" si="21"/>
        <v>#N/A</v>
      </c>
      <c r="H255" s="58" t="e">
        <f t="shared" si="22"/>
        <v>#N/A</v>
      </c>
      <c r="I255" s="60" t="e">
        <f t="shared" si="23"/>
        <v>#N/A</v>
      </c>
    </row>
    <row r="256" spans="2:23" ht="15" thickBot="1">
      <c r="B256" s="128">
        <v>10</v>
      </c>
      <c r="C256" s="66">
        <f>'Project Summary'!$C$11</f>
        <v>0</v>
      </c>
      <c r="D256" s="66">
        <f>'Project Summary'!$C$12</f>
        <v>0</v>
      </c>
      <c r="E256" s="66" t="str">
        <f t="shared" si="20"/>
        <v>0 0</v>
      </c>
      <c r="F256" s="66">
        <f>VFDs!G17</f>
        <v>0</v>
      </c>
      <c r="G256" s="66" t="e">
        <f t="shared" si="21"/>
        <v>#N/A</v>
      </c>
      <c r="H256" s="66" t="e">
        <f t="shared" si="22"/>
        <v>#N/A</v>
      </c>
      <c r="I256" s="67" t="e">
        <f t="shared" si="23"/>
        <v>#N/A</v>
      </c>
    </row>
    <row r="258" spans="2:24" ht="18">
      <c r="B258" s="511" t="s">
        <v>388</v>
      </c>
      <c r="C258" s="512"/>
      <c r="D258" s="512"/>
      <c r="E258" s="512"/>
      <c r="F258" s="512"/>
      <c r="G258" s="512"/>
      <c r="H258" s="512"/>
      <c r="I258" s="512"/>
      <c r="J258" s="512"/>
      <c r="K258" s="512"/>
      <c r="M258" s="511" t="s">
        <v>389</v>
      </c>
      <c r="N258" s="512"/>
      <c r="O258" s="512"/>
      <c r="P258" s="512"/>
      <c r="Q258" s="512"/>
      <c r="R258" s="512"/>
      <c r="S258" s="512"/>
      <c r="T258" s="512"/>
      <c r="U258" s="512"/>
      <c r="V258" s="512"/>
      <c r="X258" s="2"/>
    </row>
    <row r="259" spans="2:24" ht="15" thickBot="1">
      <c r="B259" s="133" t="s">
        <v>390</v>
      </c>
      <c r="C259" s="134" t="s">
        <v>177</v>
      </c>
      <c r="D259" s="134" t="s">
        <v>183</v>
      </c>
      <c r="E259" s="134" t="s">
        <v>189</v>
      </c>
      <c r="F259" s="134" t="s">
        <v>194</v>
      </c>
      <c r="G259" s="134" t="s">
        <v>197</v>
      </c>
      <c r="H259" s="134" t="s">
        <v>200</v>
      </c>
      <c r="I259" s="134" t="s">
        <v>202</v>
      </c>
      <c r="J259" s="134" t="s">
        <v>204</v>
      </c>
      <c r="K259" s="134" t="s">
        <v>391</v>
      </c>
      <c r="M259" s="133" t="s">
        <v>390</v>
      </c>
      <c r="N259" s="134" t="s">
        <v>177</v>
      </c>
      <c r="O259" s="134" t="s">
        <v>183</v>
      </c>
      <c r="P259" s="134" t="s">
        <v>189</v>
      </c>
      <c r="Q259" s="134" t="s">
        <v>194</v>
      </c>
      <c r="R259" s="134" t="s">
        <v>197</v>
      </c>
      <c r="S259" s="134" t="s">
        <v>200</v>
      </c>
      <c r="T259" s="134" t="s">
        <v>202</v>
      </c>
      <c r="U259" s="134" t="s">
        <v>204</v>
      </c>
      <c r="V259" s="134" t="s">
        <v>391</v>
      </c>
      <c r="X259" s="2"/>
    </row>
    <row r="260" spans="2:24">
      <c r="B260" s="124" t="s">
        <v>178</v>
      </c>
      <c r="C260" s="125">
        <v>719</v>
      </c>
      <c r="D260" s="125">
        <v>984</v>
      </c>
      <c r="E260" s="183">
        <v>1078</v>
      </c>
      <c r="F260" s="125">
        <v>857</v>
      </c>
      <c r="G260" s="125">
        <v>552</v>
      </c>
      <c r="H260" s="125">
        <v>464</v>
      </c>
      <c r="I260" s="125">
        <v>651</v>
      </c>
      <c r="J260" s="125">
        <v>824</v>
      </c>
      <c r="K260" s="125">
        <v>655</v>
      </c>
      <c r="M260" s="124" t="s">
        <v>178</v>
      </c>
      <c r="N260" s="125">
        <v>640</v>
      </c>
      <c r="O260" s="125">
        <v>440</v>
      </c>
      <c r="P260" s="125">
        <v>369</v>
      </c>
      <c r="Q260" s="125">
        <v>478</v>
      </c>
      <c r="R260" s="125">
        <v>657</v>
      </c>
      <c r="S260" s="125">
        <v>734</v>
      </c>
      <c r="T260" s="125">
        <v>594</v>
      </c>
      <c r="U260" s="125">
        <v>533</v>
      </c>
      <c r="V260" s="125">
        <v>595</v>
      </c>
      <c r="X260" s="2"/>
    </row>
    <row r="261" spans="2:24">
      <c r="B261" s="122" t="s">
        <v>184</v>
      </c>
      <c r="C261" s="46">
        <v>636</v>
      </c>
      <c r="D261" s="46">
        <v>910</v>
      </c>
      <c r="E261" s="184">
        <v>1018</v>
      </c>
      <c r="F261" s="46">
        <v>666</v>
      </c>
      <c r="G261" s="46">
        <v>741</v>
      </c>
      <c r="H261" s="46">
        <v>646</v>
      </c>
      <c r="I261" s="46">
        <v>884</v>
      </c>
      <c r="J261" s="46">
        <v>925</v>
      </c>
      <c r="K261" s="46">
        <v>655</v>
      </c>
      <c r="M261" s="122" t="s">
        <v>184</v>
      </c>
      <c r="N261" s="46">
        <v>267</v>
      </c>
      <c r="O261" s="46">
        <v>163</v>
      </c>
      <c r="P261" s="46">
        <v>139</v>
      </c>
      <c r="Q261" s="46">
        <v>185</v>
      </c>
      <c r="R261" s="46">
        <v>310</v>
      </c>
      <c r="S261" s="46">
        <v>345</v>
      </c>
      <c r="T261" s="46">
        <v>273</v>
      </c>
      <c r="U261" s="46">
        <v>217</v>
      </c>
      <c r="V261" s="46">
        <v>239</v>
      </c>
      <c r="X261" s="2"/>
    </row>
    <row r="262" spans="2:24">
      <c r="B262" s="122" t="s">
        <v>190</v>
      </c>
      <c r="C262" s="46">
        <v>733</v>
      </c>
      <c r="D262" s="184">
        <v>1068</v>
      </c>
      <c r="E262" s="184">
        <v>1068</v>
      </c>
      <c r="F262" s="46">
        <v>534</v>
      </c>
      <c r="G262" s="184">
        <v>1269</v>
      </c>
      <c r="H262" s="184">
        <v>1217</v>
      </c>
      <c r="I262" s="184">
        <v>564</v>
      </c>
      <c r="J262" s="184">
        <v>1737</v>
      </c>
      <c r="K262" s="184">
        <v>1419</v>
      </c>
      <c r="M262" s="122" t="s">
        <v>190</v>
      </c>
      <c r="N262" s="46">
        <v>654</v>
      </c>
      <c r="O262" s="46">
        <v>542</v>
      </c>
      <c r="P262" s="46">
        <v>542</v>
      </c>
      <c r="Q262" s="46">
        <v>636</v>
      </c>
      <c r="R262" s="46">
        <v>453</v>
      </c>
      <c r="S262" s="46">
        <v>536</v>
      </c>
      <c r="T262" s="46">
        <v>638</v>
      </c>
      <c r="U262" s="46">
        <v>434</v>
      </c>
      <c r="V262" s="46">
        <v>442</v>
      </c>
      <c r="X262" s="2"/>
    </row>
    <row r="263" spans="2:24">
      <c r="B263" s="122" t="s">
        <v>195</v>
      </c>
      <c r="C263" s="46">
        <v>147</v>
      </c>
      <c r="D263" s="46">
        <v>81</v>
      </c>
      <c r="E263" s="46">
        <v>71</v>
      </c>
      <c r="F263" s="46">
        <v>95</v>
      </c>
      <c r="G263" s="46">
        <v>361</v>
      </c>
      <c r="H263" s="46">
        <v>345</v>
      </c>
      <c r="I263" s="46">
        <v>418</v>
      </c>
      <c r="J263" s="46">
        <v>106</v>
      </c>
      <c r="K263" s="46">
        <v>154</v>
      </c>
      <c r="M263" s="122" t="s">
        <v>195</v>
      </c>
      <c r="N263" s="184">
        <v>1030</v>
      </c>
      <c r="O263" s="46">
        <v>977</v>
      </c>
      <c r="P263" s="46">
        <v>977</v>
      </c>
      <c r="Q263" s="184">
        <v>1038</v>
      </c>
      <c r="R263" s="46">
        <v>892</v>
      </c>
      <c r="S263" s="184">
        <v>1059</v>
      </c>
      <c r="T263" s="184">
        <v>788</v>
      </c>
      <c r="U263" s="184">
        <v>1022</v>
      </c>
      <c r="V263" s="184">
        <v>1013</v>
      </c>
      <c r="X263" s="2"/>
    </row>
    <row r="264" spans="2:24">
      <c r="B264" s="122" t="s">
        <v>198</v>
      </c>
      <c r="C264" s="46">
        <v>944</v>
      </c>
      <c r="D264" s="184">
        <v>1432</v>
      </c>
      <c r="E264" s="184">
        <v>1630</v>
      </c>
      <c r="F264" s="184">
        <v>1304</v>
      </c>
      <c r="G264" s="46">
        <v>854</v>
      </c>
      <c r="H264" s="46">
        <v>805</v>
      </c>
      <c r="I264" s="184">
        <v>1023</v>
      </c>
      <c r="J264" s="184">
        <v>1193</v>
      </c>
      <c r="K264" s="184">
        <v>958</v>
      </c>
      <c r="M264" s="122" t="s">
        <v>198</v>
      </c>
      <c r="N264" s="46">
        <v>477</v>
      </c>
      <c r="O264" s="46">
        <v>397</v>
      </c>
      <c r="P264" s="46">
        <v>350</v>
      </c>
      <c r="Q264" s="46">
        <v>481</v>
      </c>
      <c r="R264" s="46">
        <v>540</v>
      </c>
      <c r="S264" s="46">
        <v>684</v>
      </c>
      <c r="T264" s="46">
        <v>511</v>
      </c>
      <c r="U264" s="46">
        <v>467</v>
      </c>
      <c r="V264" s="46">
        <v>476</v>
      </c>
      <c r="X264" s="2"/>
    </row>
    <row r="265" spans="2:24">
      <c r="B265" s="122" t="s">
        <v>201</v>
      </c>
      <c r="C265" s="46">
        <v>406</v>
      </c>
      <c r="D265" s="46">
        <v>500</v>
      </c>
      <c r="E265" s="46">
        <v>568</v>
      </c>
      <c r="F265" s="46">
        <v>473</v>
      </c>
      <c r="G265" s="46">
        <v>374</v>
      </c>
      <c r="H265" s="46">
        <v>339</v>
      </c>
      <c r="I265" s="46">
        <v>400</v>
      </c>
      <c r="J265" s="46">
        <v>441</v>
      </c>
      <c r="K265" s="46">
        <v>346</v>
      </c>
      <c r="M265" s="122" t="s">
        <v>201</v>
      </c>
      <c r="N265" s="46">
        <v>570</v>
      </c>
      <c r="O265" s="46">
        <v>361</v>
      </c>
      <c r="P265" s="46">
        <v>309</v>
      </c>
      <c r="Q265" s="46">
        <v>411</v>
      </c>
      <c r="R265" s="46">
        <v>616</v>
      </c>
      <c r="S265" s="46">
        <v>682</v>
      </c>
      <c r="T265" s="46">
        <v>530</v>
      </c>
      <c r="U265" s="46">
        <v>445</v>
      </c>
      <c r="V265" s="46">
        <v>478</v>
      </c>
      <c r="X265" s="2"/>
    </row>
    <row r="266" spans="2:24">
      <c r="B266" s="122" t="s">
        <v>203</v>
      </c>
      <c r="C266" s="184">
        <v>1178</v>
      </c>
      <c r="D266" s="184">
        <v>1489</v>
      </c>
      <c r="E266" s="184">
        <v>1719</v>
      </c>
      <c r="F266" s="184">
        <v>1437</v>
      </c>
      <c r="G266" s="184">
        <v>1098</v>
      </c>
      <c r="H266" s="184">
        <v>1121</v>
      </c>
      <c r="I266" s="184">
        <v>1163</v>
      </c>
      <c r="J266" s="184">
        <v>1401</v>
      </c>
      <c r="K266" s="184">
        <v>1066</v>
      </c>
      <c r="M266" s="122" t="s">
        <v>203</v>
      </c>
      <c r="N266" s="46">
        <v>753</v>
      </c>
      <c r="O266" s="46">
        <v>516</v>
      </c>
      <c r="P266" s="46">
        <v>455</v>
      </c>
      <c r="Q266" s="46">
        <v>607</v>
      </c>
      <c r="R266" s="46">
        <v>820</v>
      </c>
      <c r="S266" s="184">
        <v>1087</v>
      </c>
      <c r="T266" s="184">
        <v>706</v>
      </c>
      <c r="U266" s="184">
        <v>629</v>
      </c>
      <c r="V266" s="184">
        <v>685</v>
      </c>
      <c r="X266" s="2"/>
    </row>
    <row r="267" spans="2:24">
      <c r="B267" s="122" t="s">
        <v>205</v>
      </c>
      <c r="C267" s="184">
        <v>2371</v>
      </c>
      <c r="D267" s="184">
        <v>3219</v>
      </c>
      <c r="E267" s="184">
        <v>3846</v>
      </c>
      <c r="F267" s="184">
        <v>3077</v>
      </c>
      <c r="G267" s="184">
        <v>2159</v>
      </c>
      <c r="H267" s="184">
        <v>2017</v>
      </c>
      <c r="I267" s="184">
        <v>2411</v>
      </c>
      <c r="J267" s="184">
        <v>2591</v>
      </c>
      <c r="K267" s="184">
        <v>2403</v>
      </c>
      <c r="M267" s="122" t="s">
        <v>205</v>
      </c>
      <c r="N267" s="184">
        <v>1386</v>
      </c>
      <c r="O267" s="184">
        <v>1205</v>
      </c>
      <c r="P267" s="184">
        <v>1084</v>
      </c>
      <c r="Q267" s="184">
        <v>1392</v>
      </c>
      <c r="R267" s="184">
        <v>1523</v>
      </c>
      <c r="S267" s="184">
        <v>1732</v>
      </c>
      <c r="T267" s="184">
        <v>1478</v>
      </c>
      <c r="U267" s="184">
        <v>1348</v>
      </c>
      <c r="V267" s="184">
        <v>1384</v>
      </c>
      <c r="X267" s="2"/>
    </row>
    <row r="268" spans="2:24">
      <c r="B268" s="122" t="s">
        <v>207</v>
      </c>
      <c r="C268" s="46">
        <v>277</v>
      </c>
      <c r="D268" s="46">
        <v>320</v>
      </c>
      <c r="E268" s="46">
        <v>354</v>
      </c>
      <c r="F268" s="46">
        <v>322</v>
      </c>
      <c r="G268" s="46">
        <v>263</v>
      </c>
      <c r="H268" s="46">
        <v>259</v>
      </c>
      <c r="I268" s="46">
        <v>264</v>
      </c>
      <c r="J268" s="46">
        <v>281</v>
      </c>
      <c r="K268" s="46">
        <v>278</v>
      </c>
      <c r="M268" s="122" t="s">
        <v>207</v>
      </c>
      <c r="N268" s="184">
        <v>1395</v>
      </c>
      <c r="O268" s="46">
        <v>654</v>
      </c>
      <c r="P268" s="46">
        <v>577</v>
      </c>
      <c r="Q268" s="46">
        <v>769</v>
      </c>
      <c r="R268" s="184">
        <v>1482</v>
      </c>
      <c r="S268" s="184">
        <v>1647</v>
      </c>
      <c r="T268" s="184">
        <v>1176</v>
      </c>
      <c r="U268" s="184">
        <v>991</v>
      </c>
      <c r="V268" s="184">
        <v>1052</v>
      </c>
      <c r="X268" s="2"/>
    </row>
    <row r="269" spans="2:24">
      <c r="B269" s="122" t="s">
        <v>208</v>
      </c>
      <c r="C269" s="46">
        <v>321</v>
      </c>
      <c r="D269" s="46">
        <v>159</v>
      </c>
      <c r="E269" s="46">
        <v>527</v>
      </c>
      <c r="F269" s="46">
        <v>422</v>
      </c>
      <c r="G269" s="46">
        <v>330</v>
      </c>
      <c r="H269" s="46">
        <v>281</v>
      </c>
      <c r="I269" s="46">
        <v>344</v>
      </c>
      <c r="J269" s="46">
        <v>329</v>
      </c>
      <c r="K269" s="46">
        <v>340</v>
      </c>
      <c r="M269" s="122" t="s">
        <v>208</v>
      </c>
      <c r="N269" s="46">
        <v>458</v>
      </c>
      <c r="O269" s="46">
        <v>213</v>
      </c>
      <c r="P269" s="46">
        <v>323</v>
      </c>
      <c r="Q269" s="46">
        <v>412</v>
      </c>
      <c r="R269" s="46">
        <v>565</v>
      </c>
      <c r="S269" s="46">
        <v>704</v>
      </c>
      <c r="T269" s="46">
        <v>721</v>
      </c>
      <c r="U269" s="46">
        <v>500</v>
      </c>
      <c r="V269" s="46">
        <v>466</v>
      </c>
      <c r="X269" s="2"/>
    </row>
    <row r="270" spans="2:24">
      <c r="B270" s="122" t="s">
        <v>209</v>
      </c>
      <c r="C270" s="184">
        <v>1151</v>
      </c>
      <c r="D270" s="184">
        <v>1865</v>
      </c>
      <c r="E270" s="184">
        <v>2109</v>
      </c>
      <c r="F270" s="184">
        <v>1687</v>
      </c>
      <c r="G270" s="184">
        <v>1040</v>
      </c>
      <c r="H270" s="46">
        <v>993</v>
      </c>
      <c r="I270" s="184">
        <v>1340</v>
      </c>
      <c r="J270" s="184">
        <v>1501</v>
      </c>
      <c r="K270" s="184">
        <v>1241</v>
      </c>
      <c r="M270" s="122" t="s">
        <v>209</v>
      </c>
      <c r="N270" s="46">
        <v>550</v>
      </c>
      <c r="O270" s="46">
        <v>429</v>
      </c>
      <c r="P270" s="46">
        <v>374</v>
      </c>
      <c r="Q270" s="46">
        <v>513</v>
      </c>
      <c r="R270" s="46">
        <v>590</v>
      </c>
      <c r="S270" s="46">
        <v>791</v>
      </c>
      <c r="T270" s="46">
        <v>632</v>
      </c>
      <c r="U270" s="46">
        <v>522</v>
      </c>
      <c r="V270" s="46">
        <v>594</v>
      </c>
      <c r="X270" s="2"/>
    </row>
    <row r="271" spans="2:24">
      <c r="B271" s="122" t="s">
        <v>210</v>
      </c>
      <c r="C271" s="46">
        <v>809</v>
      </c>
      <c r="D271" s="184">
        <v>1085</v>
      </c>
      <c r="E271" s="184">
        <v>1221</v>
      </c>
      <c r="F271" s="46">
        <v>980</v>
      </c>
      <c r="G271" s="46">
        <v>648</v>
      </c>
      <c r="H271" s="46">
        <v>632</v>
      </c>
      <c r="I271" s="184">
        <v>781</v>
      </c>
      <c r="J271" s="184">
        <v>855</v>
      </c>
      <c r="K271" s="184">
        <v>675</v>
      </c>
      <c r="M271" s="122" t="s">
        <v>210</v>
      </c>
      <c r="N271" s="46">
        <v>735</v>
      </c>
      <c r="O271" s="46">
        <v>535</v>
      </c>
      <c r="P271" s="46">
        <v>464</v>
      </c>
      <c r="Q271" s="46">
        <v>620</v>
      </c>
      <c r="R271" s="46">
        <v>742</v>
      </c>
      <c r="S271" s="46">
        <v>911</v>
      </c>
      <c r="T271" s="46">
        <v>816</v>
      </c>
      <c r="U271" s="46">
        <v>603</v>
      </c>
      <c r="V271" s="46">
        <v>648</v>
      </c>
      <c r="X271" s="2"/>
    </row>
    <row r="272" spans="2:24">
      <c r="B272" s="122" t="s">
        <v>211</v>
      </c>
      <c r="C272" s="46">
        <v>847</v>
      </c>
      <c r="D272" s="184">
        <v>1108</v>
      </c>
      <c r="E272" s="184">
        <v>1258</v>
      </c>
      <c r="F272" s="184">
        <v>1114</v>
      </c>
      <c r="G272" s="46">
        <v>843</v>
      </c>
      <c r="H272" s="46">
        <v>900</v>
      </c>
      <c r="I272" s="184">
        <v>978</v>
      </c>
      <c r="J272" s="184">
        <v>1008</v>
      </c>
      <c r="K272" s="184">
        <v>800</v>
      </c>
      <c r="M272" s="122" t="s">
        <v>211</v>
      </c>
      <c r="N272" s="46">
        <v>174</v>
      </c>
      <c r="O272" s="46">
        <v>97</v>
      </c>
      <c r="P272" s="46">
        <v>86</v>
      </c>
      <c r="Q272" s="46">
        <v>114</v>
      </c>
      <c r="R272" s="46">
        <v>235</v>
      </c>
      <c r="S272" s="46">
        <v>346</v>
      </c>
      <c r="T272" s="46">
        <v>192</v>
      </c>
      <c r="U272" s="46">
        <v>130</v>
      </c>
      <c r="V272" s="46">
        <v>178</v>
      </c>
      <c r="X272" s="2"/>
    </row>
    <row r="273" spans="2:25">
      <c r="B273" s="122" t="s">
        <v>212</v>
      </c>
      <c r="C273" s="46">
        <v>363</v>
      </c>
      <c r="D273" s="46">
        <v>613</v>
      </c>
      <c r="E273" s="46">
        <v>668</v>
      </c>
      <c r="F273" s="46">
        <v>534</v>
      </c>
      <c r="G273" s="46">
        <v>307</v>
      </c>
      <c r="H273" s="46">
        <v>222</v>
      </c>
      <c r="I273" s="46">
        <v>409</v>
      </c>
      <c r="J273" s="46">
        <v>439</v>
      </c>
      <c r="K273" s="46">
        <v>328</v>
      </c>
      <c r="M273" s="122" t="s">
        <v>212</v>
      </c>
      <c r="N273" s="184">
        <v>3130</v>
      </c>
      <c r="O273" s="184">
        <v>3048</v>
      </c>
      <c r="P273" s="184">
        <v>3010</v>
      </c>
      <c r="Q273" s="184">
        <v>3080</v>
      </c>
      <c r="R273" s="184">
        <v>3163</v>
      </c>
      <c r="S273" s="184">
        <v>3200</v>
      </c>
      <c r="T273" s="184">
        <v>3116</v>
      </c>
      <c r="U273" s="184">
        <v>3094</v>
      </c>
      <c r="V273" s="184">
        <v>3135</v>
      </c>
      <c r="X273" s="2"/>
    </row>
    <row r="274" spans="2:25" ht="15" thickBot="1">
      <c r="K274" s="5"/>
      <c r="L274" s="5"/>
      <c r="M274" s="5"/>
      <c r="N274" s="5"/>
      <c r="O274" s="5"/>
      <c r="P274" s="5"/>
      <c r="Q274" s="5"/>
      <c r="R274" s="5"/>
    </row>
    <row r="275" spans="2:25" ht="18.75" thickBot="1">
      <c r="B275" s="513" t="s">
        <v>392</v>
      </c>
      <c r="C275" s="514"/>
      <c r="D275" s="514"/>
      <c r="E275" s="514"/>
      <c r="F275" s="514"/>
      <c r="G275" s="514"/>
      <c r="H275" s="514"/>
      <c r="I275" s="514"/>
      <c r="J275" s="514"/>
      <c r="K275" s="514"/>
      <c r="M275" s="41" t="s">
        <v>393</v>
      </c>
      <c r="O275" s="182" t="s">
        <v>364</v>
      </c>
      <c r="P275" s="446" t="s">
        <v>394</v>
      </c>
      <c r="Q275" s="521"/>
      <c r="R275" s="521"/>
      <c r="X275" s="2"/>
      <c r="Y275" s="2"/>
    </row>
    <row r="276" spans="2:25" ht="15" thickBot="1">
      <c r="B276" s="133" t="s">
        <v>390</v>
      </c>
      <c r="C276" s="134" t="s">
        <v>177</v>
      </c>
      <c r="D276" s="134" t="s">
        <v>183</v>
      </c>
      <c r="E276" s="134" t="s">
        <v>189</v>
      </c>
      <c r="F276" s="134" t="s">
        <v>194</v>
      </c>
      <c r="G276" s="134" t="s">
        <v>197</v>
      </c>
      <c r="H276" s="134" t="s">
        <v>200</v>
      </c>
      <c r="I276" s="134" t="s">
        <v>202</v>
      </c>
      <c r="J276" s="134" t="s">
        <v>204</v>
      </c>
      <c r="K276" s="134" t="s">
        <v>391</v>
      </c>
      <c r="M276" s="49" t="s">
        <v>395</v>
      </c>
      <c r="O276" s="175" t="s">
        <v>396</v>
      </c>
      <c r="P276" s="167">
        <v>0.4</v>
      </c>
      <c r="Q276" s="180"/>
      <c r="R276" s="180"/>
      <c r="X276" s="2"/>
      <c r="Y276" s="2"/>
    </row>
    <row r="277" spans="2:25" ht="15" thickBot="1">
      <c r="B277" s="124" t="s">
        <v>178</v>
      </c>
      <c r="C277" s="125">
        <v>0.48</v>
      </c>
      <c r="D277" s="125">
        <v>0.4</v>
      </c>
      <c r="E277" s="125">
        <v>0.37</v>
      </c>
      <c r="F277" s="125">
        <v>0.38</v>
      </c>
      <c r="G277" s="125">
        <v>0.48</v>
      </c>
      <c r="H277" s="125">
        <v>0.51</v>
      </c>
      <c r="I277" s="125">
        <v>0.48</v>
      </c>
      <c r="J277" s="125">
        <v>0.45</v>
      </c>
      <c r="K277" s="125">
        <v>0.49</v>
      </c>
      <c r="M277" s="47" t="s">
        <v>397</v>
      </c>
      <c r="O277" s="175" t="s">
        <v>398</v>
      </c>
      <c r="P277" s="167">
        <v>0.5</v>
      </c>
      <c r="Q277" s="180"/>
      <c r="R277" s="180"/>
      <c r="X277" s="2"/>
      <c r="Y277" s="2"/>
    </row>
    <row r="278" spans="2:25" ht="15" thickBot="1">
      <c r="B278" s="122" t="s">
        <v>184</v>
      </c>
      <c r="C278" s="46">
        <v>0.12</v>
      </c>
      <c r="D278" s="46">
        <v>0.09</v>
      </c>
      <c r="E278" s="46">
        <v>7.0000000000000007E-2</v>
      </c>
      <c r="F278" s="46">
        <v>0.09</v>
      </c>
      <c r="G278" s="46">
        <v>0.18</v>
      </c>
      <c r="H278" s="46">
        <v>0.19</v>
      </c>
      <c r="I278" s="46">
        <v>0.18</v>
      </c>
      <c r="J278" s="46">
        <v>0.13</v>
      </c>
      <c r="K278" s="46">
        <v>0.15</v>
      </c>
      <c r="M278" s="47" t="s">
        <v>399</v>
      </c>
      <c r="O278" s="175" t="s">
        <v>148</v>
      </c>
      <c r="P278" s="167">
        <v>0.7</v>
      </c>
      <c r="Q278" s="180"/>
      <c r="R278" s="180"/>
      <c r="X278" s="2"/>
      <c r="Y278" s="2"/>
    </row>
    <row r="279" spans="2:25">
      <c r="B279" s="122" t="s">
        <v>190</v>
      </c>
      <c r="C279" s="46">
        <v>0.33</v>
      </c>
      <c r="D279" s="46">
        <v>0.26</v>
      </c>
      <c r="E279" s="46">
        <v>0.26</v>
      </c>
      <c r="F279" s="46">
        <v>0.27</v>
      </c>
      <c r="G279" s="46">
        <v>0.24</v>
      </c>
      <c r="H279" s="46">
        <v>0.26</v>
      </c>
      <c r="I279" s="46">
        <v>0.27</v>
      </c>
      <c r="J279" s="46">
        <v>0.21</v>
      </c>
      <c r="K279" s="46">
        <v>0.24</v>
      </c>
      <c r="M279" s="47" t="s">
        <v>400</v>
      </c>
      <c r="O279" s="180"/>
      <c r="P279" s="180"/>
      <c r="Q279" s="180"/>
      <c r="R279" s="180"/>
      <c r="X279" s="2"/>
      <c r="Y279" s="2"/>
    </row>
    <row r="280" spans="2:25">
      <c r="B280" s="122" t="s">
        <v>195</v>
      </c>
      <c r="C280" s="46">
        <v>0.43</v>
      </c>
      <c r="D280" s="46">
        <v>0.36</v>
      </c>
      <c r="E280" s="46">
        <v>0.34</v>
      </c>
      <c r="F280" s="46">
        <v>0.37</v>
      </c>
      <c r="G280" s="46">
        <v>0.39</v>
      </c>
      <c r="H280" s="46">
        <v>0.44</v>
      </c>
      <c r="I280" s="46">
        <v>0.39</v>
      </c>
      <c r="J280" s="46">
        <v>0.37</v>
      </c>
      <c r="K280" s="46">
        <v>0.42</v>
      </c>
      <c r="M280" s="47" t="s">
        <v>401</v>
      </c>
      <c r="O280" s="180"/>
      <c r="P280" s="180"/>
      <c r="Q280" s="180"/>
      <c r="R280" s="180"/>
      <c r="X280" s="2"/>
      <c r="Y280" s="2"/>
    </row>
    <row r="281" spans="2:25">
      <c r="B281" s="122" t="s">
        <v>198</v>
      </c>
      <c r="C281" s="46">
        <v>0.26</v>
      </c>
      <c r="D281" s="46">
        <v>0.25</v>
      </c>
      <c r="E281" s="46">
        <v>0.23</v>
      </c>
      <c r="F281" s="46">
        <v>0.27</v>
      </c>
      <c r="G281" s="46">
        <v>0.3</v>
      </c>
      <c r="H281" s="46">
        <v>0.34</v>
      </c>
      <c r="I281" s="46">
        <v>0.32</v>
      </c>
      <c r="J281" s="46">
        <v>0.28000000000000003</v>
      </c>
      <c r="K281" s="46">
        <v>0.28999999999999998</v>
      </c>
      <c r="M281" s="47" t="s">
        <v>402</v>
      </c>
      <c r="O281" s="180"/>
      <c r="P281" s="180"/>
      <c r="Q281" s="180"/>
      <c r="R281" s="180"/>
      <c r="X281" s="2"/>
      <c r="Y281" s="2"/>
    </row>
    <row r="282" spans="2:25" ht="15" thickBot="1">
      <c r="B282" s="122" t="s">
        <v>201</v>
      </c>
      <c r="C282" s="46">
        <v>0.51</v>
      </c>
      <c r="D282" s="46">
        <v>0.37</v>
      </c>
      <c r="E282" s="46">
        <v>0.33</v>
      </c>
      <c r="F282" s="46">
        <v>0.39</v>
      </c>
      <c r="G282" s="46">
        <v>0.55000000000000004</v>
      </c>
      <c r="H282" s="46">
        <v>0.6</v>
      </c>
      <c r="I282" s="46">
        <v>0.53</v>
      </c>
      <c r="J282" s="46">
        <v>0.45</v>
      </c>
      <c r="K282" s="46">
        <v>0.48</v>
      </c>
      <c r="M282" s="48" t="s">
        <v>403</v>
      </c>
      <c r="O282" s="180"/>
      <c r="P282" s="180"/>
      <c r="Q282" s="180"/>
      <c r="R282" s="180"/>
      <c r="X282" s="2"/>
      <c r="Y282" s="2"/>
    </row>
    <row r="283" spans="2:25">
      <c r="B283" s="122" t="s">
        <v>203</v>
      </c>
      <c r="C283" s="46">
        <v>0.53</v>
      </c>
      <c r="D283" s="46">
        <v>0.38</v>
      </c>
      <c r="E283" s="46">
        <v>0.34</v>
      </c>
      <c r="F283" s="46">
        <v>0.45</v>
      </c>
      <c r="G283" s="46">
        <v>0.6</v>
      </c>
      <c r="H283" s="46">
        <v>0.72</v>
      </c>
      <c r="I283" s="46">
        <v>0.56000000000000005</v>
      </c>
      <c r="J283" s="46">
        <v>0.48</v>
      </c>
      <c r="K283" s="46">
        <v>0.52</v>
      </c>
      <c r="X283" s="2"/>
      <c r="Y283" s="2"/>
    </row>
    <row r="284" spans="2:25">
      <c r="B284" s="122" t="s">
        <v>205</v>
      </c>
      <c r="C284" s="46">
        <v>0.72</v>
      </c>
      <c r="D284" s="46">
        <v>0.73</v>
      </c>
      <c r="E284" s="46">
        <v>0.71</v>
      </c>
      <c r="F284" s="46">
        <v>0.77</v>
      </c>
      <c r="G284" s="46">
        <v>0.78</v>
      </c>
      <c r="H284" s="46">
        <v>0.83</v>
      </c>
      <c r="I284" s="46">
        <v>0.83</v>
      </c>
      <c r="J284" s="46">
        <v>0.73</v>
      </c>
      <c r="K284" s="46">
        <v>0.78</v>
      </c>
      <c r="M284" s="180"/>
      <c r="N284" s="180"/>
      <c r="O284" s="180"/>
      <c r="P284" s="180"/>
      <c r="X284" s="2"/>
      <c r="Y284" s="2"/>
    </row>
    <row r="285" spans="2:25">
      <c r="B285" s="122" t="s">
        <v>207</v>
      </c>
      <c r="C285" s="46">
        <v>0.48</v>
      </c>
      <c r="D285" s="46">
        <v>0.48</v>
      </c>
      <c r="E285" s="46">
        <v>0.48</v>
      </c>
      <c r="F285" s="46">
        <v>0.48</v>
      </c>
      <c r="G285" s="46">
        <v>0.48</v>
      </c>
      <c r="H285" s="46">
        <v>0.48</v>
      </c>
      <c r="I285" s="46">
        <v>0.48</v>
      </c>
      <c r="J285" s="46">
        <v>0.48</v>
      </c>
      <c r="K285" s="46">
        <v>0.48</v>
      </c>
      <c r="M285" s="180"/>
      <c r="N285" s="180"/>
      <c r="O285" s="180"/>
      <c r="P285" s="180"/>
      <c r="X285" s="2"/>
      <c r="Y285" s="2"/>
    </row>
    <row r="286" spans="2:25" ht="18">
      <c r="B286" s="122" t="s">
        <v>208</v>
      </c>
      <c r="C286" s="46">
        <v>0.32</v>
      </c>
      <c r="D286" s="46">
        <v>0.16</v>
      </c>
      <c r="E286" s="46">
        <v>0.26</v>
      </c>
      <c r="F286" s="46">
        <v>0.31</v>
      </c>
      <c r="G286" s="46">
        <v>0.41</v>
      </c>
      <c r="H286" s="46">
        <v>0.27</v>
      </c>
      <c r="I286" s="46">
        <v>0.35</v>
      </c>
      <c r="J286" s="46">
        <v>0.36</v>
      </c>
      <c r="K286" s="46">
        <v>0.37</v>
      </c>
      <c r="M286" s="521"/>
      <c r="N286" s="521"/>
      <c r="O286" s="521"/>
      <c r="P286" s="521"/>
      <c r="X286" s="2"/>
      <c r="Y286" s="2"/>
    </row>
    <row r="287" spans="2:25">
      <c r="B287" s="122" t="s">
        <v>209</v>
      </c>
      <c r="C287" s="46">
        <v>0.38</v>
      </c>
      <c r="D287" s="46">
        <v>0.36</v>
      </c>
      <c r="E287" s="46">
        <v>0.33</v>
      </c>
      <c r="F287" s="46">
        <v>0.37</v>
      </c>
      <c r="G287" s="46">
        <v>0.42</v>
      </c>
      <c r="H287" s="46">
        <v>0.5</v>
      </c>
      <c r="I287" s="46">
        <v>0.49</v>
      </c>
      <c r="J287" s="46">
        <v>0.39</v>
      </c>
      <c r="K287" s="46">
        <v>0.45</v>
      </c>
      <c r="M287" s="181"/>
      <c r="N287" s="181"/>
      <c r="O287" s="181"/>
      <c r="P287" s="181"/>
      <c r="X287" s="2"/>
      <c r="Y287" s="2"/>
    </row>
    <row r="288" spans="2:25">
      <c r="B288" s="122" t="s">
        <v>210</v>
      </c>
      <c r="C288" s="46">
        <v>0.52</v>
      </c>
      <c r="D288" s="46">
        <v>0.45</v>
      </c>
      <c r="E288" s="46">
        <v>0.42</v>
      </c>
      <c r="F288" s="46">
        <v>0.46</v>
      </c>
      <c r="G288" s="46">
        <v>0.53</v>
      </c>
      <c r="H288" s="46">
        <v>0.56999999999999995</v>
      </c>
      <c r="I288" s="46">
        <v>0.56000000000000005</v>
      </c>
      <c r="J288" s="46">
        <v>0.47</v>
      </c>
      <c r="K288" s="46">
        <v>0.49</v>
      </c>
      <c r="M288" s="180"/>
      <c r="N288" s="180"/>
      <c r="O288" s="180"/>
      <c r="P288" s="180"/>
      <c r="X288" s="2"/>
      <c r="Y288" s="2"/>
    </row>
    <row r="289" spans="2:25">
      <c r="B289" s="122" t="s">
        <v>211</v>
      </c>
      <c r="C289" s="46">
        <v>0.18</v>
      </c>
      <c r="D289" s="46">
        <v>0.11</v>
      </c>
      <c r="E289" s="46">
        <v>0.1</v>
      </c>
      <c r="F289" s="46">
        <v>0.13</v>
      </c>
      <c r="G289" s="46">
        <v>0.24</v>
      </c>
      <c r="H289" s="46">
        <v>0.3</v>
      </c>
      <c r="I289" s="46">
        <v>0.23</v>
      </c>
      <c r="J289" s="46">
        <v>0.15</v>
      </c>
      <c r="K289" s="46">
        <v>0.2</v>
      </c>
      <c r="M289" s="180"/>
      <c r="N289" s="180"/>
      <c r="O289" s="180"/>
      <c r="P289" s="180"/>
      <c r="X289" s="2"/>
      <c r="Y289" s="2"/>
    </row>
    <row r="290" spans="2:25">
      <c r="B290" s="122" t="s">
        <v>212</v>
      </c>
      <c r="C290" s="46">
        <v>0.5</v>
      </c>
      <c r="D290" s="46">
        <v>0.47</v>
      </c>
      <c r="E290" s="46">
        <v>0.45</v>
      </c>
      <c r="F290" s="46">
        <v>0.48</v>
      </c>
      <c r="G290" s="46">
        <v>0.52</v>
      </c>
      <c r="H290" s="46">
        <v>0.53</v>
      </c>
      <c r="I290" s="46">
        <v>0.51</v>
      </c>
      <c r="J290" s="46">
        <v>0.48</v>
      </c>
      <c r="K290" s="46">
        <v>0.51</v>
      </c>
      <c r="M290" s="180"/>
      <c r="N290" s="180"/>
      <c r="O290" s="180"/>
      <c r="P290" s="180"/>
      <c r="X290" s="2"/>
      <c r="Y290" s="2"/>
    </row>
    <row r="291" spans="2:25" ht="15" thickBot="1">
      <c r="K291" s="180"/>
      <c r="L291" s="180"/>
      <c r="M291" s="180"/>
      <c r="N291" s="180"/>
    </row>
    <row r="292" spans="2:25" ht="18.75" thickBot="1">
      <c r="B292" s="41" t="s">
        <v>404</v>
      </c>
    </row>
    <row r="293" spans="2:25">
      <c r="B293" s="49" t="s">
        <v>405</v>
      </c>
    </row>
    <row r="294" spans="2:25">
      <c r="B294" s="47" t="s">
        <v>406</v>
      </c>
    </row>
    <row r="296" spans="2:25" ht="15" thickBot="1"/>
    <row r="297" spans="2:25" ht="18.75" thickBot="1">
      <c r="B297" s="501" t="s">
        <v>407</v>
      </c>
      <c r="C297" s="502"/>
      <c r="D297" s="502"/>
      <c r="E297" s="502"/>
      <c r="F297" s="502"/>
      <c r="G297" s="502"/>
      <c r="H297" s="502"/>
      <c r="I297" s="503"/>
      <c r="K297" s="504" t="s">
        <v>164</v>
      </c>
      <c r="L297" s="506" t="s">
        <v>408</v>
      </c>
      <c r="M297" s="507"/>
    </row>
    <row r="298" spans="2:25" ht="15" thickBot="1">
      <c r="B298" s="133" t="s">
        <v>106</v>
      </c>
      <c r="C298" s="134" t="s">
        <v>363</v>
      </c>
      <c r="D298" s="134" t="s">
        <v>242</v>
      </c>
      <c r="E298" s="134" t="s">
        <v>243</v>
      </c>
      <c r="F298" s="134" t="s">
        <v>364</v>
      </c>
      <c r="G298" s="134" t="s">
        <v>365</v>
      </c>
      <c r="H298" s="134" t="s">
        <v>73</v>
      </c>
      <c r="I298" s="135" t="s">
        <v>109</v>
      </c>
      <c r="K298" s="505"/>
      <c r="L298" s="174" t="s">
        <v>409</v>
      </c>
      <c r="M298" s="174" t="s">
        <v>410</v>
      </c>
    </row>
    <row r="299" spans="2:25" ht="15" thickBot="1">
      <c r="B299" s="130">
        <v>1</v>
      </c>
      <c r="C299" s="70">
        <f>'Project Summary'!$C$11</f>
        <v>0</v>
      </c>
      <c r="D299" s="70">
        <f>'Project Summary'!$C$12</f>
        <v>0</v>
      </c>
      <c r="E299" s="70" t="str">
        <f>CONCATENATE(C299, " ", D299)</f>
        <v>0 0</v>
      </c>
      <c r="F299" s="70">
        <f>'High Efficiency Pumps'!D8</f>
        <v>0</v>
      </c>
      <c r="G299" s="70" t="e">
        <f>VLOOKUP(F299,$B$237:$C$241,2,FALSE)</f>
        <v>#N/A</v>
      </c>
      <c r="H299" s="131" t="e">
        <f>VLOOKUP(E299,$D$74:$I$220,G299,FALSE)</f>
        <v>#N/A</v>
      </c>
      <c r="I299" s="132" t="e">
        <f>VLOOKUP(E299,$N$74:$S$220,G299,FALSE)</f>
        <v>#N/A</v>
      </c>
      <c r="K299" s="175" t="s">
        <v>411</v>
      </c>
      <c r="L299" s="167">
        <v>1</v>
      </c>
      <c r="M299" s="167">
        <v>0.49</v>
      </c>
    </row>
    <row r="300" spans="2:25" ht="15" thickBot="1">
      <c r="B300" s="127">
        <v>2</v>
      </c>
      <c r="C300" s="58">
        <f>'Project Summary'!$C$11</f>
        <v>0</v>
      </c>
      <c r="D300" s="58">
        <f>'Project Summary'!$C$12</f>
        <v>0</v>
      </c>
      <c r="E300" s="58" t="str">
        <f t="shared" ref="E300:E308" si="24">CONCATENATE(C300, " ", D300)</f>
        <v>0 0</v>
      </c>
      <c r="F300" s="58">
        <f>'High Efficiency Pumps'!D9</f>
        <v>0</v>
      </c>
      <c r="G300" s="58" t="e">
        <f t="shared" ref="G300:G308" si="25">VLOOKUP(F300,$B$237:$C$241,2,FALSE)</f>
        <v>#N/A</v>
      </c>
      <c r="H300" s="120" t="e">
        <f t="shared" ref="H300:H308" si="26">VLOOKUP(E300,$D$74:$I$220,G300,FALSE)</f>
        <v>#N/A</v>
      </c>
      <c r="I300" s="132" t="e">
        <f t="shared" ref="I300:I308" si="27">VLOOKUP(E300,$N$74:$S$220,G300,FALSE)</f>
        <v>#N/A</v>
      </c>
      <c r="K300" s="175" t="s">
        <v>412</v>
      </c>
      <c r="L300" s="167">
        <v>0.96</v>
      </c>
      <c r="M300" s="167">
        <v>0.51</v>
      </c>
    </row>
    <row r="301" spans="2:25" ht="15" thickBot="1">
      <c r="B301" s="127">
        <v>3</v>
      </c>
      <c r="C301" s="58">
        <f>'Project Summary'!$C$11</f>
        <v>0</v>
      </c>
      <c r="D301" s="58">
        <f>'Project Summary'!$C$12</f>
        <v>0</v>
      </c>
      <c r="E301" s="58" t="str">
        <f t="shared" si="24"/>
        <v>0 0</v>
      </c>
      <c r="F301" s="58">
        <f>'High Efficiency Pumps'!D10</f>
        <v>0</v>
      </c>
      <c r="G301" s="58" t="e">
        <f t="shared" si="25"/>
        <v>#N/A</v>
      </c>
      <c r="H301" s="120" t="e">
        <f t="shared" si="26"/>
        <v>#N/A</v>
      </c>
      <c r="I301" s="132" t="e">
        <f t="shared" si="27"/>
        <v>#N/A</v>
      </c>
      <c r="K301" s="175" t="s">
        <v>413</v>
      </c>
      <c r="L301" s="167">
        <v>0.98</v>
      </c>
      <c r="M301" s="167">
        <v>0.49</v>
      </c>
    </row>
    <row r="302" spans="2:25" ht="15" thickBot="1">
      <c r="B302" s="127">
        <v>4</v>
      </c>
      <c r="C302" s="58">
        <f>'Project Summary'!$C$11</f>
        <v>0</v>
      </c>
      <c r="D302" s="58">
        <f>'Project Summary'!$C$12</f>
        <v>0</v>
      </c>
      <c r="E302" s="58" t="str">
        <f t="shared" si="24"/>
        <v>0 0</v>
      </c>
      <c r="F302" s="58">
        <f>'High Efficiency Pumps'!D11</f>
        <v>0</v>
      </c>
      <c r="G302" s="58" t="e">
        <f t="shared" si="25"/>
        <v>#N/A</v>
      </c>
      <c r="H302" s="120" t="e">
        <f t="shared" si="26"/>
        <v>#N/A</v>
      </c>
      <c r="I302" s="132" t="e">
        <f t="shared" si="27"/>
        <v>#N/A</v>
      </c>
      <c r="K302" s="175" t="s">
        <v>414</v>
      </c>
      <c r="L302" s="167">
        <v>0.99</v>
      </c>
      <c r="M302" s="167">
        <v>0.51</v>
      </c>
    </row>
    <row r="303" spans="2:25" ht="15" thickBot="1">
      <c r="B303" s="127">
        <v>5</v>
      </c>
      <c r="C303" s="58">
        <f>'Project Summary'!$C$11</f>
        <v>0</v>
      </c>
      <c r="D303" s="58">
        <f>'Project Summary'!$C$12</f>
        <v>0</v>
      </c>
      <c r="E303" s="58" t="str">
        <f t="shared" si="24"/>
        <v>0 0</v>
      </c>
      <c r="F303" s="58">
        <f>'High Efficiency Pumps'!D12</f>
        <v>0</v>
      </c>
      <c r="G303" s="58" t="e">
        <f t="shared" si="25"/>
        <v>#N/A</v>
      </c>
      <c r="H303" s="120" t="e">
        <f t="shared" si="26"/>
        <v>#N/A</v>
      </c>
      <c r="I303" s="132" t="e">
        <f t="shared" si="27"/>
        <v>#N/A</v>
      </c>
      <c r="K303" s="175" t="s">
        <v>415</v>
      </c>
      <c r="L303" s="167">
        <v>0.99</v>
      </c>
      <c r="M303" s="167">
        <v>0.5</v>
      </c>
    </row>
    <row r="304" spans="2:25" ht="15" thickBot="1">
      <c r="B304" s="127">
        <v>6</v>
      </c>
      <c r="C304" s="58">
        <f>'Project Summary'!$C$11</f>
        <v>0</v>
      </c>
      <c r="D304" s="58">
        <f>'Project Summary'!$C$12</f>
        <v>0</v>
      </c>
      <c r="E304" s="58" t="str">
        <f t="shared" si="24"/>
        <v>0 0</v>
      </c>
      <c r="F304" s="58">
        <f>'High Efficiency Pumps'!D13</f>
        <v>0</v>
      </c>
      <c r="G304" s="58" t="e">
        <f t="shared" si="25"/>
        <v>#N/A</v>
      </c>
      <c r="H304" s="120" t="e">
        <f t="shared" si="26"/>
        <v>#N/A</v>
      </c>
      <c r="I304" s="132" t="e">
        <f t="shared" si="27"/>
        <v>#N/A</v>
      </c>
      <c r="K304" s="175" t="s">
        <v>416</v>
      </c>
      <c r="L304" s="167">
        <v>0.98</v>
      </c>
      <c r="M304" s="167">
        <v>0.5</v>
      </c>
    </row>
    <row r="305" spans="2:13" ht="15" thickBot="1">
      <c r="B305" s="127">
        <v>7</v>
      </c>
      <c r="C305" s="58">
        <f>'Project Summary'!$C$11</f>
        <v>0</v>
      </c>
      <c r="D305" s="58">
        <f>'Project Summary'!$C$12</f>
        <v>0</v>
      </c>
      <c r="E305" s="58" t="str">
        <f t="shared" si="24"/>
        <v>0 0</v>
      </c>
      <c r="F305" s="58">
        <f>'High Efficiency Pumps'!D14</f>
        <v>0</v>
      </c>
      <c r="G305" s="58" t="e">
        <f t="shared" si="25"/>
        <v>#N/A</v>
      </c>
      <c r="H305" s="120" t="e">
        <f t="shared" si="26"/>
        <v>#N/A</v>
      </c>
      <c r="I305" s="132" t="e">
        <f t="shared" si="27"/>
        <v>#N/A</v>
      </c>
      <c r="K305" s="175" t="s">
        <v>417</v>
      </c>
      <c r="L305" s="167">
        <v>0.96</v>
      </c>
      <c r="M305" s="167">
        <v>0.6</v>
      </c>
    </row>
    <row r="306" spans="2:13">
      <c r="B306" s="127">
        <v>8</v>
      </c>
      <c r="C306" s="58">
        <f>'Project Summary'!$C$11</f>
        <v>0</v>
      </c>
      <c r="D306" s="58">
        <f>'Project Summary'!$C$12</f>
        <v>0</v>
      </c>
      <c r="E306" s="58" t="str">
        <f t="shared" si="24"/>
        <v>0 0</v>
      </c>
      <c r="F306" s="58">
        <f>'High Efficiency Pumps'!D15</f>
        <v>0</v>
      </c>
      <c r="G306" s="58" t="e">
        <f t="shared" si="25"/>
        <v>#N/A</v>
      </c>
      <c r="H306" s="120" t="e">
        <f t="shared" si="26"/>
        <v>#N/A</v>
      </c>
      <c r="I306" s="132" t="e">
        <f t="shared" si="27"/>
        <v>#N/A</v>
      </c>
    </row>
    <row r="307" spans="2:13">
      <c r="B307" s="127">
        <v>9</v>
      </c>
      <c r="C307" s="58">
        <f>'Project Summary'!$C$11</f>
        <v>0</v>
      </c>
      <c r="D307" s="58">
        <f>'Project Summary'!$C$12</f>
        <v>0</v>
      </c>
      <c r="E307" s="58" t="str">
        <f t="shared" si="24"/>
        <v>0 0</v>
      </c>
      <c r="F307" s="58">
        <f>'High Efficiency Pumps'!D16</f>
        <v>0</v>
      </c>
      <c r="G307" s="58" t="e">
        <f t="shared" si="25"/>
        <v>#N/A</v>
      </c>
      <c r="H307" s="120" t="e">
        <f t="shared" si="26"/>
        <v>#N/A</v>
      </c>
      <c r="I307" s="132" t="e">
        <f t="shared" si="27"/>
        <v>#N/A</v>
      </c>
    </row>
    <row r="308" spans="2:13" ht="15" thickBot="1">
      <c r="B308" s="128">
        <v>10</v>
      </c>
      <c r="C308" s="66">
        <f>'Project Summary'!$C$11</f>
        <v>0</v>
      </c>
      <c r="D308" s="66">
        <f>'Project Summary'!$C$12</f>
        <v>0</v>
      </c>
      <c r="E308" s="66" t="str">
        <f t="shared" si="24"/>
        <v>0 0</v>
      </c>
      <c r="F308" s="66">
        <f>'High Efficiency Pumps'!D17</f>
        <v>0</v>
      </c>
      <c r="G308" s="66" t="e">
        <f t="shared" si="25"/>
        <v>#N/A</v>
      </c>
      <c r="H308" s="129" t="e">
        <f t="shared" si="26"/>
        <v>#N/A</v>
      </c>
      <c r="I308" s="132" t="e">
        <f t="shared" si="27"/>
        <v>#N/A</v>
      </c>
    </row>
  </sheetData>
  <autoFilter ref="B73:I190" xr:uid="{216E417C-DD69-43CD-BE6D-466E9040E1AC}"/>
  <mergeCells count="20">
    <mergeCell ref="B30:U30"/>
    <mergeCell ref="B43:J43"/>
    <mergeCell ref="L43:R43"/>
    <mergeCell ref="E235:G235"/>
    <mergeCell ref="M286:P286"/>
    <mergeCell ref="Q275:R275"/>
    <mergeCell ref="K222:V222"/>
    <mergeCell ref="K227:V227"/>
    <mergeCell ref="B245:I245"/>
    <mergeCell ref="B235:C235"/>
    <mergeCell ref="B72:I72"/>
    <mergeCell ref="L72:S72"/>
    <mergeCell ref="B222:I222"/>
    <mergeCell ref="B297:I297"/>
    <mergeCell ref="K297:K298"/>
    <mergeCell ref="L297:M297"/>
    <mergeCell ref="K237:V237"/>
    <mergeCell ref="B258:K258"/>
    <mergeCell ref="M258:V258"/>
    <mergeCell ref="B275:K27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03E0D-6B00-466E-BD6C-BCB82828FF83}">
  <dimension ref="A2:X62"/>
  <sheetViews>
    <sheetView zoomScale="80" zoomScaleNormal="80" workbookViewId="0">
      <selection activeCell="B23" sqref="B23"/>
    </sheetView>
  </sheetViews>
  <sheetFormatPr defaultRowHeight="14.25"/>
  <cols>
    <col min="1" max="1" width="13.125" bestFit="1" customWidth="1"/>
    <col min="2" max="2" width="13.75" bestFit="1" customWidth="1"/>
    <col min="3" max="3" width="8" bestFit="1" customWidth="1"/>
    <col min="4" max="4" width="16.5" bestFit="1" customWidth="1"/>
    <col min="5" max="5" width="33" bestFit="1" customWidth="1"/>
    <col min="6" max="6" width="17.5" bestFit="1" customWidth="1"/>
    <col min="7" max="7" width="12.125" bestFit="1" customWidth="1"/>
    <col min="8" max="8" width="7.75" bestFit="1" customWidth="1"/>
    <col min="9" max="9" width="10.75" bestFit="1" customWidth="1"/>
    <col min="10" max="10" width="23.75" bestFit="1" customWidth="1"/>
    <col min="11" max="11" width="27.375" bestFit="1" customWidth="1"/>
    <col min="12" max="12" width="10.25" bestFit="1" customWidth="1"/>
    <col min="13" max="13" width="7.125" bestFit="1" customWidth="1"/>
    <col min="14" max="14" width="31.875" bestFit="1" customWidth="1"/>
    <col min="15" max="15" width="21.75" bestFit="1" customWidth="1"/>
    <col min="16" max="16" width="27.125" bestFit="1" customWidth="1"/>
    <col min="17" max="17" width="15.875" bestFit="1" customWidth="1"/>
    <col min="18" max="18" width="16.875" bestFit="1" customWidth="1"/>
    <col min="19" max="19" width="15.5" bestFit="1" customWidth="1"/>
    <col min="21" max="21" width="28.25" bestFit="1" customWidth="1"/>
    <col min="22" max="22" width="10.75" bestFit="1" customWidth="1"/>
    <col min="23" max="23" width="14" bestFit="1" customWidth="1"/>
    <col min="24" max="24" width="19.875" bestFit="1" customWidth="1"/>
  </cols>
  <sheetData>
    <row r="2" spans="1:24">
      <c r="A2" s="194" t="s">
        <v>418</v>
      </c>
      <c r="B2" t="s">
        <v>419</v>
      </c>
      <c r="C2" s="194" t="s">
        <v>166</v>
      </c>
      <c r="D2" s="194" t="s">
        <v>420</v>
      </c>
      <c r="E2" s="194" t="s">
        <v>421</v>
      </c>
      <c r="F2" s="194" t="s">
        <v>422</v>
      </c>
      <c r="G2" s="194" t="s">
        <v>110</v>
      </c>
      <c r="H2" s="194" t="s">
        <v>423</v>
      </c>
      <c r="I2" s="194" t="s">
        <v>424</v>
      </c>
      <c r="J2" s="194" t="s">
        <v>425</v>
      </c>
      <c r="K2" s="194" t="s">
        <v>426</v>
      </c>
      <c r="L2" t="s">
        <v>364</v>
      </c>
      <c r="M2" s="194" t="s">
        <v>427</v>
      </c>
      <c r="N2" t="s">
        <v>428</v>
      </c>
      <c r="O2" s="194" t="s">
        <v>429</v>
      </c>
      <c r="P2" t="s">
        <v>430</v>
      </c>
      <c r="Q2" s="194" t="s">
        <v>431</v>
      </c>
      <c r="R2" s="194" t="s">
        <v>432</v>
      </c>
      <c r="S2" s="194" t="s">
        <v>433</v>
      </c>
      <c r="T2" s="194" t="s">
        <v>434</v>
      </c>
      <c r="U2" s="194" t="s">
        <v>435</v>
      </c>
      <c r="V2" t="s">
        <v>164</v>
      </c>
      <c r="W2" s="194" t="s">
        <v>436</v>
      </c>
      <c r="X2" s="194" t="s">
        <v>437</v>
      </c>
    </row>
    <row r="3" spans="1:24" s="191" customFormat="1">
      <c r="A3" s="191" t="str">
        <f>IF(OR('Premium Eff Motor'!W8=0,'Premium Eff Motor'!W8=""),"","Prescriptive")</f>
        <v/>
      </c>
      <c r="B3" s="196"/>
      <c r="C3" s="191" t="str">
        <f>IF(A3="","",'Premium Eff Motor'!E8)</f>
        <v/>
      </c>
      <c r="D3" s="191" t="str">
        <f>IF(A3="","",ROUND(F3/R3,2))</f>
        <v/>
      </c>
      <c r="F3" s="191" t="str">
        <f>IF(A3="","",'Premium Eff Motor'!Z8)</f>
        <v/>
      </c>
      <c r="G3" s="191" t="str">
        <f>IF(A3="","",'Premium Eff Motor'!O8)</f>
        <v/>
      </c>
      <c r="H3" s="191" t="str">
        <f>IF(A3="","",'Premium Eff Motor'!P8)</f>
        <v/>
      </c>
      <c r="K3" s="191" t="str">
        <f>IF(A3="","",'Premium Eff Motor'!K8)</f>
        <v/>
      </c>
      <c r="M3" s="191" t="str">
        <f>IF(A3="","",'Premium Eff Motor'!R8)</f>
        <v/>
      </c>
      <c r="N3" s="191" t="str">
        <f>IF(A3="","",'Premium Eff Motor'!M8)</f>
        <v/>
      </c>
      <c r="Q3" s="191" t="str">
        <f>IF(A3="","",'Premium Eff Motor'!X8)</f>
        <v/>
      </c>
      <c r="R3" s="191" t="str">
        <f>IF(A3="","",'Premium Eff Motor'!W8)</f>
        <v/>
      </c>
      <c r="U3" s="191" t="str">
        <f>IF(A3="","",'Project Summary'!$C$12)</f>
        <v/>
      </c>
    </row>
    <row r="4" spans="1:24" s="191" customFormat="1">
      <c r="A4" s="191" t="str">
        <f>IF(OR('Premium Eff Motor'!W9=0,'Premium Eff Motor'!W9=""),"","Prescriptive")</f>
        <v/>
      </c>
      <c r="B4" s="196"/>
      <c r="C4" s="191" t="str">
        <f>IF(A4="","",'Premium Eff Motor'!E9)</f>
        <v/>
      </c>
      <c r="D4" s="191" t="str">
        <f t="shared" ref="D4:D62" si="0">IF(A4="","",ROUND(F4/R4,2))</f>
        <v/>
      </c>
      <c r="F4" s="191" t="str">
        <f>IF(A4="","",'Premium Eff Motor'!Z9)</f>
        <v/>
      </c>
      <c r="G4" s="191" t="str">
        <f>IF(A4="","",'Premium Eff Motor'!O9)</f>
        <v/>
      </c>
      <c r="H4" s="191" t="str">
        <f>IF(A4="","",'Premium Eff Motor'!P9)</f>
        <v/>
      </c>
      <c r="K4" s="191" t="str">
        <f>IF(A4="","",'Premium Eff Motor'!K9)</f>
        <v/>
      </c>
      <c r="M4" s="191" t="str">
        <f>IF(A4="","",'Premium Eff Motor'!R9)</f>
        <v/>
      </c>
      <c r="N4" s="191" t="str">
        <f>IF(A4="","",'Premium Eff Motor'!M9)</f>
        <v/>
      </c>
      <c r="Q4" s="191" t="str">
        <f>IF(A4="","",'Premium Eff Motor'!X9)</f>
        <v/>
      </c>
      <c r="R4" s="191" t="str">
        <f>IF(A4="","",'Premium Eff Motor'!W9)</f>
        <v/>
      </c>
      <c r="U4" s="191" t="str">
        <f>IF(A4="","",'Project Summary'!$C$12)</f>
        <v/>
      </c>
    </row>
    <row r="5" spans="1:24" s="191" customFormat="1">
      <c r="A5" s="191" t="str">
        <f>IF(OR('Premium Eff Motor'!W10=0,'Premium Eff Motor'!W10=""),"","Prescriptive")</f>
        <v/>
      </c>
      <c r="B5" s="196"/>
      <c r="C5" s="191" t="str">
        <f>IF(A5="","",'Premium Eff Motor'!E10)</f>
        <v/>
      </c>
      <c r="D5" s="191" t="str">
        <f t="shared" si="0"/>
        <v/>
      </c>
      <c r="F5" s="191" t="str">
        <f>IF(A5="","",'Premium Eff Motor'!Z10)</f>
        <v/>
      </c>
      <c r="G5" s="191" t="str">
        <f>IF(A5="","",'Premium Eff Motor'!O10)</f>
        <v/>
      </c>
      <c r="H5" s="191" t="str">
        <f>IF(A5="","",'Premium Eff Motor'!P10)</f>
        <v/>
      </c>
      <c r="K5" s="191" t="str">
        <f>IF(A5="","",'Premium Eff Motor'!K10)</f>
        <v/>
      </c>
      <c r="M5" s="191" t="str">
        <f>IF(A5="","",'Premium Eff Motor'!R10)</f>
        <v/>
      </c>
      <c r="N5" s="191" t="str">
        <f>IF(A5="","",'Premium Eff Motor'!M10)</f>
        <v/>
      </c>
      <c r="Q5" s="191" t="str">
        <f>IF(A5="","",'Premium Eff Motor'!X10)</f>
        <v/>
      </c>
      <c r="R5" s="191" t="str">
        <f>IF(A5="","",'Premium Eff Motor'!W10)</f>
        <v/>
      </c>
      <c r="U5" s="191" t="str">
        <f>IF(A5="","",'Project Summary'!$C$12)</f>
        <v/>
      </c>
    </row>
    <row r="6" spans="1:24" s="191" customFormat="1">
      <c r="A6" s="191" t="str">
        <f>IF(OR('Premium Eff Motor'!W11=0,'Premium Eff Motor'!W11=""),"","Prescriptive")</f>
        <v/>
      </c>
      <c r="B6" s="196"/>
      <c r="C6" s="191" t="str">
        <f>IF(A6="","",'Premium Eff Motor'!E11)</f>
        <v/>
      </c>
      <c r="D6" s="191" t="str">
        <f t="shared" si="0"/>
        <v/>
      </c>
      <c r="F6" s="191" t="str">
        <f>IF(A6="","",'Premium Eff Motor'!Z11)</f>
        <v/>
      </c>
      <c r="G6" s="191" t="str">
        <f>IF(A6="","",'Premium Eff Motor'!O11)</f>
        <v/>
      </c>
      <c r="H6" s="191" t="str">
        <f>IF(A6="","",'Premium Eff Motor'!P11)</f>
        <v/>
      </c>
      <c r="K6" s="191" t="str">
        <f>IF(A6="","",'Premium Eff Motor'!K11)</f>
        <v/>
      </c>
      <c r="M6" s="191" t="str">
        <f>IF(A6="","",'Premium Eff Motor'!R11)</f>
        <v/>
      </c>
      <c r="N6" s="191" t="str">
        <f>IF(A6="","",'Premium Eff Motor'!M11)</f>
        <v/>
      </c>
      <c r="Q6" s="191" t="str">
        <f>IF(A6="","",'Premium Eff Motor'!X11)</f>
        <v/>
      </c>
      <c r="R6" s="191" t="str">
        <f>IF(A6="","",'Premium Eff Motor'!W11)</f>
        <v/>
      </c>
      <c r="U6" s="191" t="str">
        <f>IF(A6="","",'Project Summary'!$C$12)</f>
        <v/>
      </c>
    </row>
    <row r="7" spans="1:24" s="191" customFormat="1">
      <c r="A7" s="191" t="str">
        <f>IF(OR('Premium Eff Motor'!W12=0,'Premium Eff Motor'!W12=""),"","Prescriptive")</f>
        <v/>
      </c>
      <c r="B7" s="196"/>
      <c r="C7" s="191" t="str">
        <f>IF(A7="","",'Premium Eff Motor'!E12)</f>
        <v/>
      </c>
      <c r="D7" s="191" t="str">
        <f t="shared" si="0"/>
        <v/>
      </c>
      <c r="F7" s="191" t="str">
        <f>IF(A7="","",'Premium Eff Motor'!Z12)</f>
        <v/>
      </c>
      <c r="G7" s="191" t="str">
        <f>IF(A7="","",'Premium Eff Motor'!O12)</f>
        <v/>
      </c>
      <c r="H7" s="191" t="str">
        <f>IF(A7="","",'Premium Eff Motor'!P12)</f>
        <v/>
      </c>
      <c r="K7" s="191" t="str">
        <f>IF(A7="","",'Premium Eff Motor'!K12)</f>
        <v/>
      </c>
      <c r="M7" s="191" t="str">
        <f>IF(A7="","",'Premium Eff Motor'!R12)</f>
        <v/>
      </c>
      <c r="N7" s="191" t="str">
        <f>IF(A7="","",'Premium Eff Motor'!M12)</f>
        <v/>
      </c>
      <c r="Q7" s="191" t="str">
        <f>IF(A7="","",'Premium Eff Motor'!X12)</f>
        <v/>
      </c>
      <c r="R7" s="191" t="str">
        <f>IF(A7="","",'Premium Eff Motor'!W12)</f>
        <v/>
      </c>
      <c r="U7" s="191" t="str">
        <f>IF(A7="","",'Project Summary'!$C$12)</f>
        <v/>
      </c>
    </row>
    <row r="8" spans="1:24" s="191" customFormat="1">
      <c r="A8" s="191" t="str">
        <f>IF(OR('Premium Eff Motor'!W13=0,'Premium Eff Motor'!W13=""),"","Prescriptive")</f>
        <v/>
      </c>
      <c r="B8" s="196"/>
      <c r="C8" s="191" t="str">
        <f>IF(A8="","",'Premium Eff Motor'!E13)</f>
        <v/>
      </c>
      <c r="D8" s="191" t="str">
        <f t="shared" si="0"/>
        <v/>
      </c>
      <c r="F8" s="191" t="str">
        <f>IF(A8="","",'Premium Eff Motor'!Z13)</f>
        <v/>
      </c>
      <c r="G8" s="191" t="str">
        <f>IF(A8="","",'Premium Eff Motor'!O13)</f>
        <v/>
      </c>
      <c r="H8" s="191" t="str">
        <f>IF(A8="","",'Premium Eff Motor'!P13)</f>
        <v/>
      </c>
      <c r="K8" s="191" t="str">
        <f>IF(A8="","",'Premium Eff Motor'!K13)</f>
        <v/>
      </c>
      <c r="M8" s="191" t="str">
        <f>IF(A8="","",'Premium Eff Motor'!R13)</f>
        <v/>
      </c>
      <c r="N8" s="191" t="str">
        <f>IF(A8="","",'Premium Eff Motor'!M13)</f>
        <v/>
      </c>
      <c r="Q8" s="191" t="str">
        <f>IF(A8="","",'Premium Eff Motor'!X13)</f>
        <v/>
      </c>
      <c r="R8" s="191" t="str">
        <f>IF(A8="","",'Premium Eff Motor'!W13)</f>
        <v/>
      </c>
      <c r="U8" s="191" t="str">
        <f>IF(A8="","",'Project Summary'!$C$12)</f>
        <v/>
      </c>
    </row>
    <row r="9" spans="1:24" s="191" customFormat="1">
      <c r="A9" s="191" t="str">
        <f>IF(OR('Premium Eff Motor'!W14=0,'Premium Eff Motor'!W14=""),"","Prescriptive")</f>
        <v/>
      </c>
      <c r="B9" s="196"/>
      <c r="C9" s="191" t="str">
        <f>IF(A9="","",'Premium Eff Motor'!E14)</f>
        <v/>
      </c>
      <c r="D9" s="191" t="str">
        <f t="shared" si="0"/>
        <v/>
      </c>
      <c r="F9" s="191" t="str">
        <f>IF(A9="","",'Premium Eff Motor'!Z14)</f>
        <v/>
      </c>
      <c r="G9" s="191" t="str">
        <f>IF(A9="","",'Premium Eff Motor'!O14)</f>
        <v/>
      </c>
      <c r="H9" s="191" t="str">
        <f>IF(A9="","",'Premium Eff Motor'!P14)</f>
        <v/>
      </c>
      <c r="K9" s="191" t="str">
        <f>IF(A9="","",'Premium Eff Motor'!K14)</f>
        <v/>
      </c>
      <c r="M9" s="191" t="str">
        <f>IF(A9="","",'Premium Eff Motor'!R14)</f>
        <v/>
      </c>
      <c r="N9" s="191" t="str">
        <f>IF(A9="","",'Premium Eff Motor'!M14)</f>
        <v/>
      </c>
      <c r="Q9" s="191" t="str">
        <f>IF(A9="","",'Premium Eff Motor'!X14)</f>
        <v/>
      </c>
      <c r="R9" s="191" t="str">
        <f>IF(A9="","",'Premium Eff Motor'!W14)</f>
        <v/>
      </c>
      <c r="U9" s="191" t="str">
        <f>IF(A9="","",'Project Summary'!$C$12)</f>
        <v/>
      </c>
    </row>
    <row r="10" spans="1:24" s="191" customFormat="1">
      <c r="A10" s="191" t="str">
        <f>IF(OR('Premium Eff Motor'!W15=0,'Premium Eff Motor'!W15=""),"","Prescriptive")</f>
        <v/>
      </c>
      <c r="B10" s="196"/>
      <c r="C10" s="191" t="str">
        <f>IF(A10="","",'Premium Eff Motor'!E15)</f>
        <v/>
      </c>
      <c r="D10" s="191" t="str">
        <f t="shared" si="0"/>
        <v/>
      </c>
      <c r="F10" s="191" t="str">
        <f>IF(A10="","",'Premium Eff Motor'!Z15)</f>
        <v/>
      </c>
      <c r="G10" s="191" t="str">
        <f>IF(A10="","",'Premium Eff Motor'!O15)</f>
        <v/>
      </c>
      <c r="H10" s="191" t="str">
        <f>IF(A10="","",'Premium Eff Motor'!P15)</f>
        <v/>
      </c>
      <c r="K10" s="191" t="str">
        <f>IF(A10="","",'Premium Eff Motor'!K15)</f>
        <v/>
      </c>
      <c r="M10" s="191" t="str">
        <f>IF(A10="","",'Premium Eff Motor'!R15)</f>
        <v/>
      </c>
      <c r="N10" s="191" t="str">
        <f>IF(A10="","",'Premium Eff Motor'!M15)</f>
        <v/>
      </c>
      <c r="Q10" s="191" t="str">
        <f>IF(A10="","",'Premium Eff Motor'!X15)</f>
        <v/>
      </c>
      <c r="R10" s="191" t="str">
        <f>IF(A10="","",'Premium Eff Motor'!W15)</f>
        <v/>
      </c>
      <c r="U10" s="191" t="str">
        <f>IF(A10="","",'Project Summary'!$C$12)</f>
        <v/>
      </c>
    </row>
    <row r="11" spans="1:24" s="191" customFormat="1">
      <c r="A11" s="191" t="str">
        <f>IF(OR('Premium Eff Motor'!W16=0,'Premium Eff Motor'!W16=""),"","Prescriptive")</f>
        <v/>
      </c>
      <c r="B11" s="196"/>
      <c r="C11" s="191" t="str">
        <f>IF(A11="","",'Premium Eff Motor'!E16)</f>
        <v/>
      </c>
      <c r="D11" s="191" t="str">
        <f t="shared" si="0"/>
        <v/>
      </c>
      <c r="F11" s="191" t="str">
        <f>IF(A11="","",'Premium Eff Motor'!Z16)</f>
        <v/>
      </c>
      <c r="G11" s="191" t="str">
        <f>IF(A11="","",'Premium Eff Motor'!O16)</f>
        <v/>
      </c>
      <c r="H11" s="191" t="str">
        <f>IF(A11="","",'Premium Eff Motor'!P16)</f>
        <v/>
      </c>
      <c r="K11" s="191" t="str">
        <f>IF(A11="","",'Premium Eff Motor'!K16)</f>
        <v/>
      </c>
      <c r="M11" s="191" t="str">
        <f>IF(A11="","",'Premium Eff Motor'!R16)</f>
        <v/>
      </c>
      <c r="N11" s="191" t="str">
        <f>IF(A11="","",'Premium Eff Motor'!M16)</f>
        <v/>
      </c>
      <c r="Q11" s="191" t="str">
        <f>IF(A11="","",'Premium Eff Motor'!X16)</f>
        <v/>
      </c>
      <c r="R11" s="191" t="str">
        <f>IF(A11="","",'Premium Eff Motor'!W16)</f>
        <v/>
      </c>
      <c r="U11" s="191" t="str">
        <f>IF(A11="","",'Project Summary'!$C$12)</f>
        <v/>
      </c>
    </row>
    <row r="12" spans="1:24" s="192" customFormat="1" ht="15" thickBot="1">
      <c r="A12" s="192" t="str">
        <f>IF(OR('Premium Eff Motor'!W17=0,'Premium Eff Motor'!W17=""),"","Prescriptive")</f>
        <v/>
      </c>
      <c r="B12" s="197"/>
      <c r="C12" s="192" t="str">
        <f>IF(A12="","",'Premium Eff Motor'!E17)</f>
        <v/>
      </c>
      <c r="D12" s="192" t="str">
        <f t="shared" si="0"/>
        <v/>
      </c>
      <c r="F12" s="192" t="str">
        <f>IF(A12="","",'Premium Eff Motor'!Z17)</f>
        <v/>
      </c>
      <c r="G12" s="192" t="str">
        <f>IF(A12="","",'Premium Eff Motor'!O17)</f>
        <v/>
      </c>
      <c r="H12" s="192" t="str">
        <f>IF(A12="","",'Premium Eff Motor'!P17)</f>
        <v/>
      </c>
      <c r="K12" s="192" t="str">
        <f>IF(A12="","",'Premium Eff Motor'!K17)</f>
        <v/>
      </c>
      <c r="M12" s="192" t="str">
        <f>IF(A12="","",'Premium Eff Motor'!R17)</f>
        <v/>
      </c>
      <c r="N12" s="192" t="str">
        <f>IF(A12="","",'Premium Eff Motor'!M17)</f>
        <v/>
      </c>
      <c r="Q12" s="192" t="str">
        <f>IF(A12="","",'Premium Eff Motor'!X17)</f>
        <v/>
      </c>
      <c r="R12" s="192" t="str">
        <f>IF(A12="","",'Premium Eff Motor'!W17)</f>
        <v/>
      </c>
      <c r="U12" s="192" t="str">
        <f>IF(A12="","",'Project Summary'!$C$12)</f>
        <v/>
      </c>
    </row>
    <row r="13" spans="1:24" s="191" customFormat="1">
      <c r="A13" s="191" t="str">
        <f>IF(OR(VFDs!U8=0,VFDs!U8=""),"","Prescriptive")</f>
        <v/>
      </c>
      <c r="B13" s="191" t="str">
        <f>IF(A13="","","VFD")</f>
        <v/>
      </c>
      <c r="C13" s="191" t="str">
        <f>IF(A13="","",VFDs!L8)</f>
        <v/>
      </c>
      <c r="D13" s="191" t="str">
        <f t="shared" si="0"/>
        <v/>
      </c>
      <c r="F13" s="191" t="str">
        <f>IF(A13="","",VFDs!X8)</f>
        <v/>
      </c>
      <c r="G13" s="191" t="str">
        <f>IF(A13="","",VFDs!O8)</f>
        <v/>
      </c>
      <c r="H13" s="191" t="str">
        <f>IF(A13="","",VFDs!P8)</f>
        <v/>
      </c>
      <c r="K13" s="191" t="str">
        <f>IF(A13="","",VFDs!I8)</f>
        <v/>
      </c>
      <c r="M13" s="191" t="str">
        <f>IF(A13="","",VFDs!J8)</f>
        <v/>
      </c>
      <c r="N13" s="191" t="str">
        <f>IF(A13="","",VFDs!M8)</f>
        <v/>
      </c>
      <c r="Q13" s="191" t="str">
        <f>IF(A13="","",VFDs!V8)</f>
        <v/>
      </c>
      <c r="R13" s="191" t="str">
        <f>IF(A13="","",VFDs!U8)</f>
        <v/>
      </c>
      <c r="U13" s="191" t="str">
        <f>IF(A13="","",'Project Summary'!$C$12)</f>
        <v/>
      </c>
    </row>
    <row r="14" spans="1:24" s="191" customFormat="1">
      <c r="A14" s="191" t="str">
        <f>IF(OR(VFDs!U9=0,VFDs!U9=""),"","Prescriptive")</f>
        <v/>
      </c>
      <c r="B14" s="191" t="str">
        <f t="shared" ref="B14:B22" si="1">IF(A14="","","VFD")</f>
        <v/>
      </c>
      <c r="C14" s="191" t="str">
        <f>IF(A14="","",VFDs!L9)</f>
        <v/>
      </c>
      <c r="D14" s="191" t="str">
        <f t="shared" si="0"/>
        <v/>
      </c>
      <c r="F14" s="191" t="str">
        <f>IF(A14="","",VFDs!X9)</f>
        <v/>
      </c>
      <c r="G14" s="191" t="str">
        <f>IF(A14="","",VFDs!O9)</f>
        <v/>
      </c>
      <c r="H14" s="191" t="str">
        <f>IF(A14="","",VFDs!P9)</f>
        <v/>
      </c>
      <c r="K14" s="191" t="str">
        <f>IF(A14="","",VFDs!I9)</f>
        <v/>
      </c>
      <c r="M14" s="191" t="str">
        <f>IF(A14="","",VFDs!J9)</f>
        <v/>
      </c>
      <c r="N14" s="191" t="str">
        <f>IF(A14="","",VFDs!M9)</f>
        <v/>
      </c>
      <c r="Q14" s="191" t="str">
        <f>IF(A14="","",VFDs!V9)</f>
        <v/>
      </c>
      <c r="R14" s="191" t="str">
        <f>IF(A14="","",VFDs!U9)</f>
        <v/>
      </c>
      <c r="U14" s="191" t="str">
        <f>IF(A14="","",'Project Summary'!$C$12)</f>
        <v/>
      </c>
    </row>
    <row r="15" spans="1:24" s="191" customFormat="1">
      <c r="A15" s="191" t="str">
        <f>IF(OR(VFDs!U10=0,VFDs!U10=""),"","Prescriptive")</f>
        <v/>
      </c>
      <c r="B15" s="191" t="str">
        <f t="shared" si="1"/>
        <v/>
      </c>
      <c r="C15" s="191" t="str">
        <f>IF(A15="","",VFDs!L10)</f>
        <v/>
      </c>
      <c r="D15" s="191" t="str">
        <f t="shared" si="0"/>
        <v/>
      </c>
      <c r="F15" s="191" t="str">
        <f>IF(A15="","",VFDs!X10)</f>
        <v/>
      </c>
      <c r="G15" s="191" t="str">
        <f>IF(A15="","",VFDs!O10)</f>
        <v/>
      </c>
      <c r="H15" s="191" t="str">
        <f>IF(A15="","",VFDs!P10)</f>
        <v/>
      </c>
      <c r="K15" s="191" t="str">
        <f>IF(A15="","",VFDs!I10)</f>
        <v/>
      </c>
      <c r="M15" s="191" t="str">
        <f>IF(A15="","",VFDs!J10)</f>
        <v/>
      </c>
      <c r="N15" s="191" t="str">
        <f>IF(A15="","",VFDs!M10)</f>
        <v/>
      </c>
      <c r="Q15" s="191" t="str">
        <f>IF(A15="","",VFDs!V10)</f>
        <v/>
      </c>
      <c r="R15" s="191" t="str">
        <f>IF(A15="","",VFDs!U10)</f>
        <v/>
      </c>
      <c r="U15" s="191" t="str">
        <f>IF(A15="","",'Project Summary'!$C$12)</f>
        <v/>
      </c>
    </row>
    <row r="16" spans="1:24" s="191" customFormat="1">
      <c r="A16" s="191" t="str">
        <f>IF(OR(VFDs!U11=0,VFDs!U11=""),"","Prescriptive")</f>
        <v/>
      </c>
      <c r="B16" s="191" t="str">
        <f t="shared" si="1"/>
        <v/>
      </c>
      <c r="C16" s="191" t="str">
        <f>IF(A16="","",VFDs!L11)</f>
        <v/>
      </c>
      <c r="D16" s="191" t="str">
        <f t="shared" si="0"/>
        <v/>
      </c>
      <c r="F16" s="191" t="str">
        <f>IF(A16="","",VFDs!X11)</f>
        <v/>
      </c>
      <c r="G16" s="191" t="str">
        <f>IF(A16="","",VFDs!O11)</f>
        <v/>
      </c>
      <c r="H16" s="191" t="str">
        <f>IF(A16="","",VFDs!P11)</f>
        <v/>
      </c>
      <c r="K16" s="191" t="str">
        <f>IF(A16="","",VFDs!I11)</f>
        <v/>
      </c>
      <c r="M16" s="191" t="str">
        <f>IF(A16="","",VFDs!J11)</f>
        <v/>
      </c>
      <c r="N16" s="191" t="str">
        <f>IF(A16="","",VFDs!M11)</f>
        <v/>
      </c>
      <c r="Q16" s="191" t="str">
        <f>IF(A16="","",VFDs!V11)</f>
        <v/>
      </c>
      <c r="R16" s="191" t="str">
        <f>IF(A16="","",VFDs!U11)</f>
        <v/>
      </c>
      <c r="U16" s="191" t="str">
        <f>IF(A16="","",'Project Summary'!$C$12)</f>
        <v/>
      </c>
    </row>
    <row r="17" spans="1:24" s="191" customFormat="1">
      <c r="A17" s="191" t="str">
        <f>IF(OR(VFDs!U12=0,VFDs!U12=""),"","Prescriptive")</f>
        <v/>
      </c>
      <c r="B17" s="191" t="str">
        <f t="shared" si="1"/>
        <v/>
      </c>
      <c r="C17" s="191" t="str">
        <f>IF(A17="","",VFDs!L12)</f>
        <v/>
      </c>
      <c r="D17" s="191" t="str">
        <f t="shared" si="0"/>
        <v/>
      </c>
      <c r="F17" s="191" t="str">
        <f>IF(A17="","",VFDs!X12)</f>
        <v/>
      </c>
      <c r="G17" s="191" t="str">
        <f>IF(A17="","",VFDs!O12)</f>
        <v/>
      </c>
      <c r="H17" s="191" t="str">
        <f>IF(A17="","",VFDs!P12)</f>
        <v/>
      </c>
      <c r="K17" s="191" t="str">
        <f>IF(A17="","",VFDs!I12)</f>
        <v/>
      </c>
      <c r="M17" s="191" t="str">
        <f>IF(A17="","",VFDs!J12)</f>
        <v/>
      </c>
      <c r="N17" s="191" t="str">
        <f>IF(A17="","",VFDs!M12)</f>
        <v/>
      </c>
      <c r="Q17" s="191" t="str">
        <f>IF(A17="","",VFDs!V12)</f>
        <v/>
      </c>
      <c r="R17" s="191" t="str">
        <f>IF(A17="","",VFDs!U12)</f>
        <v/>
      </c>
      <c r="U17" s="191" t="str">
        <f>IF(A17="","",'Project Summary'!$C$12)</f>
        <v/>
      </c>
    </row>
    <row r="18" spans="1:24" s="191" customFormat="1">
      <c r="A18" s="191" t="str">
        <f>IF(OR(VFDs!U13=0,VFDs!U13=""),"","Prescriptive")</f>
        <v/>
      </c>
      <c r="B18" s="191" t="str">
        <f t="shared" si="1"/>
        <v/>
      </c>
      <c r="C18" s="191" t="str">
        <f>IF(A18="","",VFDs!L13)</f>
        <v/>
      </c>
      <c r="D18" s="191" t="str">
        <f t="shared" si="0"/>
        <v/>
      </c>
      <c r="F18" s="191" t="str">
        <f>IF(A18="","",VFDs!X13)</f>
        <v/>
      </c>
      <c r="G18" s="191" t="str">
        <f>IF(A18="","",VFDs!O13)</f>
        <v/>
      </c>
      <c r="H18" s="191" t="str">
        <f>IF(A18="","",VFDs!P13)</f>
        <v/>
      </c>
      <c r="K18" s="191" t="str">
        <f>IF(A18="","",VFDs!I13)</f>
        <v/>
      </c>
      <c r="M18" s="191" t="str">
        <f>IF(A18="","",VFDs!J13)</f>
        <v/>
      </c>
      <c r="N18" s="191" t="str">
        <f>IF(A18="","",VFDs!M13)</f>
        <v/>
      </c>
      <c r="Q18" s="191" t="str">
        <f>IF(A18="","",VFDs!V13)</f>
        <v/>
      </c>
      <c r="R18" s="191" t="str">
        <f>IF(A18="","",VFDs!U13)</f>
        <v/>
      </c>
      <c r="U18" s="191" t="str">
        <f>IF(A18="","",'Project Summary'!$C$12)</f>
        <v/>
      </c>
    </row>
    <row r="19" spans="1:24" s="191" customFormat="1">
      <c r="A19" s="191" t="str">
        <f>IF(OR(VFDs!U14=0,VFDs!U14=""),"","Prescriptive")</f>
        <v/>
      </c>
      <c r="B19" s="191" t="str">
        <f t="shared" si="1"/>
        <v/>
      </c>
      <c r="C19" s="191" t="str">
        <f>IF(A19="","",VFDs!L14)</f>
        <v/>
      </c>
      <c r="D19" s="191" t="str">
        <f t="shared" si="0"/>
        <v/>
      </c>
      <c r="F19" s="191" t="str">
        <f>IF(A19="","",VFDs!X14)</f>
        <v/>
      </c>
      <c r="G19" s="191" t="str">
        <f>IF(A19="","",VFDs!O14)</f>
        <v/>
      </c>
      <c r="H19" s="191" t="str">
        <f>IF(A19="","",VFDs!P14)</f>
        <v/>
      </c>
      <c r="K19" s="191" t="str">
        <f>IF(A19="","",VFDs!I14)</f>
        <v/>
      </c>
      <c r="M19" s="191" t="str">
        <f>IF(A19="","",VFDs!J14)</f>
        <v/>
      </c>
      <c r="N19" s="191" t="str">
        <f>IF(A19="","",VFDs!M14)</f>
        <v/>
      </c>
      <c r="Q19" s="191" t="str">
        <f>IF(A19="","",VFDs!V14)</f>
        <v/>
      </c>
      <c r="R19" s="191" t="str">
        <f>IF(A19="","",VFDs!U14)</f>
        <v/>
      </c>
      <c r="U19" s="191" t="str">
        <f>IF(A19="","",'Project Summary'!$C$12)</f>
        <v/>
      </c>
    </row>
    <row r="20" spans="1:24" s="191" customFormat="1">
      <c r="A20" s="191" t="str">
        <f>IF(OR(VFDs!U15=0,VFDs!U15=""),"","Prescriptive")</f>
        <v/>
      </c>
      <c r="B20" s="191" t="str">
        <f t="shared" si="1"/>
        <v/>
      </c>
      <c r="C20" s="191" t="str">
        <f>IF(A20="","",VFDs!L15)</f>
        <v/>
      </c>
      <c r="D20" s="191" t="str">
        <f t="shared" si="0"/>
        <v/>
      </c>
      <c r="F20" s="191" t="str">
        <f>IF(A20="","",VFDs!X15)</f>
        <v/>
      </c>
      <c r="G20" s="191" t="str">
        <f>IF(A20="","",VFDs!O15)</f>
        <v/>
      </c>
      <c r="H20" s="191" t="str">
        <f>IF(A20="","",VFDs!P15)</f>
        <v/>
      </c>
      <c r="K20" s="191" t="str">
        <f>IF(A20="","",VFDs!I15)</f>
        <v/>
      </c>
      <c r="M20" s="191" t="str">
        <f>IF(A20="","",VFDs!J15)</f>
        <v/>
      </c>
      <c r="N20" s="191" t="str">
        <f>IF(A20="","",VFDs!M15)</f>
        <v/>
      </c>
      <c r="Q20" s="191" t="str">
        <f>IF(A20="","",VFDs!V15)</f>
        <v/>
      </c>
      <c r="R20" s="191" t="str">
        <f>IF(A20="","",VFDs!U15)</f>
        <v/>
      </c>
      <c r="U20" s="191" t="str">
        <f>IF(A20="","",'Project Summary'!$C$12)</f>
        <v/>
      </c>
    </row>
    <row r="21" spans="1:24" s="191" customFormat="1">
      <c r="A21" s="191" t="str">
        <f>IF(OR(VFDs!U16=0,VFDs!U16=""),"","Prescriptive")</f>
        <v/>
      </c>
      <c r="B21" s="191" t="str">
        <f t="shared" si="1"/>
        <v/>
      </c>
      <c r="C21" s="191" t="str">
        <f>IF(A21="","",VFDs!L16)</f>
        <v/>
      </c>
      <c r="D21" s="191" t="str">
        <f t="shared" si="0"/>
        <v/>
      </c>
      <c r="F21" s="191" t="str">
        <f>IF(A21="","",VFDs!X16)</f>
        <v/>
      </c>
      <c r="G21" s="191" t="str">
        <f>IF(A21="","",VFDs!O16)</f>
        <v/>
      </c>
      <c r="H21" s="191" t="str">
        <f>IF(A21="","",VFDs!P16)</f>
        <v/>
      </c>
      <c r="K21" s="191" t="str">
        <f>IF(A21="","",VFDs!I16)</f>
        <v/>
      </c>
      <c r="M21" s="191" t="str">
        <f>IF(A21="","",VFDs!J16)</f>
        <v/>
      </c>
      <c r="N21" s="191" t="str">
        <f>IF(A21="","",VFDs!M16)</f>
        <v/>
      </c>
      <c r="Q21" s="191" t="str">
        <f>IF(A21="","",VFDs!V16)</f>
        <v/>
      </c>
      <c r="R21" s="191" t="str">
        <f>IF(A21="","",VFDs!U16)</f>
        <v/>
      </c>
      <c r="U21" s="191" t="str">
        <f>IF(A21="","",'Project Summary'!$C$12)</f>
        <v/>
      </c>
    </row>
    <row r="22" spans="1:24" s="192" customFormat="1" ht="15" thickBot="1">
      <c r="A22" s="192" t="str">
        <f>IF(OR(VFDs!U17=0,VFDs!U17=""),"","Prescriptive")</f>
        <v/>
      </c>
      <c r="B22" s="192" t="str">
        <f t="shared" si="1"/>
        <v/>
      </c>
      <c r="C22" s="192" t="str">
        <f>IF(A22="","",VFDs!L17)</f>
        <v/>
      </c>
      <c r="D22" s="192" t="str">
        <f t="shared" si="0"/>
        <v/>
      </c>
      <c r="F22" s="192" t="str">
        <f>IF(A22="","",VFDs!X17)</f>
        <v/>
      </c>
      <c r="G22" s="192" t="str">
        <f>IF(A22="","",VFDs!O17)</f>
        <v/>
      </c>
      <c r="H22" s="192" t="str">
        <f>IF(A22="","",VFDs!P17)</f>
        <v/>
      </c>
      <c r="K22" s="192" t="str">
        <f>IF(A22="","",VFDs!I17)</f>
        <v/>
      </c>
      <c r="M22" s="192" t="str">
        <f>IF(A22="","",VFDs!J17)</f>
        <v/>
      </c>
      <c r="N22" s="192" t="str">
        <f>IF(A22="","",VFDs!M17)</f>
        <v/>
      </c>
      <c r="Q22" s="192" t="str">
        <f>IF(A22="","",VFDs!V17)</f>
        <v/>
      </c>
      <c r="R22" s="192" t="str">
        <f>IF(A22="","",VFDs!U17)</f>
        <v/>
      </c>
      <c r="U22" s="192" t="str">
        <f>IF(A22="","",'Project Summary'!$C$12)</f>
        <v/>
      </c>
    </row>
    <row r="23" spans="1:24" s="191" customFormat="1">
      <c r="A23" s="191" t="str">
        <f>IF(OR('ECM Fan'!AA8=0,'ECM Fan'!AA8=""),"","Prescriptive")</f>
        <v/>
      </c>
      <c r="B23" s="191" t="str">
        <f>IF(A23="","","ECMFan")</f>
        <v/>
      </c>
      <c r="C23" s="191" t="str">
        <f>IF(A23="","",'ECM Fan'!H8)</f>
        <v/>
      </c>
      <c r="D23" s="191" t="str">
        <f t="shared" si="0"/>
        <v/>
      </c>
      <c r="F23" s="191" t="str">
        <f>IF(A23="","",'ECM Fan'!AD8)</f>
        <v/>
      </c>
      <c r="G23" s="191" t="str">
        <f>IF(A23="","",'ECM Fan'!D8)</f>
        <v/>
      </c>
      <c r="H23" s="191" t="str">
        <f>IF(A23="","",'ECM Fan'!E8)</f>
        <v/>
      </c>
      <c r="K23" s="191" t="str">
        <f>IF(A23="","",'ECM Fan'!G8)</f>
        <v/>
      </c>
      <c r="M23" s="191" t="str">
        <f>IF(A23="","",'ECM Fan'!J8)</f>
        <v/>
      </c>
      <c r="N23" s="196"/>
      <c r="Q23" s="191" t="str">
        <f>IF(A23="","",'ECM Fan'!AB8)</f>
        <v/>
      </c>
      <c r="R23" s="191" t="str">
        <f>IF(A23="","",'ECM Fan'!AA8)</f>
        <v/>
      </c>
      <c r="U23" s="191" t="str">
        <f>IF(A23="","",'Project Summary'!$C$12)</f>
        <v/>
      </c>
      <c r="W23" s="191" t="str">
        <f>IF(A23="","",'ECM Fan'!L8)</f>
        <v/>
      </c>
      <c r="X23" s="191" t="str">
        <f>IF(A23="","",'ECM Fan'!N8)</f>
        <v/>
      </c>
    </row>
    <row r="24" spans="1:24" s="191" customFormat="1">
      <c r="A24" s="191" t="str">
        <f>IF(OR('ECM Fan'!AA9=0,'ECM Fan'!AA9=""),"","Prescriptive")</f>
        <v/>
      </c>
      <c r="B24" s="191" t="str">
        <f t="shared" ref="B24:B32" si="2">IF(A24="","","ECMFan")</f>
        <v/>
      </c>
      <c r="C24" s="191" t="str">
        <f>IF(A24="","",'ECM Fan'!H9)</f>
        <v/>
      </c>
      <c r="D24" s="191" t="str">
        <f t="shared" si="0"/>
        <v/>
      </c>
      <c r="F24" s="191" t="str">
        <f>IF(A24="","",'ECM Fan'!AD9)</f>
        <v/>
      </c>
      <c r="G24" s="191" t="str">
        <f>IF(A24="","",'ECM Fan'!D9)</f>
        <v/>
      </c>
      <c r="H24" s="191" t="str">
        <f>IF(A24="","",'ECM Fan'!E9)</f>
        <v/>
      </c>
      <c r="K24" s="191" t="str">
        <f>IF(A24="","",'ECM Fan'!G9)</f>
        <v/>
      </c>
      <c r="M24" s="191" t="str">
        <f>IF(A24="","",'ECM Fan'!J9)</f>
        <v/>
      </c>
      <c r="N24" s="196"/>
      <c r="Q24" s="191" t="str">
        <f>IF(A24="","",'ECM Fan'!AB9)</f>
        <v/>
      </c>
      <c r="R24" s="191" t="str">
        <f>IF(A24="","",'ECM Fan'!AA9)</f>
        <v/>
      </c>
      <c r="U24" s="191" t="str">
        <f>IF(A24="","",'Project Summary'!$C$12)</f>
        <v/>
      </c>
      <c r="W24" s="191" t="str">
        <f>IF(A24="","",'ECM Fan'!L9)</f>
        <v/>
      </c>
      <c r="X24" s="191" t="str">
        <f>IF(A24="","",'ECM Fan'!N9)</f>
        <v/>
      </c>
    </row>
    <row r="25" spans="1:24" s="191" customFormat="1">
      <c r="A25" s="191" t="str">
        <f>IF(OR('ECM Fan'!AA10=0,'ECM Fan'!AA10=""),"","Prescriptive")</f>
        <v/>
      </c>
      <c r="B25" s="191" t="str">
        <f t="shared" si="2"/>
        <v/>
      </c>
      <c r="C25" s="191" t="str">
        <f>IF(A25="","",'ECM Fan'!H10)</f>
        <v/>
      </c>
      <c r="D25" s="191" t="str">
        <f t="shared" si="0"/>
        <v/>
      </c>
      <c r="F25" s="191" t="str">
        <f>IF(A25="","",'ECM Fan'!AD10)</f>
        <v/>
      </c>
      <c r="G25" s="191" t="str">
        <f>IF(A25="","",'ECM Fan'!D10)</f>
        <v/>
      </c>
      <c r="H25" s="191" t="str">
        <f>IF(A25="","",'ECM Fan'!E10)</f>
        <v/>
      </c>
      <c r="K25" s="191" t="str">
        <f>IF(A25="","",'ECM Fan'!G10)</f>
        <v/>
      </c>
      <c r="M25" s="191" t="str">
        <f>IF(A25="","",'ECM Fan'!J10)</f>
        <v/>
      </c>
      <c r="N25" s="196"/>
      <c r="Q25" s="191" t="str">
        <f>IF(A25="","",'ECM Fan'!AB10)</f>
        <v/>
      </c>
      <c r="R25" s="191" t="str">
        <f>IF(A25="","",'ECM Fan'!AA10)</f>
        <v/>
      </c>
      <c r="U25" s="191" t="str">
        <f>IF(A25="","",'Project Summary'!$C$12)</f>
        <v/>
      </c>
      <c r="W25" s="191" t="str">
        <f>IF(A25="","",'ECM Fan'!L10)</f>
        <v/>
      </c>
      <c r="X25" s="191" t="str">
        <f>IF(A25="","",'ECM Fan'!N10)</f>
        <v/>
      </c>
    </row>
    <row r="26" spans="1:24" s="191" customFormat="1">
      <c r="A26" s="191" t="str">
        <f>IF(OR('ECM Fan'!AA11=0,'ECM Fan'!AA11=""),"","Prescriptive")</f>
        <v/>
      </c>
      <c r="B26" s="191" t="str">
        <f t="shared" si="2"/>
        <v/>
      </c>
      <c r="C26" s="191" t="str">
        <f>IF(A26="","",'ECM Fan'!H11)</f>
        <v/>
      </c>
      <c r="D26" s="191" t="str">
        <f t="shared" si="0"/>
        <v/>
      </c>
      <c r="F26" s="191" t="str">
        <f>IF(A26="","",'ECM Fan'!AD11)</f>
        <v/>
      </c>
      <c r="G26" s="191" t="str">
        <f>IF(A26="","",'ECM Fan'!D11)</f>
        <v/>
      </c>
      <c r="H26" s="191" t="str">
        <f>IF(A26="","",'ECM Fan'!E11)</f>
        <v/>
      </c>
      <c r="K26" s="191" t="str">
        <f>IF(A26="","",'ECM Fan'!G11)</f>
        <v/>
      </c>
      <c r="M26" s="191" t="str">
        <f>IF(A26="","",'ECM Fan'!J11)</f>
        <v/>
      </c>
      <c r="N26" s="196"/>
      <c r="Q26" s="191" t="str">
        <f>IF(A26="","",'ECM Fan'!AB11)</f>
        <v/>
      </c>
      <c r="R26" s="191" t="str">
        <f>IF(A26="","",'ECM Fan'!AA11)</f>
        <v/>
      </c>
      <c r="U26" s="191" t="str">
        <f>IF(A26="","",'Project Summary'!$C$12)</f>
        <v/>
      </c>
      <c r="W26" s="191" t="str">
        <f>IF(A26="","",'ECM Fan'!L11)</f>
        <v/>
      </c>
      <c r="X26" s="191" t="str">
        <f>IF(A26="","",'ECM Fan'!N11)</f>
        <v/>
      </c>
    </row>
    <row r="27" spans="1:24" s="191" customFormat="1">
      <c r="A27" s="191" t="str">
        <f>IF(OR('ECM Fan'!AA12=0,'ECM Fan'!AA12=""),"","Prescriptive")</f>
        <v/>
      </c>
      <c r="B27" s="191" t="str">
        <f t="shared" si="2"/>
        <v/>
      </c>
      <c r="C27" s="191" t="str">
        <f>IF(A27="","",'ECM Fan'!H12)</f>
        <v/>
      </c>
      <c r="D27" s="191" t="str">
        <f t="shared" si="0"/>
        <v/>
      </c>
      <c r="F27" s="191" t="str">
        <f>IF(A27="","",'ECM Fan'!AD12)</f>
        <v/>
      </c>
      <c r="G27" s="191" t="str">
        <f>IF(A27="","",'ECM Fan'!D12)</f>
        <v/>
      </c>
      <c r="H27" s="191" t="str">
        <f>IF(A27="","",'ECM Fan'!E12)</f>
        <v/>
      </c>
      <c r="K27" s="191" t="str">
        <f>IF(A27="","",'ECM Fan'!G12)</f>
        <v/>
      </c>
      <c r="M27" s="191" t="str">
        <f>IF(A27="","",'ECM Fan'!J12)</f>
        <v/>
      </c>
      <c r="N27" s="196"/>
      <c r="Q27" s="191" t="str">
        <f>IF(A27="","",'ECM Fan'!AB12)</f>
        <v/>
      </c>
      <c r="R27" s="191" t="str">
        <f>IF(A27="","",'ECM Fan'!AA12)</f>
        <v/>
      </c>
      <c r="U27" s="191" t="str">
        <f>IF(A27="","",'Project Summary'!$C$12)</f>
        <v/>
      </c>
      <c r="W27" s="191" t="str">
        <f>IF(A27="","",'ECM Fan'!L12)</f>
        <v/>
      </c>
      <c r="X27" s="191" t="str">
        <f>IF(A27="","",'ECM Fan'!N12)</f>
        <v/>
      </c>
    </row>
    <row r="28" spans="1:24" s="191" customFormat="1">
      <c r="A28" s="191" t="str">
        <f>IF(OR('ECM Fan'!AA13=0,'ECM Fan'!AA13=""),"","Prescriptive")</f>
        <v/>
      </c>
      <c r="B28" s="191" t="str">
        <f t="shared" si="2"/>
        <v/>
      </c>
      <c r="C28" s="191" t="str">
        <f>IF(A28="","",'ECM Fan'!H13)</f>
        <v/>
      </c>
      <c r="D28" s="191" t="str">
        <f t="shared" si="0"/>
        <v/>
      </c>
      <c r="F28" s="191" t="str">
        <f>IF(A28="","",'ECM Fan'!AD13)</f>
        <v/>
      </c>
      <c r="G28" s="191" t="str">
        <f>IF(A28="","",'ECM Fan'!D13)</f>
        <v/>
      </c>
      <c r="H28" s="191" t="str">
        <f>IF(A28="","",'ECM Fan'!E13)</f>
        <v/>
      </c>
      <c r="K28" s="191" t="str">
        <f>IF(A28="","",'ECM Fan'!G13)</f>
        <v/>
      </c>
      <c r="M28" s="191" t="str">
        <f>IF(A28="","",'ECM Fan'!J13)</f>
        <v/>
      </c>
      <c r="N28" s="196"/>
      <c r="Q28" s="191" t="str">
        <f>IF(A28="","",'ECM Fan'!AB13)</f>
        <v/>
      </c>
      <c r="R28" s="191" t="str">
        <f>IF(A28="","",'ECM Fan'!AA13)</f>
        <v/>
      </c>
      <c r="U28" s="191" t="str">
        <f>IF(A28="","",'Project Summary'!$C$12)</f>
        <v/>
      </c>
      <c r="W28" s="191" t="str">
        <f>IF(A28="","",'ECM Fan'!L13)</f>
        <v/>
      </c>
      <c r="X28" s="191" t="str">
        <f>IF(A28="","",'ECM Fan'!N13)</f>
        <v/>
      </c>
    </row>
    <row r="29" spans="1:24" s="191" customFormat="1">
      <c r="A29" s="191" t="str">
        <f>IF(OR('ECM Fan'!AA14=0,'ECM Fan'!AA14=""),"","Prescriptive")</f>
        <v/>
      </c>
      <c r="B29" s="191" t="str">
        <f t="shared" si="2"/>
        <v/>
      </c>
      <c r="C29" s="191" t="str">
        <f>IF(A29="","",'ECM Fan'!H14)</f>
        <v/>
      </c>
      <c r="D29" s="191" t="str">
        <f t="shared" si="0"/>
        <v/>
      </c>
      <c r="F29" s="191" t="str">
        <f>IF(A29="","",'ECM Fan'!AD14)</f>
        <v/>
      </c>
      <c r="G29" s="191" t="str">
        <f>IF(A29="","",'ECM Fan'!D14)</f>
        <v/>
      </c>
      <c r="H29" s="191" t="str">
        <f>IF(A29="","",'ECM Fan'!E14)</f>
        <v/>
      </c>
      <c r="K29" s="191" t="str">
        <f>IF(A29="","",'ECM Fan'!G14)</f>
        <v/>
      </c>
      <c r="M29" s="191" t="str">
        <f>IF(A29="","",'ECM Fan'!J14)</f>
        <v/>
      </c>
      <c r="N29" s="196"/>
      <c r="Q29" s="191" t="str">
        <f>IF(A29="","",'ECM Fan'!AB14)</f>
        <v/>
      </c>
      <c r="R29" s="191" t="str">
        <f>IF(A29="","",'ECM Fan'!AA14)</f>
        <v/>
      </c>
      <c r="U29" s="191" t="str">
        <f>IF(A29="","",'Project Summary'!$C$12)</f>
        <v/>
      </c>
      <c r="W29" s="191" t="str">
        <f>IF(A29="","",'ECM Fan'!L14)</f>
        <v/>
      </c>
      <c r="X29" s="191" t="str">
        <f>IF(A29="","",'ECM Fan'!N14)</f>
        <v/>
      </c>
    </row>
    <row r="30" spans="1:24" s="191" customFormat="1">
      <c r="A30" s="191" t="str">
        <f>IF(OR('ECM Fan'!AA15=0,'ECM Fan'!AA15=""),"","Prescriptive")</f>
        <v/>
      </c>
      <c r="B30" s="191" t="str">
        <f t="shared" si="2"/>
        <v/>
      </c>
      <c r="C30" s="191" t="str">
        <f>IF(A30="","",'ECM Fan'!H15)</f>
        <v/>
      </c>
      <c r="D30" s="191" t="str">
        <f t="shared" si="0"/>
        <v/>
      </c>
      <c r="F30" s="191" t="str">
        <f>IF(A30="","",'ECM Fan'!AD15)</f>
        <v/>
      </c>
      <c r="G30" s="191" t="str">
        <f>IF(A30="","",'ECM Fan'!D15)</f>
        <v/>
      </c>
      <c r="H30" s="191" t="str">
        <f>IF(A30="","",'ECM Fan'!E15)</f>
        <v/>
      </c>
      <c r="K30" s="191" t="str">
        <f>IF(A30="","",'ECM Fan'!G15)</f>
        <v/>
      </c>
      <c r="M30" s="191" t="str">
        <f>IF(A30="","",'ECM Fan'!J15)</f>
        <v/>
      </c>
      <c r="N30" s="196"/>
      <c r="Q30" s="191" t="str">
        <f>IF(A30="","",'ECM Fan'!AB15)</f>
        <v/>
      </c>
      <c r="R30" s="191" t="str">
        <f>IF(A30="","",'ECM Fan'!AA15)</f>
        <v/>
      </c>
      <c r="U30" s="191" t="str">
        <f>IF(A30="","",'Project Summary'!$C$12)</f>
        <v/>
      </c>
      <c r="W30" s="191" t="str">
        <f>IF(A30="","",'ECM Fan'!L15)</f>
        <v/>
      </c>
      <c r="X30" s="191" t="str">
        <f>IF(A30="","",'ECM Fan'!N15)</f>
        <v/>
      </c>
    </row>
    <row r="31" spans="1:24" s="191" customFormat="1">
      <c r="A31" s="191" t="str">
        <f>IF(OR('ECM Fan'!AA16=0,'ECM Fan'!AA16=""),"","Prescriptive")</f>
        <v/>
      </c>
      <c r="B31" s="191" t="str">
        <f t="shared" si="2"/>
        <v/>
      </c>
      <c r="C31" s="191" t="str">
        <f>IF(A31="","",'ECM Fan'!H16)</f>
        <v/>
      </c>
      <c r="D31" s="191" t="str">
        <f t="shared" si="0"/>
        <v/>
      </c>
      <c r="F31" s="191" t="str">
        <f>IF(A31="","",'ECM Fan'!AD16)</f>
        <v/>
      </c>
      <c r="G31" s="191" t="str">
        <f>IF(A31="","",'ECM Fan'!D16)</f>
        <v/>
      </c>
      <c r="H31" s="191" t="str">
        <f>IF(A31="","",'ECM Fan'!E16)</f>
        <v/>
      </c>
      <c r="K31" s="191" t="str">
        <f>IF(A31="","",'ECM Fan'!G16)</f>
        <v/>
      </c>
      <c r="M31" s="191" t="str">
        <f>IF(A31="","",'ECM Fan'!J16)</f>
        <v/>
      </c>
      <c r="N31" s="196"/>
      <c r="Q31" s="191" t="str">
        <f>IF(A31="","",'ECM Fan'!AB16)</f>
        <v/>
      </c>
      <c r="R31" s="191" t="str">
        <f>IF(A31="","",'ECM Fan'!AA16)</f>
        <v/>
      </c>
      <c r="U31" s="191" t="str">
        <f>IF(A31="","",'Project Summary'!$C$12)</f>
        <v/>
      </c>
      <c r="W31" s="191" t="str">
        <f>IF(A31="","",'ECM Fan'!L16)</f>
        <v/>
      </c>
      <c r="X31" s="191" t="str">
        <f>IF(A31="","",'ECM Fan'!N16)</f>
        <v/>
      </c>
    </row>
    <row r="32" spans="1:24" s="192" customFormat="1" ht="15" thickBot="1">
      <c r="A32" s="192" t="str">
        <f>IF(OR('ECM Fan'!AA17=0,'ECM Fan'!AA17=""),"","Prescriptive")</f>
        <v/>
      </c>
      <c r="B32" s="192" t="str">
        <f t="shared" si="2"/>
        <v/>
      </c>
      <c r="C32" s="192" t="str">
        <f>IF(A32="","",'ECM Fan'!H17)</f>
        <v/>
      </c>
      <c r="D32" s="192" t="str">
        <f t="shared" si="0"/>
        <v/>
      </c>
      <c r="F32" s="192" t="str">
        <f>IF(A32="","",'ECM Fan'!AD17)</f>
        <v/>
      </c>
      <c r="G32" s="192" t="str">
        <f>IF(A32="","",'ECM Fan'!D17)</f>
        <v/>
      </c>
      <c r="H32" s="192" t="str">
        <f>IF(A32="","",'ECM Fan'!E17)</f>
        <v/>
      </c>
      <c r="K32" s="192" t="str">
        <f>IF(A32="","",'ECM Fan'!G17)</f>
        <v/>
      </c>
      <c r="M32" s="192" t="str">
        <f>IF(A32="","",'ECM Fan'!J17)</f>
        <v/>
      </c>
      <c r="N32" s="197"/>
      <c r="Q32" s="192" t="str">
        <f>IF(A32="","",'ECM Fan'!AB17)</f>
        <v/>
      </c>
      <c r="R32" s="192" t="str">
        <f>IF(A32="","",'ECM Fan'!AA17)</f>
        <v/>
      </c>
      <c r="U32" s="192" t="str">
        <f>IF(A32="","",'Project Summary'!$C$12)</f>
        <v/>
      </c>
      <c r="W32" s="192" t="str">
        <f>IF(A32="","",'ECM Fan'!L17)</f>
        <v/>
      </c>
      <c r="X32" s="192" t="str">
        <f>IF(A32="","",'ECM Fan'!N17)</f>
        <v/>
      </c>
    </row>
    <row r="33" spans="1:21" s="193" customFormat="1">
      <c r="A33" s="193" t="str">
        <f>IF(OR('VSD Kitchen Fan'!J8=0,'VSD Kitchen Fan'!J8=""),"","Prescriptive")</f>
        <v/>
      </c>
      <c r="B33" s="193" t="str">
        <f>IF(A33="","","VSDKitchenfan")</f>
        <v/>
      </c>
      <c r="C33" s="193" t="str">
        <f>IF(A33="","",'VSD Kitchen Fan'!G8)</f>
        <v/>
      </c>
      <c r="D33" s="193" t="str">
        <f t="shared" si="0"/>
        <v/>
      </c>
      <c r="F33" s="193" t="str">
        <f>IF(A33="","",'VSD Kitchen Fan'!M8)</f>
        <v/>
      </c>
      <c r="G33" s="193" t="str">
        <f>IF(A33="","",'VSD Kitchen Fan'!D8)</f>
        <v/>
      </c>
      <c r="H33" s="193" t="str">
        <f>IF(A33="","",'VSD Kitchen Fan'!E8)</f>
        <v/>
      </c>
      <c r="K33" s="193" t="str">
        <f>IF(A33="","",'VSD Kitchen Fan'!F8)</f>
        <v/>
      </c>
      <c r="N33" s="193" t="str">
        <f>IF(A33="","",'VSD Kitchen Fan'!H8)</f>
        <v/>
      </c>
      <c r="Q33" s="193" t="str">
        <f>IF(A33="","",'VSD Kitchen Fan'!K8)</f>
        <v/>
      </c>
      <c r="R33" s="193" t="str">
        <f>IF(A33="","",'VSD Kitchen Fan'!J8)</f>
        <v/>
      </c>
      <c r="U33" s="193" t="str">
        <f>IF(A33="","",'Project Summary'!$C$12)</f>
        <v/>
      </c>
    </row>
    <row r="34" spans="1:21" s="191" customFormat="1">
      <c r="A34" s="191" t="str">
        <f>IF(OR('VSD Kitchen Fan'!J9=0,'VSD Kitchen Fan'!J9=""),"","Prescriptive")</f>
        <v/>
      </c>
      <c r="B34" s="191" t="str">
        <f t="shared" ref="B34:B42" si="3">IF(A34="","","VSDKitchenfan")</f>
        <v/>
      </c>
      <c r="C34" s="191" t="str">
        <f>IF(A34="","",'VSD Kitchen Fan'!G9)</f>
        <v/>
      </c>
      <c r="D34" s="191" t="str">
        <f t="shared" si="0"/>
        <v/>
      </c>
      <c r="F34" s="191" t="str">
        <f>IF(A34="","",'VSD Kitchen Fan'!M9)</f>
        <v/>
      </c>
      <c r="G34" s="191" t="str">
        <f>IF(A34="","",'VSD Kitchen Fan'!D9)</f>
        <v/>
      </c>
      <c r="H34" s="191" t="str">
        <f>IF(A34="","",'VSD Kitchen Fan'!E9)</f>
        <v/>
      </c>
      <c r="K34" s="191" t="str">
        <f>IF(A34="","",'VSD Kitchen Fan'!F9)</f>
        <v/>
      </c>
      <c r="N34" s="191" t="str">
        <f>IF(A34="","",'VSD Kitchen Fan'!H9)</f>
        <v/>
      </c>
      <c r="Q34" s="191" t="str">
        <f>IF(A34="","",'VSD Kitchen Fan'!K9)</f>
        <v/>
      </c>
      <c r="R34" s="191" t="str">
        <f>IF(A34="","",'VSD Kitchen Fan'!J9)</f>
        <v/>
      </c>
      <c r="U34" s="191" t="str">
        <f>IF(A34="","",'Project Summary'!$C$12)</f>
        <v/>
      </c>
    </row>
    <row r="35" spans="1:21" s="191" customFormat="1">
      <c r="A35" s="191" t="str">
        <f>IF(OR('VSD Kitchen Fan'!J10=0,'VSD Kitchen Fan'!J10=""),"","Prescriptive")</f>
        <v/>
      </c>
      <c r="B35" s="191" t="str">
        <f t="shared" si="3"/>
        <v/>
      </c>
      <c r="C35" s="191" t="str">
        <f>IF(A35="","",'VSD Kitchen Fan'!G10)</f>
        <v/>
      </c>
      <c r="D35" s="191" t="str">
        <f t="shared" si="0"/>
        <v/>
      </c>
      <c r="F35" s="191" t="str">
        <f>IF(A35="","",'VSD Kitchen Fan'!M10)</f>
        <v/>
      </c>
      <c r="G35" s="191" t="str">
        <f>IF(A35="","",'VSD Kitchen Fan'!D10)</f>
        <v/>
      </c>
      <c r="H35" s="191" t="str">
        <f>IF(A35="","",'VSD Kitchen Fan'!E10)</f>
        <v/>
      </c>
      <c r="K35" s="191" t="str">
        <f>IF(A35="","",'VSD Kitchen Fan'!F10)</f>
        <v/>
      </c>
      <c r="N35" s="191" t="str">
        <f>IF(A35="","",'VSD Kitchen Fan'!H10)</f>
        <v/>
      </c>
      <c r="Q35" s="191" t="str">
        <f>IF(A35="","",'VSD Kitchen Fan'!K10)</f>
        <v/>
      </c>
      <c r="R35" s="191" t="str">
        <f>IF(A35="","",'VSD Kitchen Fan'!J10)</f>
        <v/>
      </c>
      <c r="U35" s="191" t="str">
        <f>IF(A35="","",'Project Summary'!$C$12)</f>
        <v/>
      </c>
    </row>
    <row r="36" spans="1:21" s="191" customFormat="1">
      <c r="A36" s="191" t="str">
        <f>IF(OR('VSD Kitchen Fan'!J11=0,'VSD Kitchen Fan'!J11=""),"","Prescriptive")</f>
        <v/>
      </c>
      <c r="B36" s="191" t="str">
        <f t="shared" si="3"/>
        <v/>
      </c>
      <c r="C36" s="191" t="str">
        <f>IF(A36="","",'VSD Kitchen Fan'!G11)</f>
        <v/>
      </c>
      <c r="D36" s="191" t="str">
        <f t="shared" si="0"/>
        <v/>
      </c>
      <c r="F36" s="191" t="str">
        <f>IF(A36="","",'VSD Kitchen Fan'!M11)</f>
        <v/>
      </c>
      <c r="G36" s="191" t="str">
        <f>IF(A36="","",'VSD Kitchen Fan'!D11)</f>
        <v/>
      </c>
      <c r="H36" s="191" t="str">
        <f>IF(A36="","",'VSD Kitchen Fan'!E11)</f>
        <v/>
      </c>
      <c r="K36" s="191" t="str">
        <f>IF(A36="","",'VSD Kitchen Fan'!F11)</f>
        <v/>
      </c>
      <c r="N36" s="191" t="str">
        <f>IF(A36="","",'VSD Kitchen Fan'!H11)</f>
        <v/>
      </c>
      <c r="Q36" s="191" t="str">
        <f>IF(A36="","",'VSD Kitchen Fan'!K11)</f>
        <v/>
      </c>
      <c r="R36" s="191" t="str">
        <f>IF(A36="","",'VSD Kitchen Fan'!J11)</f>
        <v/>
      </c>
      <c r="U36" s="191" t="str">
        <f>IF(A36="","",'Project Summary'!$C$12)</f>
        <v/>
      </c>
    </row>
    <row r="37" spans="1:21" s="191" customFormat="1">
      <c r="A37" s="191" t="str">
        <f>IF(OR('VSD Kitchen Fan'!J12=0,'VSD Kitchen Fan'!J12=""),"","Prescriptive")</f>
        <v/>
      </c>
      <c r="B37" s="191" t="str">
        <f t="shared" si="3"/>
        <v/>
      </c>
      <c r="C37" s="191" t="str">
        <f>IF(A37="","",'VSD Kitchen Fan'!G12)</f>
        <v/>
      </c>
      <c r="D37" s="191" t="str">
        <f t="shared" si="0"/>
        <v/>
      </c>
      <c r="F37" s="191" t="str">
        <f>IF(A37="","",'VSD Kitchen Fan'!M12)</f>
        <v/>
      </c>
      <c r="G37" s="191" t="str">
        <f>IF(A37="","",'VSD Kitchen Fan'!D12)</f>
        <v/>
      </c>
      <c r="H37" s="191" t="str">
        <f>IF(A37="","",'VSD Kitchen Fan'!E12)</f>
        <v/>
      </c>
      <c r="K37" s="191" t="str">
        <f>IF(A37="","",'VSD Kitchen Fan'!F12)</f>
        <v/>
      </c>
      <c r="N37" s="191" t="str">
        <f>IF(A37="","",'VSD Kitchen Fan'!H12)</f>
        <v/>
      </c>
      <c r="Q37" s="191" t="str">
        <f>IF(A37="","",'VSD Kitchen Fan'!K12)</f>
        <v/>
      </c>
      <c r="R37" s="191" t="str">
        <f>IF(A37="","",'VSD Kitchen Fan'!J12)</f>
        <v/>
      </c>
      <c r="U37" s="191" t="str">
        <f>IF(A37="","",'Project Summary'!$C$12)</f>
        <v/>
      </c>
    </row>
    <row r="38" spans="1:21" s="191" customFormat="1">
      <c r="A38" s="191" t="str">
        <f>IF(OR('VSD Kitchen Fan'!J13=0,'VSD Kitchen Fan'!J13=""),"","Prescriptive")</f>
        <v/>
      </c>
      <c r="B38" s="191" t="str">
        <f t="shared" si="3"/>
        <v/>
      </c>
      <c r="C38" s="191" t="str">
        <f>IF(A38="","",'VSD Kitchen Fan'!G13)</f>
        <v/>
      </c>
      <c r="D38" s="191" t="str">
        <f t="shared" si="0"/>
        <v/>
      </c>
      <c r="F38" s="191" t="str">
        <f>IF(A38="","",'VSD Kitchen Fan'!M13)</f>
        <v/>
      </c>
      <c r="G38" s="191" t="str">
        <f>IF(A38="","",'VSD Kitchen Fan'!D13)</f>
        <v/>
      </c>
      <c r="H38" s="191" t="str">
        <f>IF(A38="","",'VSD Kitchen Fan'!E13)</f>
        <v/>
      </c>
      <c r="K38" s="191" t="str">
        <f>IF(A38="","",'VSD Kitchen Fan'!F13)</f>
        <v/>
      </c>
      <c r="N38" s="191" t="str">
        <f>IF(A38="","",'VSD Kitchen Fan'!H13)</f>
        <v/>
      </c>
      <c r="Q38" s="191" t="str">
        <f>IF(A38="","",'VSD Kitchen Fan'!K13)</f>
        <v/>
      </c>
      <c r="R38" s="191" t="str">
        <f>IF(A38="","",'VSD Kitchen Fan'!J13)</f>
        <v/>
      </c>
      <c r="U38" s="191" t="str">
        <f>IF(A38="","",'Project Summary'!$C$12)</f>
        <v/>
      </c>
    </row>
    <row r="39" spans="1:21" s="191" customFormat="1">
      <c r="A39" s="191" t="str">
        <f>IF(OR('VSD Kitchen Fan'!J14=0,'VSD Kitchen Fan'!J14=""),"","Prescriptive")</f>
        <v/>
      </c>
      <c r="B39" s="191" t="str">
        <f t="shared" si="3"/>
        <v/>
      </c>
      <c r="C39" s="191" t="str">
        <f>IF(A39="","",'VSD Kitchen Fan'!G14)</f>
        <v/>
      </c>
      <c r="D39" s="191" t="str">
        <f t="shared" si="0"/>
        <v/>
      </c>
      <c r="F39" s="191" t="str">
        <f>IF(A39="","",'VSD Kitchen Fan'!M14)</f>
        <v/>
      </c>
      <c r="G39" s="191" t="str">
        <f>IF(A39="","",'VSD Kitchen Fan'!D14)</f>
        <v/>
      </c>
      <c r="H39" s="191" t="str">
        <f>IF(A39="","",'VSD Kitchen Fan'!E14)</f>
        <v/>
      </c>
      <c r="K39" s="191" t="str">
        <f>IF(A39="","",'VSD Kitchen Fan'!F14)</f>
        <v/>
      </c>
      <c r="N39" s="191" t="str">
        <f>IF(A39="","",'VSD Kitchen Fan'!H14)</f>
        <v/>
      </c>
      <c r="Q39" s="191" t="str">
        <f>IF(A39="","",'VSD Kitchen Fan'!K14)</f>
        <v/>
      </c>
      <c r="R39" s="191" t="str">
        <f>IF(A39="","",'VSD Kitchen Fan'!J14)</f>
        <v/>
      </c>
      <c r="U39" s="191" t="str">
        <f>IF(A39="","",'Project Summary'!$C$12)</f>
        <v/>
      </c>
    </row>
    <row r="40" spans="1:21" s="191" customFormat="1">
      <c r="A40" s="191" t="str">
        <f>IF(OR('VSD Kitchen Fan'!J15=0,'VSD Kitchen Fan'!J15=""),"","Prescriptive")</f>
        <v/>
      </c>
      <c r="B40" s="191" t="str">
        <f t="shared" si="3"/>
        <v/>
      </c>
      <c r="C40" s="191" t="str">
        <f>IF(A40="","",'VSD Kitchen Fan'!G15)</f>
        <v/>
      </c>
      <c r="D40" s="191" t="str">
        <f t="shared" si="0"/>
        <v/>
      </c>
      <c r="F40" s="191" t="str">
        <f>IF(A40="","",'VSD Kitchen Fan'!M15)</f>
        <v/>
      </c>
      <c r="G40" s="191" t="str">
        <f>IF(A40="","",'VSD Kitchen Fan'!D15)</f>
        <v/>
      </c>
      <c r="H40" s="191" t="str">
        <f>IF(A40="","",'VSD Kitchen Fan'!E15)</f>
        <v/>
      </c>
      <c r="K40" s="191" t="str">
        <f>IF(A40="","",'VSD Kitchen Fan'!F15)</f>
        <v/>
      </c>
      <c r="N40" s="191" t="str">
        <f>IF(A40="","",'VSD Kitchen Fan'!H15)</f>
        <v/>
      </c>
      <c r="Q40" s="191" t="str">
        <f>IF(A40="","",'VSD Kitchen Fan'!K15)</f>
        <v/>
      </c>
      <c r="R40" s="191" t="str">
        <f>IF(A40="","",'VSD Kitchen Fan'!J15)</f>
        <v/>
      </c>
      <c r="U40" s="191" t="str">
        <f>IF(A40="","",'Project Summary'!$C$12)</f>
        <v/>
      </c>
    </row>
    <row r="41" spans="1:21" s="191" customFormat="1">
      <c r="A41" s="191" t="str">
        <f>IF(OR('VSD Kitchen Fan'!J16=0,'VSD Kitchen Fan'!J16=""),"","Prescriptive")</f>
        <v/>
      </c>
      <c r="B41" s="191" t="str">
        <f t="shared" si="3"/>
        <v/>
      </c>
      <c r="C41" s="191" t="str">
        <f>IF(A41="","",'VSD Kitchen Fan'!G16)</f>
        <v/>
      </c>
      <c r="D41" s="191" t="str">
        <f t="shared" si="0"/>
        <v/>
      </c>
      <c r="F41" s="191" t="str">
        <f>IF(A41="","",'VSD Kitchen Fan'!M16)</f>
        <v/>
      </c>
      <c r="G41" s="191" t="str">
        <f>IF(A41="","",'VSD Kitchen Fan'!D16)</f>
        <v/>
      </c>
      <c r="H41" s="191" t="str">
        <f>IF(A41="","",'VSD Kitchen Fan'!E16)</f>
        <v/>
      </c>
      <c r="K41" s="191" t="str">
        <f>IF(A41="","",'VSD Kitchen Fan'!F16)</f>
        <v/>
      </c>
      <c r="N41" s="191" t="str">
        <f>IF(A41="","",'VSD Kitchen Fan'!H16)</f>
        <v/>
      </c>
      <c r="Q41" s="191" t="str">
        <f>IF(A41="","",'VSD Kitchen Fan'!K16)</f>
        <v/>
      </c>
      <c r="R41" s="191" t="str">
        <f>IF(A41="","",'VSD Kitchen Fan'!J16)</f>
        <v/>
      </c>
      <c r="U41" s="191" t="str">
        <f>IF(A41="","",'Project Summary'!$C$12)</f>
        <v/>
      </c>
    </row>
    <row r="42" spans="1:21" s="192" customFormat="1" ht="15" thickBot="1">
      <c r="A42" s="192" t="str">
        <f>IF(OR('VSD Kitchen Fan'!J17=0,'VSD Kitchen Fan'!J17=""),"","Prescriptive")</f>
        <v/>
      </c>
      <c r="B42" s="192" t="str">
        <f t="shared" si="3"/>
        <v/>
      </c>
      <c r="C42" s="192" t="str">
        <f>IF(A42="","",'VSD Kitchen Fan'!G17)</f>
        <v/>
      </c>
      <c r="D42" s="192" t="str">
        <f t="shared" si="0"/>
        <v/>
      </c>
      <c r="F42" s="192" t="str">
        <f>IF(A42="","",'VSD Kitchen Fan'!M17)</f>
        <v/>
      </c>
      <c r="G42" s="192" t="str">
        <f>IF(A42="","",'VSD Kitchen Fan'!D17)</f>
        <v/>
      </c>
      <c r="H42" s="192" t="str">
        <f>IF(A42="","",'VSD Kitchen Fan'!E17)</f>
        <v/>
      </c>
      <c r="K42" s="192" t="str">
        <f>IF(A42="","",'VSD Kitchen Fan'!F17)</f>
        <v/>
      </c>
      <c r="N42" s="192" t="str">
        <f>IF(A42="","",'VSD Kitchen Fan'!H17)</f>
        <v/>
      </c>
      <c r="Q42" s="192" t="str">
        <f>IF(A42="","",'VSD Kitchen Fan'!K17)</f>
        <v/>
      </c>
      <c r="R42" s="192" t="str">
        <f>IF(A42="","",'VSD Kitchen Fan'!J17)</f>
        <v/>
      </c>
      <c r="U42" s="192" t="str">
        <f>IF(A42="","",'Project Summary'!$C$12)</f>
        <v/>
      </c>
    </row>
    <row r="43" spans="1:21" s="193" customFormat="1">
      <c r="A43" s="193" t="str">
        <f>IF(OR('ECM Circulator Pump'!V8=0,'ECM Circulator Pump'!V8=""),"","Prescriptive")</f>
        <v/>
      </c>
      <c r="B43" s="195"/>
      <c r="C43" s="193" t="str">
        <f>IF(A43="","",'ECM Circulator Pump'!G8)</f>
        <v/>
      </c>
      <c r="D43" s="193" t="str">
        <f t="shared" si="0"/>
        <v/>
      </c>
      <c r="F43" s="193" t="str">
        <f>IF(A43="","",'ECM Circulator Pump'!Y8)</f>
        <v/>
      </c>
      <c r="G43" s="193" t="str">
        <f>IF(A43="","",'ECM Circulator Pump'!D8)</f>
        <v/>
      </c>
      <c r="H43" s="193" t="str">
        <f>IF(A43="","",'ECM Circulator Pump'!E8)</f>
        <v/>
      </c>
      <c r="K43" s="193" t="str">
        <f>IF(A43="","",'ECM Circulator Pump'!F8)</f>
        <v/>
      </c>
      <c r="M43" s="193" t="str">
        <f>IF(A43="","",0.85)</f>
        <v/>
      </c>
      <c r="N43" s="195"/>
      <c r="Q43" s="193" t="str">
        <f>IF(A43="","",'ECM Circulator Pump'!W8)</f>
        <v/>
      </c>
      <c r="R43" s="193" t="str">
        <f>IF(A43="","",'ECM Circulator Pump'!V8)</f>
        <v/>
      </c>
      <c r="U43" s="193" t="str">
        <f>IF(A43="","",'Project Summary'!$C$12)</f>
        <v/>
      </c>
    </row>
    <row r="44" spans="1:21" s="191" customFormat="1">
      <c r="A44" s="191" t="str">
        <f>IF(OR('ECM Circulator Pump'!V9=0,'ECM Circulator Pump'!V9=""),"","Prescriptive")</f>
        <v/>
      </c>
      <c r="B44" s="196"/>
      <c r="C44" s="191" t="str">
        <f>IF(A44="","",'ECM Circulator Pump'!G9)</f>
        <v/>
      </c>
      <c r="D44" s="191" t="str">
        <f t="shared" si="0"/>
        <v/>
      </c>
      <c r="F44" s="191" t="str">
        <f>IF(A44="","",'ECM Circulator Pump'!Y9)</f>
        <v/>
      </c>
      <c r="G44" s="191" t="str">
        <f>IF(A44="","",'ECM Circulator Pump'!D9)</f>
        <v/>
      </c>
      <c r="H44" s="191" t="str">
        <f>IF(A44="","",'ECM Circulator Pump'!E9)</f>
        <v/>
      </c>
      <c r="K44" s="191" t="str">
        <f>IF(A44="","",'ECM Circulator Pump'!F9)</f>
        <v/>
      </c>
      <c r="M44" s="191" t="str">
        <f t="shared" ref="M44:M52" si="4">IF(A44="","",0.85)</f>
        <v/>
      </c>
      <c r="N44" s="196"/>
      <c r="Q44" s="191" t="str">
        <f>IF(A44="","",'ECM Circulator Pump'!W9)</f>
        <v/>
      </c>
      <c r="R44" s="191" t="str">
        <f>IF(A44="","",'ECM Circulator Pump'!V9)</f>
        <v/>
      </c>
      <c r="U44" s="191" t="str">
        <f>IF(A44="","",'Project Summary'!$C$12)</f>
        <v/>
      </c>
    </row>
    <row r="45" spans="1:21" s="191" customFormat="1">
      <c r="A45" s="191" t="str">
        <f>IF(OR('ECM Circulator Pump'!V10=0,'ECM Circulator Pump'!V10=""),"","Prescriptive")</f>
        <v/>
      </c>
      <c r="B45" s="196"/>
      <c r="C45" s="191" t="str">
        <f>IF(A45="","",'ECM Circulator Pump'!G10)</f>
        <v/>
      </c>
      <c r="D45" s="191" t="str">
        <f t="shared" si="0"/>
        <v/>
      </c>
      <c r="F45" s="191" t="str">
        <f>IF(A45="","",'ECM Circulator Pump'!Y10)</f>
        <v/>
      </c>
      <c r="G45" s="191" t="str">
        <f>IF(A45="","",'ECM Circulator Pump'!D10)</f>
        <v/>
      </c>
      <c r="H45" s="191" t="str">
        <f>IF(A45="","",'ECM Circulator Pump'!E10)</f>
        <v/>
      </c>
      <c r="K45" s="191" t="str">
        <f>IF(A45="","",'ECM Circulator Pump'!F10)</f>
        <v/>
      </c>
      <c r="M45" s="191" t="str">
        <f t="shared" si="4"/>
        <v/>
      </c>
      <c r="N45" s="196"/>
      <c r="Q45" s="191" t="str">
        <f>IF(A45="","",'ECM Circulator Pump'!W10)</f>
        <v/>
      </c>
      <c r="R45" s="191" t="str">
        <f>IF(A45="","",'ECM Circulator Pump'!V10)</f>
        <v/>
      </c>
      <c r="U45" s="191" t="str">
        <f>IF(A45="","",'Project Summary'!$C$12)</f>
        <v/>
      </c>
    </row>
    <row r="46" spans="1:21" s="191" customFormat="1">
      <c r="A46" s="191" t="str">
        <f>IF(OR('ECM Circulator Pump'!V11=0,'ECM Circulator Pump'!V11=""),"","Prescriptive")</f>
        <v/>
      </c>
      <c r="B46" s="196"/>
      <c r="C46" s="191" t="str">
        <f>IF(A46="","",'ECM Circulator Pump'!G11)</f>
        <v/>
      </c>
      <c r="D46" s="191" t="str">
        <f t="shared" si="0"/>
        <v/>
      </c>
      <c r="F46" s="191" t="str">
        <f>IF(A46="","",'ECM Circulator Pump'!Y11)</f>
        <v/>
      </c>
      <c r="G46" s="191" t="str">
        <f>IF(A46="","",'ECM Circulator Pump'!D11)</f>
        <v/>
      </c>
      <c r="H46" s="191" t="str">
        <f>IF(A46="","",'ECM Circulator Pump'!E11)</f>
        <v/>
      </c>
      <c r="K46" s="191" t="str">
        <f>IF(A46="","",'ECM Circulator Pump'!F11)</f>
        <v/>
      </c>
      <c r="M46" s="191" t="str">
        <f t="shared" si="4"/>
        <v/>
      </c>
      <c r="N46" s="196"/>
      <c r="Q46" s="191" t="str">
        <f>IF(A46="","",'ECM Circulator Pump'!W11)</f>
        <v/>
      </c>
      <c r="R46" s="191" t="str">
        <f>IF(A46="","",'ECM Circulator Pump'!V11)</f>
        <v/>
      </c>
      <c r="U46" s="191" t="str">
        <f>IF(A46="","",'Project Summary'!$C$12)</f>
        <v/>
      </c>
    </row>
    <row r="47" spans="1:21" s="191" customFormat="1">
      <c r="A47" s="191" t="str">
        <f>IF(OR('ECM Circulator Pump'!V12=0,'ECM Circulator Pump'!V12=""),"","Prescriptive")</f>
        <v/>
      </c>
      <c r="B47" s="196"/>
      <c r="C47" s="191" t="str">
        <f>IF(A47="","",'ECM Circulator Pump'!G12)</f>
        <v/>
      </c>
      <c r="D47" s="191" t="str">
        <f t="shared" si="0"/>
        <v/>
      </c>
      <c r="F47" s="191" t="str">
        <f>IF(A47="","",'ECM Circulator Pump'!Y12)</f>
        <v/>
      </c>
      <c r="G47" s="191" t="str">
        <f>IF(A47="","",'ECM Circulator Pump'!D12)</f>
        <v/>
      </c>
      <c r="H47" s="191" t="str">
        <f>IF(A47="","",'ECM Circulator Pump'!E12)</f>
        <v/>
      </c>
      <c r="K47" s="191" t="str">
        <f>IF(A47="","",'ECM Circulator Pump'!F12)</f>
        <v/>
      </c>
      <c r="M47" s="191" t="str">
        <f t="shared" si="4"/>
        <v/>
      </c>
      <c r="N47" s="196"/>
      <c r="Q47" s="191" t="str">
        <f>IF(A47="","",'ECM Circulator Pump'!W12)</f>
        <v/>
      </c>
      <c r="R47" s="191" t="str">
        <f>IF(A47="","",'ECM Circulator Pump'!V12)</f>
        <v/>
      </c>
      <c r="U47" s="191" t="str">
        <f>IF(A47="","",'Project Summary'!$C$12)</f>
        <v/>
      </c>
    </row>
    <row r="48" spans="1:21" s="191" customFormat="1">
      <c r="A48" s="191" t="str">
        <f>IF(OR('ECM Circulator Pump'!V13=0,'ECM Circulator Pump'!V13=""),"","Prescriptive")</f>
        <v/>
      </c>
      <c r="B48" s="196"/>
      <c r="C48" s="191" t="str">
        <f>IF(A48="","",'ECM Circulator Pump'!G13)</f>
        <v/>
      </c>
      <c r="D48" s="191" t="str">
        <f t="shared" si="0"/>
        <v/>
      </c>
      <c r="F48" s="191" t="str">
        <f>IF(A48="","",'ECM Circulator Pump'!Y13)</f>
        <v/>
      </c>
      <c r="G48" s="191" t="str">
        <f>IF(A48="","",'ECM Circulator Pump'!D13)</f>
        <v/>
      </c>
      <c r="H48" s="191" t="str">
        <f>IF(A48="","",'ECM Circulator Pump'!E13)</f>
        <v/>
      </c>
      <c r="K48" s="191" t="str">
        <f>IF(A48="","",'ECM Circulator Pump'!F13)</f>
        <v/>
      </c>
      <c r="M48" s="191" t="str">
        <f t="shared" si="4"/>
        <v/>
      </c>
      <c r="N48" s="196"/>
      <c r="Q48" s="191" t="str">
        <f>IF(A48="","",'ECM Circulator Pump'!W13)</f>
        <v/>
      </c>
      <c r="R48" s="191" t="str">
        <f>IF(A48="","",'ECM Circulator Pump'!V13)</f>
        <v/>
      </c>
      <c r="U48" s="191" t="str">
        <f>IF(A48="","",'Project Summary'!$C$12)</f>
        <v/>
      </c>
    </row>
    <row r="49" spans="1:21" s="191" customFormat="1">
      <c r="A49" s="191" t="str">
        <f>IF(OR('ECM Circulator Pump'!V14=0,'ECM Circulator Pump'!V14=""),"","Prescriptive")</f>
        <v/>
      </c>
      <c r="B49" s="196"/>
      <c r="C49" s="191" t="str">
        <f>IF(A49="","",'ECM Circulator Pump'!G14)</f>
        <v/>
      </c>
      <c r="D49" s="191" t="str">
        <f t="shared" si="0"/>
        <v/>
      </c>
      <c r="F49" s="191" t="str">
        <f>IF(A49="","",'ECM Circulator Pump'!Y14)</f>
        <v/>
      </c>
      <c r="G49" s="191" t="str">
        <f>IF(A49="","",'ECM Circulator Pump'!D14)</f>
        <v/>
      </c>
      <c r="H49" s="191" t="str">
        <f>IF(A49="","",'ECM Circulator Pump'!E14)</f>
        <v/>
      </c>
      <c r="K49" s="191" t="str">
        <f>IF(A49="","",'ECM Circulator Pump'!F14)</f>
        <v/>
      </c>
      <c r="M49" s="191" t="str">
        <f t="shared" si="4"/>
        <v/>
      </c>
      <c r="N49" s="196"/>
      <c r="Q49" s="191" t="str">
        <f>IF(A49="","",'ECM Circulator Pump'!W14)</f>
        <v/>
      </c>
      <c r="R49" s="191" t="str">
        <f>IF(A49="","",'ECM Circulator Pump'!V14)</f>
        <v/>
      </c>
      <c r="U49" s="191" t="str">
        <f>IF(A49="","",'Project Summary'!$C$12)</f>
        <v/>
      </c>
    </row>
    <row r="50" spans="1:21" s="191" customFormat="1">
      <c r="A50" s="191" t="str">
        <f>IF(OR('ECM Circulator Pump'!V15=0,'ECM Circulator Pump'!V15=""),"","Prescriptive")</f>
        <v/>
      </c>
      <c r="B50" s="196"/>
      <c r="C50" s="191" t="str">
        <f>IF(A50="","",'ECM Circulator Pump'!G15)</f>
        <v/>
      </c>
      <c r="D50" s="191" t="str">
        <f t="shared" si="0"/>
        <v/>
      </c>
      <c r="F50" s="191" t="str">
        <f>IF(A50="","",'ECM Circulator Pump'!Y15)</f>
        <v/>
      </c>
      <c r="G50" s="191" t="str">
        <f>IF(A50="","",'ECM Circulator Pump'!D15)</f>
        <v/>
      </c>
      <c r="H50" s="191" t="str">
        <f>IF(A50="","",'ECM Circulator Pump'!E15)</f>
        <v/>
      </c>
      <c r="K50" s="191" t="str">
        <f>IF(A50="","",'ECM Circulator Pump'!F15)</f>
        <v/>
      </c>
      <c r="M50" s="191" t="str">
        <f t="shared" si="4"/>
        <v/>
      </c>
      <c r="N50" s="196"/>
      <c r="Q50" s="191" t="str">
        <f>IF(A50="","",'ECM Circulator Pump'!W15)</f>
        <v/>
      </c>
      <c r="R50" s="191" t="str">
        <f>IF(A50="","",'ECM Circulator Pump'!V15)</f>
        <v/>
      </c>
      <c r="U50" s="191" t="str">
        <f>IF(A50="","",'Project Summary'!$C$12)</f>
        <v/>
      </c>
    </row>
    <row r="51" spans="1:21" s="191" customFormat="1">
      <c r="A51" s="191" t="str">
        <f>IF(OR('ECM Circulator Pump'!V16=0,'ECM Circulator Pump'!V16=""),"","Prescriptive")</f>
        <v/>
      </c>
      <c r="B51" s="196"/>
      <c r="C51" s="191" t="str">
        <f>IF(A51="","",'ECM Circulator Pump'!G16)</f>
        <v/>
      </c>
      <c r="D51" s="191" t="str">
        <f t="shared" si="0"/>
        <v/>
      </c>
      <c r="F51" s="191" t="str">
        <f>IF(A51="","",'ECM Circulator Pump'!Y16)</f>
        <v/>
      </c>
      <c r="G51" s="191" t="str">
        <f>IF(A51="","",'ECM Circulator Pump'!D16)</f>
        <v/>
      </c>
      <c r="H51" s="191" t="str">
        <f>IF(A51="","",'ECM Circulator Pump'!E16)</f>
        <v/>
      </c>
      <c r="K51" s="191" t="str">
        <f>IF(A51="","",'ECM Circulator Pump'!F16)</f>
        <v/>
      </c>
      <c r="M51" s="191" t="str">
        <f t="shared" si="4"/>
        <v/>
      </c>
      <c r="N51" s="196"/>
      <c r="Q51" s="191" t="str">
        <f>IF(A51="","",'ECM Circulator Pump'!W16)</f>
        <v/>
      </c>
      <c r="R51" s="191" t="str">
        <f>IF(A51="","",'ECM Circulator Pump'!V16)</f>
        <v/>
      </c>
      <c r="U51" s="191" t="str">
        <f>IF(A51="","",'Project Summary'!$C$12)</f>
        <v/>
      </c>
    </row>
    <row r="52" spans="1:21" s="192" customFormat="1" ht="15" thickBot="1">
      <c r="A52" s="192" t="str">
        <f>IF(OR('ECM Circulator Pump'!V17=0,'ECM Circulator Pump'!V17=""),"","Prescriptive")</f>
        <v/>
      </c>
      <c r="B52" s="197"/>
      <c r="C52" s="192" t="str">
        <f>IF(A52="","",'ECM Circulator Pump'!G17)</f>
        <v/>
      </c>
      <c r="D52" s="192" t="str">
        <f t="shared" si="0"/>
        <v/>
      </c>
      <c r="F52" s="192" t="str">
        <f>IF(A52="","",'ECM Circulator Pump'!Y17)</f>
        <v/>
      </c>
      <c r="G52" s="192" t="str">
        <f>IF(A52="","",'ECM Circulator Pump'!D17)</f>
        <v/>
      </c>
      <c r="H52" s="192" t="str">
        <f>IF(A52="","",'ECM Circulator Pump'!E17)</f>
        <v/>
      </c>
      <c r="K52" s="192" t="str">
        <f>IF(A52="","",'ECM Circulator Pump'!F17)</f>
        <v/>
      </c>
      <c r="M52" s="192" t="str">
        <f t="shared" si="4"/>
        <v/>
      </c>
      <c r="N52" s="197"/>
      <c r="Q52" s="192" t="str">
        <f>IF(A52="","",'ECM Circulator Pump'!W17)</f>
        <v/>
      </c>
      <c r="R52" s="192" t="str">
        <f>IF(A52="","",'ECM Circulator Pump'!V17)</f>
        <v/>
      </c>
      <c r="U52" s="192" t="str">
        <f>IF(A52="","",'Project Summary'!$C$12)</f>
        <v/>
      </c>
    </row>
    <row r="53" spans="1:21" s="193" customFormat="1">
      <c r="A53" s="193" t="str">
        <f>IF(OR('High Efficiency Pumps'!U8=0,'High Efficiency Pumps'!U8=""),"","Prescriptive")</f>
        <v/>
      </c>
      <c r="B53" s="195"/>
      <c r="C53" s="193" t="str">
        <f>IF(A53="","",'High Efficiency Pumps'!G8)</f>
        <v/>
      </c>
      <c r="D53" s="193" t="str">
        <f t="shared" si="0"/>
        <v/>
      </c>
      <c r="F53" s="193" t="str">
        <f>IF(A53="","",'High Efficiency Pumps'!X8)</f>
        <v/>
      </c>
      <c r="G53" s="193" t="str">
        <f>IF(A53="","",'High Efficiency Pumps'!M8)</f>
        <v/>
      </c>
      <c r="H53" s="193" t="str">
        <f>IF(A53="","",'High Efficiency Pumps'!N8)</f>
        <v/>
      </c>
      <c r="K53" s="193" t="str">
        <f>IF(A53="","",'High Efficiency Pumps'!I8)</f>
        <v/>
      </c>
      <c r="M53" s="193" t="str">
        <f>IF(A53="","",'High Efficiency Pumps'!J8)</f>
        <v/>
      </c>
      <c r="N53" s="193" t="str">
        <f>IF(A53="","",'High Efficiency Pumps'!K8)</f>
        <v/>
      </c>
      <c r="Q53" s="193" t="str">
        <f>IF(A53="","",'High Efficiency Pumps'!V8)</f>
        <v/>
      </c>
      <c r="R53" s="193" t="str">
        <f>IF(A53="","",'High Efficiency Pumps'!U8)</f>
        <v/>
      </c>
      <c r="U53" s="193" t="str">
        <f>IF(A53="","",'Project Summary'!$C$12)</f>
        <v/>
      </c>
    </row>
    <row r="54" spans="1:21" s="191" customFormat="1">
      <c r="A54" s="191" t="str">
        <f>IF(OR('High Efficiency Pumps'!U9=0,'High Efficiency Pumps'!U9=""),"","Prescriptive")</f>
        <v/>
      </c>
      <c r="B54" s="196"/>
      <c r="C54" s="191" t="str">
        <f>IF(A54="","",'High Efficiency Pumps'!G9)</f>
        <v/>
      </c>
      <c r="D54" s="191" t="str">
        <f t="shared" si="0"/>
        <v/>
      </c>
      <c r="F54" s="191" t="str">
        <f>IF(A54="","",'High Efficiency Pumps'!X9)</f>
        <v/>
      </c>
      <c r="G54" s="191" t="str">
        <f>IF(A54="","",'High Efficiency Pumps'!M9)</f>
        <v/>
      </c>
      <c r="H54" s="191" t="str">
        <f>IF(A54="","",'High Efficiency Pumps'!N9)</f>
        <v/>
      </c>
      <c r="K54" s="191" t="str">
        <f>IF(A54="","",'High Efficiency Pumps'!I9)</f>
        <v/>
      </c>
      <c r="M54" s="191" t="str">
        <f>IF(A54="","",'High Efficiency Pumps'!J9)</f>
        <v/>
      </c>
      <c r="N54" s="191" t="str">
        <f>IF(A54="","",'High Efficiency Pumps'!K9)</f>
        <v/>
      </c>
      <c r="Q54" s="191" t="str">
        <f>IF(A54="","",'High Efficiency Pumps'!V9)</f>
        <v/>
      </c>
      <c r="R54" s="191" t="str">
        <f>IF(A54="","",'High Efficiency Pumps'!U9)</f>
        <v/>
      </c>
      <c r="U54" s="191" t="str">
        <f>IF(A54="","",'Project Summary'!$C$12)</f>
        <v/>
      </c>
    </row>
    <row r="55" spans="1:21" s="191" customFormat="1">
      <c r="A55" s="191" t="str">
        <f>IF(OR('High Efficiency Pumps'!U10=0,'High Efficiency Pumps'!U10=""),"","Prescriptive")</f>
        <v/>
      </c>
      <c r="B55" s="196"/>
      <c r="C55" s="191" t="str">
        <f>IF(A55="","",'High Efficiency Pumps'!G10)</f>
        <v/>
      </c>
      <c r="D55" s="191" t="str">
        <f t="shared" si="0"/>
        <v/>
      </c>
      <c r="F55" s="191" t="str">
        <f>IF(A55="","",'High Efficiency Pumps'!X10)</f>
        <v/>
      </c>
      <c r="G55" s="191" t="str">
        <f>IF(A55="","",'High Efficiency Pumps'!M10)</f>
        <v/>
      </c>
      <c r="H55" s="191" t="str">
        <f>IF(A55="","",'High Efficiency Pumps'!N10)</f>
        <v/>
      </c>
      <c r="K55" s="191" t="str">
        <f>IF(A55="","",'High Efficiency Pumps'!I10)</f>
        <v/>
      </c>
      <c r="M55" s="191" t="str">
        <f>IF(A55="","",'High Efficiency Pumps'!J10)</f>
        <v/>
      </c>
      <c r="N55" s="191" t="str">
        <f>IF(A55="","",'High Efficiency Pumps'!K10)</f>
        <v/>
      </c>
      <c r="Q55" s="191" t="str">
        <f>IF(A55="","",'High Efficiency Pumps'!V10)</f>
        <v/>
      </c>
      <c r="R55" s="191" t="str">
        <f>IF(A55="","",'High Efficiency Pumps'!U10)</f>
        <v/>
      </c>
      <c r="U55" s="191" t="str">
        <f>IF(A55="","",'Project Summary'!$C$12)</f>
        <v/>
      </c>
    </row>
    <row r="56" spans="1:21" s="191" customFormat="1">
      <c r="A56" s="191" t="str">
        <f>IF(OR('High Efficiency Pumps'!U11=0,'High Efficiency Pumps'!U11=""),"","Prescriptive")</f>
        <v/>
      </c>
      <c r="B56" s="196"/>
      <c r="C56" s="191" t="str">
        <f>IF(A56="","",'High Efficiency Pumps'!G11)</f>
        <v/>
      </c>
      <c r="D56" s="191" t="str">
        <f t="shared" si="0"/>
        <v/>
      </c>
      <c r="F56" s="191" t="str">
        <f>IF(A56="","",'High Efficiency Pumps'!X11)</f>
        <v/>
      </c>
      <c r="G56" s="191" t="str">
        <f>IF(A56="","",'High Efficiency Pumps'!M11)</f>
        <v/>
      </c>
      <c r="H56" s="191" t="str">
        <f>IF(A56="","",'High Efficiency Pumps'!N11)</f>
        <v/>
      </c>
      <c r="K56" s="191" t="str">
        <f>IF(A56="","",'High Efficiency Pumps'!I11)</f>
        <v/>
      </c>
      <c r="M56" s="191" t="str">
        <f>IF(A56="","",'High Efficiency Pumps'!J11)</f>
        <v/>
      </c>
      <c r="N56" s="191" t="str">
        <f>IF(A56="","",'High Efficiency Pumps'!K11)</f>
        <v/>
      </c>
      <c r="Q56" s="191" t="str">
        <f>IF(A56="","",'High Efficiency Pumps'!V11)</f>
        <v/>
      </c>
      <c r="R56" s="191" t="str">
        <f>IF(A56="","",'High Efficiency Pumps'!U11)</f>
        <v/>
      </c>
      <c r="U56" s="191" t="str">
        <f>IF(A56="","",'Project Summary'!$C$12)</f>
        <v/>
      </c>
    </row>
    <row r="57" spans="1:21" s="191" customFormat="1">
      <c r="A57" s="191" t="str">
        <f>IF(OR('High Efficiency Pumps'!U12=0,'High Efficiency Pumps'!U12=""),"","Prescriptive")</f>
        <v/>
      </c>
      <c r="B57" s="196"/>
      <c r="C57" s="191" t="str">
        <f>IF(A57="","",'High Efficiency Pumps'!G12)</f>
        <v/>
      </c>
      <c r="D57" s="191" t="str">
        <f t="shared" si="0"/>
        <v/>
      </c>
      <c r="F57" s="191" t="str">
        <f>IF(A57="","",'High Efficiency Pumps'!X12)</f>
        <v/>
      </c>
      <c r="G57" s="191" t="str">
        <f>IF(A57="","",'High Efficiency Pumps'!M12)</f>
        <v/>
      </c>
      <c r="H57" s="191" t="str">
        <f>IF(A57="","",'High Efficiency Pumps'!N12)</f>
        <v/>
      </c>
      <c r="K57" s="191" t="str">
        <f>IF(A57="","",'High Efficiency Pumps'!I12)</f>
        <v/>
      </c>
      <c r="M57" s="191" t="str">
        <f>IF(A57="","",'High Efficiency Pumps'!J12)</f>
        <v/>
      </c>
      <c r="N57" s="191" t="str">
        <f>IF(A57="","",'High Efficiency Pumps'!K12)</f>
        <v/>
      </c>
      <c r="Q57" s="191" t="str">
        <f>IF(A57="","",'High Efficiency Pumps'!V12)</f>
        <v/>
      </c>
      <c r="R57" s="191" t="str">
        <f>IF(A57="","",'High Efficiency Pumps'!U12)</f>
        <v/>
      </c>
      <c r="U57" s="191" t="str">
        <f>IF(A57="","",'Project Summary'!$C$12)</f>
        <v/>
      </c>
    </row>
    <row r="58" spans="1:21" s="191" customFormat="1">
      <c r="A58" s="191" t="str">
        <f>IF(OR('High Efficiency Pumps'!U13=0,'High Efficiency Pumps'!U13=""),"","Prescriptive")</f>
        <v/>
      </c>
      <c r="B58" s="196"/>
      <c r="C58" s="191" t="str">
        <f>IF(A58="","",'High Efficiency Pumps'!G13)</f>
        <v/>
      </c>
      <c r="D58" s="191" t="str">
        <f t="shared" si="0"/>
        <v/>
      </c>
      <c r="F58" s="191" t="str">
        <f>IF(A58="","",'High Efficiency Pumps'!X13)</f>
        <v/>
      </c>
      <c r="G58" s="191" t="str">
        <f>IF(A58="","",'High Efficiency Pumps'!M13)</f>
        <v/>
      </c>
      <c r="H58" s="191" t="str">
        <f>IF(A58="","",'High Efficiency Pumps'!N13)</f>
        <v/>
      </c>
      <c r="K58" s="191" t="str">
        <f>IF(A58="","",'High Efficiency Pumps'!I13)</f>
        <v/>
      </c>
      <c r="M58" s="191" t="str">
        <f>IF(A58="","",'High Efficiency Pumps'!J13)</f>
        <v/>
      </c>
      <c r="N58" s="191" t="str">
        <f>IF(A58="","",'High Efficiency Pumps'!K13)</f>
        <v/>
      </c>
      <c r="Q58" s="191" t="str">
        <f>IF(A58="","",'High Efficiency Pumps'!V13)</f>
        <v/>
      </c>
      <c r="R58" s="191" t="str">
        <f>IF(A58="","",'High Efficiency Pumps'!U13)</f>
        <v/>
      </c>
      <c r="U58" s="191" t="str">
        <f>IF(A58="","",'Project Summary'!$C$12)</f>
        <v/>
      </c>
    </row>
    <row r="59" spans="1:21" s="191" customFormat="1">
      <c r="A59" s="191" t="str">
        <f>IF(OR('High Efficiency Pumps'!U14=0,'High Efficiency Pumps'!U14=""),"","Prescriptive")</f>
        <v/>
      </c>
      <c r="B59" s="196"/>
      <c r="C59" s="191" t="str">
        <f>IF(A59="","",'High Efficiency Pumps'!G14)</f>
        <v/>
      </c>
      <c r="D59" s="191" t="str">
        <f t="shared" si="0"/>
        <v/>
      </c>
      <c r="F59" s="191" t="str">
        <f>IF(A59="","",'High Efficiency Pumps'!X14)</f>
        <v/>
      </c>
      <c r="G59" s="191" t="str">
        <f>IF(A59="","",'High Efficiency Pumps'!M14)</f>
        <v/>
      </c>
      <c r="H59" s="191" t="str">
        <f>IF(A59="","",'High Efficiency Pumps'!N14)</f>
        <v/>
      </c>
      <c r="K59" s="191" t="str">
        <f>IF(A59="","",'High Efficiency Pumps'!I14)</f>
        <v/>
      </c>
      <c r="M59" s="191" t="str">
        <f>IF(A59="","",'High Efficiency Pumps'!J14)</f>
        <v/>
      </c>
      <c r="N59" s="191" t="str">
        <f>IF(A59="","",'High Efficiency Pumps'!K14)</f>
        <v/>
      </c>
      <c r="Q59" s="191" t="str">
        <f>IF(A59="","",'High Efficiency Pumps'!V14)</f>
        <v/>
      </c>
      <c r="R59" s="191" t="str">
        <f>IF(A59="","",'High Efficiency Pumps'!U14)</f>
        <v/>
      </c>
      <c r="U59" s="191" t="str">
        <f>IF(A59="","",'Project Summary'!$C$12)</f>
        <v/>
      </c>
    </row>
    <row r="60" spans="1:21" s="191" customFormat="1">
      <c r="A60" s="191" t="str">
        <f>IF(OR('High Efficiency Pumps'!U15=0,'High Efficiency Pumps'!U15=""),"","Prescriptive")</f>
        <v/>
      </c>
      <c r="B60" s="196"/>
      <c r="C60" s="191" t="str">
        <f>IF(A60="","",'High Efficiency Pumps'!G15)</f>
        <v/>
      </c>
      <c r="D60" s="191" t="str">
        <f t="shared" si="0"/>
        <v/>
      </c>
      <c r="F60" s="191" t="str">
        <f>IF(A60="","",'High Efficiency Pumps'!X15)</f>
        <v/>
      </c>
      <c r="G60" s="191" t="str">
        <f>IF(A60="","",'High Efficiency Pumps'!M15)</f>
        <v/>
      </c>
      <c r="H60" s="191" t="str">
        <f>IF(A60="","",'High Efficiency Pumps'!N15)</f>
        <v/>
      </c>
      <c r="K60" s="191" t="str">
        <f>IF(A60="","",'High Efficiency Pumps'!I15)</f>
        <v/>
      </c>
      <c r="M60" s="191" t="str">
        <f>IF(A60="","",'High Efficiency Pumps'!J15)</f>
        <v/>
      </c>
      <c r="N60" s="191" t="str">
        <f>IF(A60="","",'High Efficiency Pumps'!K15)</f>
        <v/>
      </c>
      <c r="Q60" s="191" t="str">
        <f>IF(A60="","",'High Efficiency Pumps'!V15)</f>
        <v/>
      </c>
      <c r="R60" s="191" t="str">
        <f>IF(A60="","",'High Efficiency Pumps'!U15)</f>
        <v/>
      </c>
      <c r="U60" s="191" t="str">
        <f>IF(A60="","",'Project Summary'!$C$12)</f>
        <v/>
      </c>
    </row>
    <row r="61" spans="1:21" s="191" customFormat="1">
      <c r="A61" s="191" t="str">
        <f>IF(OR('High Efficiency Pumps'!U16=0,'High Efficiency Pumps'!U16=""),"","Prescriptive")</f>
        <v/>
      </c>
      <c r="B61" s="196"/>
      <c r="C61" s="191" t="str">
        <f>IF(A61="","",'High Efficiency Pumps'!G16)</f>
        <v/>
      </c>
      <c r="D61" s="191" t="str">
        <f t="shared" si="0"/>
        <v/>
      </c>
      <c r="F61" s="191" t="str">
        <f>IF(A61="","",'High Efficiency Pumps'!X16)</f>
        <v/>
      </c>
      <c r="G61" s="191" t="str">
        <f>IF(A61="","",'High Efficiency Pumps'!M16)</f>
        <v/>
      </c>
      <c r="H61" s="191" t="str">
        <f>IF(A61="","",'High Efficiency Pumps'!N16)</f>
        <v/>
      </c>
      <c r="K61" s="191" t="str">
        <f>IF(A61="","",'High Efficiency Pumps'!I16)</f>
        <v/>
      </c>
      <c r="M61" s="191" t="str">
        <f>IF(A61="","",'High Efficiency Pumps'!J16)</f>
        <v/>
      </c>
      <c r="N61" s="191" t="str">
        <f>IF(A61="","",'High Efficiency Pumps'!K16)</f>
        <v/>
      </c>
      <c r="Q61" s="191" t="str">
        <f>IF(A61="","",'High Efficiency Pumps'!V16)</f>
        <v/>
      </c>
      <c r="R61" s="191" t="str">
        <f>IF(A61="","",'High Efficiency Pumps'!U16)</f>
        <v/>
      </c>
      <c r="U61" s="191" t="str">
        <f>IF(A61="","",'Project Summary'!$C$12)</f>
        <v/>
      </c>
    </row>
    <row r="62" spans="1:21" s="192" customFormat="1" ht="15" thickBot="1">
      <c r="A62" s="192" t="str">
        <f>IF(OR('High Efficiency Pumps'!U17=0,'High Efficiency Pumps'!U17=""),"","Prescriptive")</f>
        <v/>
      </c>
      <c r="B62" s="197"/>
      <c r="C62" s="192" t="str">
        <f>IF(A62="","",'High Efficiency Pumps'!G17)</f>
        <v/>
      </c>
      <c r="D62" s="192" t="str">
        <f t="shared" si="0"/>
        <v/>
      </c>
      <c r="F62" s="192" t="str">
        <f>IF(A62="","",'High Efficiency Pumps'!X17)</f>
        <v/>
      </c>
      <c r="G62" s="192" t="str">
        <f>IF(A62="","",'High Efficiency Pumps'!M17)</f>
        <v/>
      </c>
      <c r="H62" s="192" t="str">
        <f>IF(A62="","",'High Efficiency Pumps'!N17)</f>
        <v/>
      </c>
      <c r="K62" s="192" t="str">
        <f>IF(A62="","",'High Efficiency Pumps'!I17)</f>
        <v/>
      </c>
      <c r="M62" s="192" t="str">
        <f>IF(A62="","",'High Efficiency Pumps'!J17)</f>
        <v/>
      </c>
      <c r="N62" s="192" t="str">
        <f>IF(A62="","",'High Efficiency Pumps'!K17)</f>
        <v/>
      </c>
      <c r="Q62" s="192" t="str">
        <f>IF(A62="","",'High Efficiency Pumps'!V17)</f>
        <v/>
      </c>
      <c r="R62" s="192" t="str">
        <f>IF(A62="","",'High Efficiency Pumps'!U17)</f>
        <v/>
      </c>
      <c r="U62" s="192" t="str">
        <f>IF(A62="","",'Project Summary'!$C$12)</f>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2:F25"/>
  <sheetViews>
    <sheetView workbookViewId="0">
      <selection activeCell="C14" sqref="C14"/>
    </sheetView>
  </sheetViews>
  <sheetFormatPr defaultColWidth="8.75" defaultRowHeight="14.25"/>
  <cols>
    <col min="1" max="1" width="3.75" style="9" customWidth="1"/>
    <col min="2" max="2" width="8.875" style="9" customWidth="1"/>
    <col min="3" max="3" width="11.375" style="9" bestFit="1" customWidth="1"/>
    <col min="4" max="4" width="19.25" style="9" customWidth="1"/>
    <col min="5" max="5" width="52.75" style="12" customWidth="1"/>
    <col min="6" max="6" width="26.75" style="9" customWidth="1"/>
    <col min="7" max="16384" width="8.75" style="1"/>
  </cols>
  <sheetData>
    <row r="2" spans="1:6" ht="20.25">
      <c r="B2" s="524" t="s">
        <v>18</v>
      </c>
      <c r="C2" s="524"/>
      <c r="D2" s="524"/>
      <c r="E2" s="524"/>
      <c r="F2" s="524"/>
    </row>
    <row r="4" spans="1:6" ht="15">
      <c r="B4" s="29" t="s">
        <v>438</v>
      </c>
      <c r="D4" s="30" t="s">
        <v>439</v>
      </c>
      <c r="E4" s="31" t="s">
        <v>440</v>
      </c>
      <c r="F4" s="30"/>
    </row>
    <row r="5" spans="1:6" ht="15">
      <c r="B5" s="29" t="s">
        <v>441</v>
      </c>
      <c r="D5" s="32" t="s">
        <v>442</v>
      </c>
      <c r="E5" s="33" t="s">
        <v>443</v>
      </c>
      <c r="F5" s="32"/>
    </row>
    <row r="6" spans="1:6" ht="25.5" customHeight="1"/>
    <row r="7" spans="1:6" s="14" customFormat="1" ht="15">
      <c r="A7" s="13"/>
      <c r="B7" s="17" t="s">
        <v>88</v>
      </c>
      <c r="C7" s="18" t="s">
        <v>21</v>
      </c>
      <c r="D7" s="18" t="s">
        <v>444</v>
      </c>
      <c r="E7" s="19" t="s">
        <v>445</v>
      </c>
      <c r="F7" s="20" t="s">
        <v>446</v>
      </c>
    </row>
    <row r="8" spans="1:6" ht="28.5" customHeight="1">
      <c r="B8" s="21">
        <v>1</v>
      </c>
      <c r="C8" s="22">
        <v>42480</v>
      </c>
      <c r="D8" s="22" t="s">
        <v>447</v>
      </c>
      <c r="E8" s="23" t="s">
        <v>448</v>
      </c>
      <c r="F8" s="24" t="s">
        <v>449</v>
      </c>
    </row>
    <row r="9" spans="1:6" ht="36" customHeight="1">
      <c r="B9" s="21">
        <v>1.1000000000000001</v>
      </c>
      <c r="C9" s="22">
        <v>42751</v>
      </c>
      <c r="D9" s="25" t="s">
        <v>450</v>
      </c>
      <c r="E9" s="23" t="s">
        <v>451</v>
      </c>
      <c r="F9" s="24" t="s">
        <v>452</v>
      </c>
    </row>
    <row r="10" spans="1:6" ht="28.5" customHeight="1">
      <c r="B10" s="21">
        <v>2</v>
      </c>
      <c r="C10" s="22">
        <v>42822</v>
      </c>
      <c r="D10" s="25" t="s">
        <v>453</v>
      </c>
      <c r="E10" s="23" t="s">
        <v>454</v>
      </c>
      <c r="F10" s="24" t="s">
        <v>455</v>
      </c>
    </row>
    <row r="11" spans="1:6" ht="28.5" customHeight="1">
      <c r="B11" s="21">
        <v>3</v>
      </c>
      <c r="C11" s="22">
        <v>43297</v>
      </c>
      <c r="D11" s="25" t="s">
        <v>456</v>
      </c>
      <c r="E11" s="23" t="s">
        <v>457</v>
      </c>
      <c r="F11" s="24" t="s">
        <v>458</v>
      </c>
    </row>
    <row r="12" spans="1:6" ht="28.5" customHeight="1">
      <c r="B12" s="21">
        <v>3</v>
      </c>
      <c r="C12" s="22">
        <v>43434</v>
      </c>
      <c r="D12" s="25" t="s">
        <v>459</v>
      </c>
      <c r="E12" s="23"/>
      <c r="F12" s="24" t="s">
        <v>439</v>
      </c>
    </row>
    <row r="13" spans="1:6" ht="28.5" customHeight="1">
      <c r="B13" s="21">
        <v>4</v>
      </c>
      <c r="C13" s="22">
        <v>44348</v>
      </c>
      <c r="D13" s="25" t="s">
        <v>460</v>
      </c>
      <c r="E13" s="23" t="s">
        <v>461</v>
      </c>
      <c r="F13" s="24" t="s">
        <v>462</v>
      </c>
    </row>
    <row r="14" spans="1:6" ht="28.5" customHeight="1">
      <c r="B14" s="21"/>
      <c r="C14" s="25"/>
      <c r="D14" s="25"/>
      <c r="E14" s="23"/>
      <c r="F14" s="24"/>
    </row>
    <row r="15" spans="1:6" ht="28.5" customHeight="1">
      <c r="B15" s="21"/>
      <c r="C15" s="25"/>
      <c r="D15" s="25"/>
      <c r="E15" s="23"/>
      <c r="F15" s="24"/>
    </row>
    <row r="16" spans="1:6" ht="28.5" customHeight="1">
      <c r="B16" s="21"/>
      <c r="C16" s="25"/>
      <c r="D16" s="25"/>
      <c r="E16" s="23"/>
      <c r="F16" s="24"/>
    </row>
    <row r="17" spans="2:6" ht="28.5" customHeight="1">
      <c r="B17" s="21"/>
      <c r="C17" s="25"/>
      <c r="D17" s="25"/>
      <c r="E17" s="23"/>
      <c r="F17" s="24"/>
    </row>
    <row r="18" spans="2:6" ht="28.5" customHeight="1">
      <c r="B18" s="21"/>
      <c r="C18" s="25"/>
      <c r="D18" s="25"/>
      <c r="E18" s="23"/>
      <c r="F18" s="24"/>
    </row>
    <row r="19" spans="2:6" ht="28.5" customHeight="1">
      <c r="B19" s="21"/>
      <c r="C19" s="25"/>
      <c r="D19" s="25"/>
      <c r="E19" s="23"/>
      <c r="F19" s="24"/>
    </row>
    <row r="20" spans="2:6" ht="28.5" customHeight="1">
      <c r="B20" s="21"/>
      <c r="C20" s="25"/>
      <c r="D20" s="25"/>
      <c r="E20" s="23"/>
      <c r="F20" s="24"/>
    </row>
    <row r="21" spans="2:6" ht="28.5" customHeight="1">
      <c r="B21" s="21"/>
      <c r="C21" s="25"/>
      <c r="D21" s="25"/>
      <c r="E21" s="23"/>
      <c r="F21" s="24"/>
    </row>
    <row r="22" spans="2:6" ht="28.5" customHeight="1">
      <c r="B22" s="21"/>
      <c r="C22" s="25"/>
      <c r="D22" s="25"/>
      <c r="E22" s="23"/>
      <c r="F22" s="24"/>
    </row>
    <row r="23" spans="2:6" ht="28.5" customHeight="1">
      <c r="B23" s="21"/>
      <c r="C23" s="25"/>
      <c r="D23" s="25"/>
      <c r="E23" s="23"/>
      <c r="F23" s="24"/>
    </row>
    <row r="24" spans="2:6" ht="28.5" customHeight="1">
      <c r="B24" s="16"/>
      <c r="C24" s="26"/>
      <c r="D24" s="26"/>
      <c r="E24" s="27"/>
      <c r="F24" s="28"/>
    </row>
    <row r="25" spans="2:6">
      <c r="B25" s="10"/>
      <c r="C25" s="10"/>
      <c r="D25" s="10"/>
      <c r="E25" s="11"/>
      <c r="F25" s="10"/>
    </row>
  </sheetData>
  <mergeCells count="1">
    <mergeCell ref="B2:F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B49FC-E65C-4EDC-9C5A-BCC81896A0F8}">
  <sheetPr>
    <tabColor theme="0" tint="-0.14999847407452621"/>
  </sheetPr>
  <dimension ref="A1:AI27"/>
  <sheetViews>
    <sheetView topLeftCell="K1" workbookViewId="0">
      <selection activeCell="Y2" sqref="Y2"/>
    </sheetView>
  </sheetViews>
  <sheetFormatPr defaultRowHeight="14.25"/>
  <sheetData>
    <row r="1" spans="1:35" ht="27.75" thickBot="1">
      <c r="A1" s="164" t="s">
        <v>463</v>
      </c>
      <c r="B1" s="165" t="s">
        <v>464</v>
      </c>
      <c r="C1" s="165" t="s">
        <v>177</v>
      </c>
      <c r="D1" s="165" t="s">
        <v>183</v>
      </c>
      <c r="E1" s="165" t="s">
        <v>189</v>
      </c>
      <c r="F1" s="165" t="s">
        <v>194</v>
      </c>
      <c r="G1" s="165" t="s">
        <v>197</v>
      </c>
      <c r="H1" s="165" t="s">
        <v>200</v>
      </c>
      <c r="I1" s="165" t="s">
        <v>202</v>
      </c>
      <c r="J1" s="165" t="s">
        <v>204</v>
      </c>
      <c r="K1" s="165" t="s">
        <v>206</v>
      </c>
      <c r="M1" s="164" t="s">
        <v>463</v>
      </c>
      <c r="N1" s="165" t="s">
        <v>464</v>
      </c>
      <c r="O1" s="165" t="s">
        <v>177</v>
      </c>
      <c r="P1" s="165" t="s">
        <v>183</v>
      </c>
      <c r="Q1" s="165" t="s">
        <v>189</v>
      </c>
      <c r="R1" s="165" t="s">
        <v>194</v>
      </c>
      <c r="S1" s="165" t="s">
        <v>197</v>
      </c>
      <c r="T1" s="165" t="s">
        <v>200</v>
      </c>
      <c r="U1" s="165" t="s">
        <v>202</v>
      </c>
      <c r="V1" s="165" t="s">
        <v>204</v>
      </c>
      <c r="W1" s="165" t="s">
        <v>206</v>
      </c>
      <c r="Y1" s="164" t="s">
        <v>463</v>
      </c>
      <c r="Z1" s="165" t="s">
        <v>464</v>
      </c>
      <c r="AA1" s="165" t="s">
        <v>177</v>
      </c>
      <c r="AB1" s="165" t="s">
        <v>183</v>
      </c>
      <c r="AC1" s="165" t="s">
        <v>189</v>
      </c>
      <c r="AD1" s="165" t="s">
        <v>194</v>
      </c>
      <c r="AE1" s="165" t="s">
        <v>197</v>
      </c>
      <c r="AF1" s="165" t="s">
        <v>200</v>
      </c>
      <c r="AG1" s="165" t="s">
        <v>202</v>
      </c>
      <c r="AH1" s="165" t="s">
        <v>204</v>
      </c>
      <c r="AI1" s="165" t="s">
        <v>206</v>
      </c>
    </row>
    <row r="2" spans="1:35" ht="15" thickBot="1">
      <c r="A2" s="169" t="s">
        <v>178</v>
      </c>
      <c r="B2" s="166" t="s">
        <v>109</v>
      </c>
      <c r="C2" s="167">
        <v>0.43</v>
      </c>
      <c r="D2" s="167">
        <v>0.3</v>
      </c>
      <c r="E2" s="167">
        <v>0.24</v>
      </c>
      <c r="F2" s="167">
        <v>0.32</v>
      </c>
      <c r="G2" s="167">
        <v>0.44</v>
      </c>
      <c r="H2" s="167">
        <v>0.47</v>
      </c>
      <c r="I2" s="167">
        <v>0.42</v>
      </c>
      <c r="J2" s="167">
        <v>0.38</v>
      </c>
      <c r="K2" s="167">
        <v>0.44</v>
      </c>
      <c r="M2" s="169" t="s">
        <v>178</v>
      </c>
      <c r="N2" s="166" t="s">
        <v>73</v>
      </c>
      <c r="O2" s="168">
        <v>6042</v>
      </c>
      <c r="P2" s="168">
        <v>6054</v>
      </c>
      <c r="Q2" s="168">
        <v>6126</v>
      </c>
      <c r="R2" s="168">
        <v>6139</v>
      </c>
      <c r="S2" s="168">
        <v>5860</v>
      </c>
      <c r="T2" s="168">
        <v>5966</v>
      </c>
      <c r="U2" s="168">
        <v>5982</v>
      </c>
      <c r="V2" s="168">
        <v>5876</v>
      </c>
      <c r="W2" s="168">
        <v>5905</v>
      </c>
      <c r="Y2" s="169" t="s">
        <v>178</v>
      </c>
      <c r="Z2" s="166" t="s">
        <v>109</v>
      </c>
      <c r="AA2" s="167">
        <v>0.43</v>
      </c>
      <c r="AB2" s="167">
        <v>0.3</v>
      </c>
      <c r="AC2" s="167">
        <v>0.24</v>
      </c>
      <c r="AD2" s="167">
        <v>0.32</v>
      </c>
      <c r="AE2" s="167">
        <v>0.44</v>
      </c>
      <c r="AF2" s="167">
        <v>0.47</v>
      </c>
      <c r="AG2" s="167">
        <v>0.42</v>
      </c>
      <c r="AH2" s="167">
        <v>0.38</v>
      </c>
      <c r="AI2" s="167">
        <v>0.44</v>
      </c>
    </row>
    <row r="3" spans="1:35" ht="15" thickBot="1">
      <c r="A3" s="169" t="s">
        <v>178</v>
      </c>
      <c r="B3" s="166" t="s">
        <v>73</v>
      </c>
      <c r="C3" s="168">
        <v>6042</v>
      </c>
      <c r="D3" s="168">
        <v>6054</v>
      </c>
      <c r="E3" s="168">
        <v>6126</v>
      </c>
      <c r="F3" s="168">
        <v>6139</v>
      </c>
      <c r="G3" s="168">
        <v>5860</v>
      </c>
      <c r="H3" s="168">
        <v>5966</v>
      </c>
      <c r="I3" s="168">
        <v>5982</v>
      </c>
      <c r="J3" s="168">
        <v>5876</v>
      </c>
      <c r="K3" s="168">
        <v>5905</v>
      </c>
      <c r="M3" s="169" t="s">
        <v>184</v>
      </c>
      <c r="N3" s="166" t="s">
        <v>73</v>
      </c>
      <c r="O3" s="168">
        <v>4380</v>
      </c>
      <c r="P3" s="168">
        <v>4583</v>
      </c>
      <c r="Q3" s="168">
        <v>4718</v>
      </c>
      <c r="R3" s="168">
        <v>4572</v>
      </c>
      <c r="S3" s="168">
        <v>4313</v>
      </c>
      <c r="T3" s="168">
        <v>4384</v>
      </c>
      <c r="U3" s="168">
        <v>4415</v>
      </c>
      <c r="V3" s="168">
        <v>4490</v>
      </c>
      <c r="W3" s="168">
        <v>4377</v>
      </c>
      <c r="Y3" s="169" t="s">
        <v>184</v>
      </c>
      <c r="Z3" s="166" t="s">
        <v>109</v>
      </c>
      <c r="AA3" s="167">
        <v>0.12</v>
      </c>
      <c r="AB3" s="167">
        <v>0.08</v>
      </c>
      <c r="AC3" s="167">
        <v>7.0000000000000007E-2</v>
      </c>
      <c r="AD3" s="167">
        <v>0.09</v>
      </c>
      <c r="AE3" s="167">
        <v>0.17</v>
      </c>
      <c r="AF3" s="167">
        <v>0.18</v>
      </c>
      <c r="AG3" s="167">
        <v>0.18</v>
      </c>
      <c r="AH3" s="167">
        <v>0.12</v>
      </c>
      <c r="AI3" s="167">
        <v>0.15</v>
      </c>
    </row>
    <row r="4" spans="1:35" ht="15" thickBot="1">
      <c r="A4" s="169" t="s">
        <v>184</v>
      </c>
      <c r="B4" s="166" t="s">
        <v>109</v>
      </c>
      <c r="C4" s="167">
        <v>0.12</v>
      </c>
      <c r="D4" s="167">
        <v>0.08</v>
      </c>
      <c r="E4" s="167">
        <v>7.0000000000000007E-2</v>
      </c>
      <c r="F4" s="167">
        <v>0.09</v>
      </c>
      <c r="G4" s="167">
        <v>0.17</v>
      </c>
      <c r="H4" s="167">
        <v>0.18</v>
      </c>
      <c r="I4" s="167">
        <v>0.18</v>
      </c>
      <c r="J4" s="167">
        <v>0.12</v>
      </c>
      <c r="K4" s="167">
        <v>0.15</v>
      </c>
      <c r="M4" s="169" t="s">
        <v>190</v>
      </c>
      <c r="N4" s="166" t="s">
        <v>73</v>
      </c>
      <c r="O4" s="168">
        <v>6708</v>
      </c>
      <c r="P4" s="168">
        <v>6764</v>
      </c>
      <c r="Q4" s="168">
        <v>6810</v>
      </c>
      <c r="R4" s="168">
        <v>6738</v>
      </c>
      <c r="S4" s="168">
        <v>6692</v>
      </c>
      <c r="T4" s="168">
        <v>6669</v>
      </c>
      <c r="U4" s="168">
        <v>6718</v>
      </c>
      <c r="V4" s="168">
        <v>6725</v>
      </c>
      <c r="W4" s="168">
        <v>6710</v>
      </c>
      <c r="Y4" s="169" t="s">
        <v>190</v>
      </c>
      <c r="Z4" s="166" t="s">
        <v>109</v>
      </c>
      <c r="AA4" s="167">
        <v>0.24</v>
      </c>
      <c r="AB4" s="167">
        <v>0.21</v>
      </c>
      <c r="AC4" s="167">
        <v>0.19</v>
      </c>
      <c r="AD4" s="167">
        <v>0.22</v>
      </c>
      <c r="AE4" s="167">
        <v>0.24</v>
      </c>
      <c r="AF4" s="167">
        <v>0.26</v>
      </c>
      <c r="AG4" s="167">
        <v>0.28999999999999998</v>
      </c>
      <c r="AH4" s="167">
        <v>0.21</v>
      </c>
      <c r="AI4" s="167">
        <v>0.24</v>
      </c>
    </row>
    <row r="5" spans="1:35" ht="15" thickBot="1">
      <c r="A5" s="169" t="s">
        <v>184</v>
      </c>
      <c r="B5" s="166" t="s">
        <v>73</v>
      </c>
      <c r="C5" s="168">
        <v>4380</v>
      </c>
      <c r="D5" s="168">
        <v>4583</v>
      </c>
      <c r="E5" s="168">
        <v>4718</v>
      </c>
      <c r="F5" s="168">
        <v>4572</v>
      </c>
      <c r="G5" s="168">
        <v>4313</v>
      </c>
      <c r="H5" s="168">
        <v>4384</v>
      </c>
      <c r="I5" s="168">
        <v>4415</v>
      </c>
      <c r="J5" s="168">
        <v>4490</v>
      </c>
      <c r="K5" s="168">
        <v>4377</v>
      </c>
      <c r="M5" s="169" t="s">
        <v>195</v>
      </c>
      <c r="N5" s="166" t="s">
        <v>73</v>
      </c>
      <c r="O5" s="168">
        <v>8760</v>
      </c>
      <c r="P5" s="168">
        <v>8760</v>
      </c>
      <c r="Q5" s="168">
        <v>8760</v>
      </c>
      <c r="R5" s="168">
        <v>8760</v>
      </c>
      <c r="S5" s="168">
        <v>8760</v>
      </c>
      <c r="T5" s="168">
        <v>8760</v>
      </c>
      <c r="U5" s="168">
        <v>8760</v>
      </c>
      <c r="V5" s="168">
        <v>8760</v>
      </c>
      <c r="W5" s="168">
        <v>8760</v>
      </c>
      <c r="Y5" s="169" t="s">
        <v>195</v>
      </c>
      <c r="Z5" s="166" t="s">
        <v>109</v>
      </c>
      <c r="AA5" s="167">
        <v>0.43</v>
      </c>
      <c r="AB5" s="167">
        <v>0.24</v>
      </c>
      <c r="AC5" s="167">
        <v>0.28999999999999998</v>
      </c>
      <c r="AD5" s="167">
        <v>0.39</v>
      </c>
      <c r="AE5" s="167">
        <v>0.45</v>
      </c>
      <c r="AF5" s="167">
        <v>0.51</v>
      </c>
      <c r="AG5" s="167">
        <v>0.45</v>
      </c>
      <c r="AH5" s="167">
        <v>0.4</v>
      </c>
      <c r="AI5" s="167">
        <v>0.41</v>
      </c>
    </row>
    <row r="6" spans="1:35" ht="15" thickBot="1">
      <c r="A6" s="169" t="s">
        <v>190</v>
      </c>
      <c r="B6" s="166" t="s">
        <v>109</v>
      </c>
      <c r="C6" s="167">
        <v>0.24</v>
      </c>
      <c r="D6" s="167">
        <v>0.21</v>
      </c>
      <c r="E6" s="167">
        <v>0.19</v>
      </c>
      <c r="F6" s="167">
        <v>0.22</v>
      </c>
      <c r="G6" s="167">
        <v>0.24</v>
      </c>
      <c r="H6" s="167">
        <v>0.26</v>
      </c>
      <c r="I6" s="167">
        <v>0.28999999999999998</v>
      </c>
      <c r="J6" s="167">
        <v>0.21</v>
      </c>
      <c r="K6" s="167">
        <v>0.24</v>
      </c>
      <c r="M6" s="169" t="s">
        <v>198</v>
      </c>
      <c r="N6" s="166" t="s">
        <v>73</v>
      </c>
      <c r="O6" s="168">
        <v>8760</v>
      </c>
      <c r="P6" s="168">
        <v>8760</v>
      </c>
      <c r="Q6" s="168">
        <v>8760</v>
      </c>
      <c r="R6" s="168">
        <v>8760</v>
      </c>
      <c r="S6" s="168">
        <v>8760</v>
      </c>
      <c r="T6" s="168">
        <v>8760</v>
      </c>
      <c r="U6" s="168">
        <v>8760</v>
      </c>
      <c r="V6" s="168">
        <v>8760</v>
      </c>
      <c r="W6" s="168">
        <v>8760</v>
      </c>
      <c r="Y6" s="169" t="s">
        <v>198</v>
      </c>
      <c r="Z6" s="166" t="s">
        <v>109</v>
      </c>
      <c r="AA6" s="167">
        <v>0.24</v>
      </c>
      <c r="AB6" s="167">
        <v>0.21</v>
      </c>
      <c r="AC6" s="167">
        <v>0.17</v>
      </c>
      <c r="AD6" s="167">
        <v>0.23</v>
      </c>
      <c r="AE6" s="167">
        <v>0.28999999999999998</v>
      </c>
      <c r="AF6" s="167">
        <v>0.31</v>
      </c>
      <c r="AG6" s="167">
        <v>0.28999999999999998</v>
      </c>
      <c r="AH6" s="167">
        <v>0.25</v>
      </c>
      <c r="AI6" s="167">
        <v>0.28000000000000003</v>
      </c>
    </row>
    <row r="7" spans="1:35" ht="15" thickBot="1">
      <c r="A7" s="169" t="s">
        <v>190</v>
      </c>
      <c r="B7" s="166" t="s">
        <v>73</v>
      </c>
      <c r="C7" s="168">
        <v>6708</v>
      </c>
      <c r="D7" s="168">
        <v>6764</v>
      </c>
      <c r="E7" s="168">
        <v>6810</v>
      </c>
      <c r="F7" s="168">
        <v>6738</v>
      </c>
      <c r="G7" s="168">
        <v>6692</v>
      </c>
      <c r="H7" s="168">
        <v>6669</v>
      </c>
      <c r="I7" s="168">
        <v>6718</v>
      </c>
      <c r="J7" s="168">
        <v>6725</v>
      </c>
      <c r="K7" s="168">
        <v>6710</v>
      </c>
      <c r="M7" s="169" t="s">
        <v>201</v>
      </c>
      <c r="N7" s="166" t="s">
        <v>73</v>
      </c>
      <c r="O7" s="168">
        <v>3831</v>
      </c>
      <c r="P7" s="168">
        <v>3981</v>
      </c>
      <c r="Q7" s="168">
        <v>4080</v>
      </c>
      <c r="R7" s="168">
        <v>3977</v>
      </c>
      <c r="S7" s="168">
        <v>3769</v>
      </c>
      <c r="T7" s="168">
        <v>3838</v>
      </c>
      <c r="U7" s="168">
        <v>3869</v>
      </c>
      <c r="V7" s="168">
        <v>3902</v>
      </c>
      <c r="W7" s="168">
        <v>3829</v>
      </c>
      <c r="Y7" s="169" t="s">
        <v>201</v>
      </c>
      <c r="Z7" s="166" t="s">
        <v>109</v>
      </c>
      <c r="AA7" s="167">
        <v>0.48</v>
      </c>
      <c r="AB7" s="167">
        <v>0.34</v>
      </c>
      <c r="AC7" s="167">
        <v>0.28000000000000003</v>
      </c>
      <c r="AD7" s="167">
        <v>0.38</v>
      </c>
      <c r="AE7" s="167">
        <v>0.53</v>
      </c>
      <c r="AF7" s="167">
        <v>0.56999999999999995</v>
      </c>
      <c r="AG7" s="167">
        <v>0.5</v>
      </c>
      <c r="AH7" s="167">
        <v>0.43</v>
      </c>
      <c r="AI7" s="167">
        <v>0.46</v>
      </c>
    </row>
    <row r="8" spans="1:35" ht="15" thickBot="1">
      <c r="A8" s="169" t="s">
        <v>195</v>
      </c>
      <c r="B8" s="166" t="s">
        <v>109</v>
      </c>
      <c r="C8" s="167">
        <v>0.43</v>
      </c>
      <c r="D8" s="167">
        <v>0.24</v>
      </c>
      <c r="E8" s="167">
        <v>0.28999999999999998</v>
      </c>
      <c r="F8" s="167">
        <v>0.39</v>
      </c>
      <c r="G8" s="167">
        <v>0.45</v>
      </c>
      <c r="H8" s="167">
        <v>0.51</v>
      </c>
      <c r="I8" s="167">
        <v>0.45</v>
      </c>
      <c r="J8" s="167">
        <v>0.4</v>
      </c>
      <c r="K8" s="167">
        <v>0.41</v>
      </c>
      <c r="M8" s="169" t="s">
        <v>203</v>
      </c>
      <c r="N8" s="166" t="s">
        <v>73</v>
      </c>
      <c r="O8" s="168">
        <v>5188</v>
      </c>
      <c r="P8" s="168">
        <v>5223</v>
      </c>
      <c r="Q8" s="168">
        <v>5248</v>
      </c>
      <c r="R8" s="168">
        <v>5217</v>
      </c>
      <c r="S8" s="168">
        <v>5172</v>
      </c>
      <c r="T8" s="168">
        <v>5186</v>
      </c>
      <c r="U8" s="168">
        <v>5201</v>
      </c>
      <c r="V8" s="168">
        <v>5207</v>
      </c>
      <c r="W8" s="168">
        <v>5184</v>
      </c>
      <c r="Y8" s="169" t="s">
        <v>203</v>
      </c>
      <c r="Z8" s="166" t="s">
        <v>109</v>
      </c>
      <c r="AA8" s="167">
        <v>0.53</v>
      </c>
      <c r="AB8" s="167">
        <v>0.38</v>
      </c>
      <c r="AC8" s="167">
        <v>0.34</v>
      </c>
      <c r="AD8" s="167">
        <v>0.45</v>
      </c>
      <c r="AE8" s="167">
        <v>0.6</v>
      </c>
      <c r="AF8" s="167">
        <v>0.72</v>
      </c>
      <c r="AG8" s="167">
        <v>0.56000000000000005</v>
      </c>
      <c r="AH8" s="167">
        <v>0.47</v>
      </c>
      <c r="AI8" s="167">
        <v>0.52</v>
      </c>
    </row>
    <row r="9" spans="1:35" ht="15" thickBot="1">
      <c r="A9" s="169" t="s">
        <v>195</v>
      </c>
      <c r="B9" s="166" t="s">
        <v>73</v>
      </c>
      <c r="C9" s="168">
        <v>8760</v>
      </c>
      <c r="D9" s="168">
        <v>8760</v>
      </c>
      <c r="E9" s="168">
        <v>8760</v>
      </c>
      <c r="F9" s="168">
        <v>8760</v>
      </c>
      <c r="G9" s="168">
        <v>8760</v>
      </c>
      <c r="H9" s="168">
        <v>8760</v>
      </c>
      <c r="I9" s="168">
        <v>8760</v>
      </c>
      <c r="J9" s="168">
        <v>8760</v>
      </c>
      <c r="K9" s="168">
        <v>8760</v>
      </c>
      <c r="M9" s="169" t="s">
        <v>205</v>
      </c>
      <c r="N9" s="166" t="s">
        <v>73</v>
      </c>
      <c r="O9" s="168">
        <v>8760</v>
      </c>
      <c r="P9" s="168">
        <v>8760</v>
      </c>
      <c r="Q9" s="168">
        <v>8760</v>
      </c>
      <c r="R9" s="168">
        <v>8760</v>
      </c>
      <c r="S9" s="168">
        <v>8760</v>
      </c>
      <c r="T9" s="168">
        <v>8760</v>
      </c>
      <c r="U9" s="168">
        <v>8760</v>
      </c>
      <c r="V9" s="168">
        <v>8760</v>
      </c>
      <c r="W9" s="168">
        <v>8760</v>
      </c>
      <c r="Y9" s="169" t="s">
        <v>205</v>
      </c>
      <c r="Z9" s="166" t="s">
        <v>109</v>
      </c>
      <c r="AA9" s="167">
        <v>0.64</v>
      </c>
      <c r="AB9" s="167">
        <v>0.64</v>
      </c>
      <c r="AC9" s="167">
        <v>0.6</v>
      </c>
      <c r="AD9" s="167">
        <v>0.65</v>
      </c>
      <c r="AE9" s="167">
        <v>0.71</v>
      </c>
      <c r="AF9" s="167">
        <v>0.71</v>
      </c>
      <c r="AG9" s="167">
        <v>0.73</v>
      </c>
      <c r="AH9" s="167">
        <v>0.65</v>
      </c>
      <c r="AI9" s="167">
        <v>0.71</v>
      </c>
    </row>
    <row r="10" spans="1:35" ht="15" thickBot="1">
      <c r="A10" s="169" t="s">
        <v>198</v>
      </c>
      <c r="B10" s="166" t="s">
        <v>109</v>
      </c>
      <c r="C10" s="167">
        <v>0.24</v>
      </c>
      <c r="D10" s="167">
        <v>0.21</v>
      </c>
      <c r="E10" s="167">
        <v>0.17</v>
      </c>
      <c r="F10" s="167">
        <v>0.23</v>
      </c>
      <c r="G10" s="167">
        <v>0.28999999999999998</v>
      </c>
      <c r="H10" s="167">
        <v>0.31</v>
      </c>
      <c r="I10" s="167">
        <v>0.28999999999999998</v>
      </c>
      <c r="J10" s="167">
        <v>0.25</v>
      </c>
      <c r="K10" s="167">
        <v>0.28000000000000003</v>
      </c>
      <c r="M10" s="169" t="s">
        <v>208</v>
      </c>
      <c r="N10" s="166" t="s">
        <v>73</v>
      </c>
      <c r="O10" s="168">
        <v>4195</v>
      </c>
      <c r="P10" s="168">
        <v>4473</v>
      </c>
      <c r="Q10" s="168">
        <v>4699</v>
      </c>
      <c r="R10" s="168">
        <v>4441</v>
      </c>
      <c r="S10" s="168">
        <v>4087</v>
      </c>
      <c r="T10" s="168">
        <v>4063</v>
      </c>
      <c r="U10" s="168">
        <v>4240</v>
      </c>
      <c r="V10" s="168">
        <v>4228</v>
      </c>
      <c r="W10" s="168">
        <v>4139</v>
      </c>
      <c r="Y10" s="169" t="s">
        <v>208</v>
      </c>
      <c r="Z10" s="166" t="s">
        <v>109</v>
      </c>
      <c r="AA10" s="167">
        <v>0.3</v>
      </c>
      <c r="AB10" s="167">
        <v>0.26</v>
      </c>
      <c r="AC10" s="167">
        <v>0.21</v>
      </c>
      <c r="AD10" s="167">
        <v>0.28000000000000003</v>
      </c>
      <c r="AE10" s="167">
        <v>0.37</v>
      </c>
      <c r="AF10" s="167">
        <v>0.39</v>
      </c>
      <c r="AG10" s="167">
        <v>0.35</v>
      </c>
      <c r="AH10" s="167">
        <v>0.32</v>
      </c>
      <c r="AI10" s="167">
        <v>0.34</v>
      </c>
    </row>
    <row r="11" spans="1:35" ht="15" thickBot="1">
      <c r="A11" s="169" t="s">
        <v>198</v>
      </c>
      <c r="B11" s="166" t="s">
        <v>73</v>
      </c>
      <c r="C11" s="168">
        <v>8760</v>
      </c>
      <c r="D11" s="168">
        <v>8760</v>
      </c>
      <c r="E11" s="168">
        <v>8760</v>
      </c>
      <c r="F11" s="168">
        <v>8760</v>
      </c>
      <c r="G11" s="168">
        <v>8760</v>
      </c>
      <c r="H11" s="168">
        <v>8760</v>
      </c>
      <c r="I11" s="168">
        <v>8760</v>
      </c>
      <c r="J11" s="168">
        <v>8760</v>
      </c>
      <c r="K11" s="168">
        <v>8760</v>
      </c>
      <c r="M11" s="169" t="s">
        <v>209</v>
      </c>
      <c r="N11" s="166" t="s">
        <v>73</v>
      </c>
      <c r="O11" s="168">
        <v>6282</v>
      </c>
      <c r="P11" s="168">
        <v>2680</v>
      </c>
      <c r="Q11" s="168">
        <v>6487</v>
      </c>
      <c r="R11" s="168">
        <v>6365</v>
      </c>
      <c r="S11" s="168">
        <v>6252</v>
      </c>
      <c r="T11" s="168">
        <v>6226</v>
      </c>
      <c r="U11" s="168">
        <v>6300</v>
      </c>
      <c r="V11" s="168">
        <v>6315</v>
      </c>
      <c r="W11" s="168">
        <v>6286</v>
      </c>
      <c r="Y11" s="169" t="s">
        <v>209</v>
      </c>
      <c r="Z11" s="166" t="s">
        <v>109</v>
      </c>
      <c r="AA11" s="167">
        <v>0.38</v>
      </c>
      <c r="AB11" s="167">
        <v>0.19</v>
      </c>
      <c r="AC11" s="167">
        <v>0.28000000000000003</v>
      </c>
      <c r="AD11" s="167">
        <v>0.37</v>
      </c>
      <c r="AE11" s="167">
        <v>0.42</v>
      </c>
      <c r="AF11" s="167">
        <v>0.5</v>
      </c>
      <c r="AG11" s="167">
        <v>0.49</v>
      </c>
      <c r="AH11" s="167">
        <v>0.39</v>
      </c>
      <c r="AI11" s="167">
        <v>0.45</v>
      </c>
    </row>
    <row r="12" spans="1:35" ht="15" thickBot="1">
      <c r="A12" s="169" t="s">
        <v>201</v>
      </c>
      <c r="B12" s="166" t="s">
        <v>109</v>
      </c>
      <c r="C12" s="167">
        <v>0.48</v>
      </c>
      <c r="D12" s="167">
        <v>0.34</v>
      </c>
      <c r="E12" s="167">
        <v>0.28000000000000003</v>
      </c>
      <c r="F12" s="167">
        <v>0.38</v>
      </c>
      <c r="G12" s="167">
        <v>0.53</v>
      </c>
      <c r="H12" s="167">
        <v>0.56999999999999995</v>
      </c>
      <c r="I12" s="167">
        <v>0.5</v>
      </c>
      <c r="J12" s="167">
        <v>0.43</v>
      </c>
      <c r="K12" s="167">
        <v>0.46</v>
      </c>
      <c r="M12" s="169" t="s">
        <v>210</v>
      </c>
      <c r="N12" s="166" t="s">
        <v>73</v>
      </c>
      <c r="O12" s="168">
        <v>5137</v>
      </c>
      <c r="P12" s="168">
        <v>5188</v>
      </c>
      <c r="Q12" s="168">
        <v>5234</v>
      </c>
      <c r="R12" s="168">
        <v>5158</v>
      </c>
      <c r="S12" s="168">
        <v>5108</v>
      </c>
      <c r="T12" s="168">
        <v>5092</v>
      </c>
      <c r="U12" s="168">
        <v>5146</v>
      </c>
      <c r="V12" s="168">
        <v>5149</v>
      </c>
      <c r="W12" s="168">
        <v>5134</v>
      </c>
      <c r="Y12" s="169" t="s">
        <v>210</v>
      </c>
      <c r="Z12" s="166" t="s">
        <v>109</v>
      </c>
      <c r="AA12" s="167">
        <v>0.5</v>
      </c>
      <c r="AB12" s="167">
        <v>0.4</v>
      </c>
      <c r="AC12" s="167">
        <v>0.36</v>
      </c>
      <c r="AD12" s="167">
        <v>0.44</v>
      </c>
      <c r="AE12" s="167">
        <v>0.53</v>
      </c>
      <c r="AF12" s="167">
        <v>0.56000000000000005</v>
      </c>
      <c r="AG12" s="167">
        <v>0.54</v>
      </c>
      <c r="AH12" s="167">
        <v>0.45</v>
      </c>
      <c r="AI12" s="167">
        <v>0.49</v>
      </c>
    </row>
    <row r="13" spans="1:35" ht="15" thickBot="1">
      <c r="A13" s="169" t="s">
        <v>201</v>
      </c>
      <c r="B13" s="166" t="s">
        <v>73</v>
      </c>
      <c r="C13" s="168">
        <v>3831</v>
      </c>
      <c r="D13" s="168">
        <v>3981</v>
      </c>
      <c r="E13" s="168">
        <v>4080</v>
      </c>
      <c r="F13" s="168">
        <v>3977</v>
      </c>
      <c r="G13" s="168">
        <v>3769</v>
      </c>
      <c r="H13" s="168">
        <v>3838</v>
      </c>
      <c r="I13" s="168">
        <v>3869</v>
      </c>
      <c r="J13" s="168">
        <v>3902</v>
      </c>
      <c r="K13" s="168">
        <v>3829</v>
      </c>
      <c r="M13" s="169" t="s">
        <v>211</v>
      </c>
      <c r="N13" s="166" t="s">
        <v>73</v>
      </c>
      <c r="O13" s="168">
        <v>5037</v>
      </c>
      <c r="P13" s="168">
        <v>5189</v>
      </c>
      <c r="Q13" s="168">
        <v>5259</v>
      </c>
      <c r="R13" s="168">
        <v>5222</v>
      </c>
      <c r="S13" s="168">
        <v>4980</v>
      </c>
      <c r="T13" s="168">
        <v>5168</v>
      </c>
      <c r="U13" s="168">
        <v>5110</v>
      </c>
      <c r="V13" s="168">
        <v>5188</v>
      </c>
      <c r="W13" s="168">
        <v>5028</v>
      </c>
      <c r="Y13" s="169" t="s">
        <v>211</v>
      </c>
      <c r="Z13" s="166" t="s">
        <v>109</v>
      </c>
      <c r="AA13" s="167">
        <v>0.18</v>
      </c>
      <c r="AB13" s="167">
        <v>0.11</v>
      </c>
      <c r="AC13" s="167">
        <v>0.1</v>
      </c>
      <c r="AD13" s="167">
        <v>0.13</v>
      </c>
      <c r="AE13" s="167">
        <v>0.24</v>
      </c>
      <c r="AF13" s="167">
        <v>0.3</v>
      </c>
      <c r="AG13" s="167">
        <v>0.23</v>
      </c>
      <c r="AH13" s="167">
        <v>0.15</v>
      </c>
      <c r="AI13" s="167">
        <v>0.2</v>
      </c>
    </row>
    <row r="14" spans="1:35" ht="15" thickBot="1">
      <c r="A14" s="169" t="s">
        <v>203</v>
      </c>
      <c r="B14" s="166" t="s">
        <v>109</v>
      </c>
      <c r="C14" s="167">
        <v>0.53</v>
      </c>
      <c r="D14" s="167">
        <v>0.38</v>
      </c>
      <c r="E14" s="167">
        <v>0.34</v>
      </c>
      <c r="F14" s="167">
        <v>0.45</v>
      </c>
      <c r="G14" s="167">
        <v>0.6</v>
      </c>
      <c r="H14" s="167">
        <v>0.72</v>
      </c>
      <c r="I14" s="167">
        <v>0.56000000000000005</v>
      </c>
      <c r="J14" s="167">
        <v>0.47</v>
      </c>
      <c r="K14" s="167">
        <v>0.52</v>
      </c>
      <c r="M14" s="169" t="s">
        <v>212</v>
      </c>
      <c r="N14" s="166" t="s">
        <v>73</v>
      </c>
      <c r="O14" s="168">
        <v>4041</v>
      </c>
      <c r="P14" s="168">
        <v>4041</v>
      </c>
      <c r="Q14" s="168">
        <v>4041</v>
      </c>
      <c r="R14" s="168">
        <v>4041</v>
      </c>
      <c r="S14" s="168">
        <v>4041</v>
      </c>
      <c r="T14" s="168">
        <v>4041</v>
      </c>
      <c r="U14" s="168">
        <v>4041</v>
      </c>
      <c r="V14" s="168">
        <v>4041</v>
      </c>
      <c r="W14" s="168">
        <v>4041</v>
      </c>
      <c r="Y14" s="169" t="s">
        <v>212</v>
      </c>
      <c r="Z14" s="166" t="s">
        <v>109</v>
      </c>
      <c r="AA14" s="167">
        <v>0.5</v>
      </c>
      <c r="AB14" s="167">
        <v>0.46</v>
      </c>
      <c r="AC14" s="167">
        <v>0.43</v>
      </c>
      <c r="AD14" s="167">
        <v>0.48</v>
      </c>
      <c r="AE14" s="167">
        <v>0.52</v>
      </c>
      <c r="AF14" s="167">
        <v>0.53</v>
      </c>
      <c r="AG14" s="167">
        <v>0.51</v>
      </c>
      <c r="AH14" s="167">
        <v>0.48</v>
      </c>
      <c r="AI14" s="167">
        <v>0.51</v>
      </c>
    </row>
    <row r="15" spans="1:35" ht="15" thickBot="1">
      <c r="A15" s="169" t="s">
        <v>203</v>
      </c>
      <c r="B15" s="166" t="s">
        <v>73</v>
      </c>
      <c r="C15" s="168">
        <v>5188</v>
      </c>
      <c r="D15" s="168">
        <v>5223</v>
      </c>
      <c r="E15" s="168">
        <v>5248</v>
      </c>
      <c r="F15" s="168">
        <v>5217</v>
      </c>
      <c r="G15" s="168">
        <v>5172</v>
      </c>
      <c r="H15" s="168">
        <v>5186</v>
      </c>
      <c r="I15" s="168">
        <v>5201</v>
      </c>
      <c r="J15" s="168">
        <v>5207</v>
      </c>
      <c r="K15" s="168">
        <v>5184</v>
      </c>
    </row>
    <row r="16" spans="1:35" ht="15" thickBot="1">
      <c r="A16" s="169" t="s">
        <v>205</v>
      </c>
      <c r="B16" s="166" t="s">
        <v>109</v>
      </c>
      <c r="C16" s="167">
        <v>0.64</v>
      </c>
      <c r="D16" s="167">
        <v>0.64</v>
      </c>
      <c r="E16" s="167">
        <v>0.6</v>
      </c>
      <c r="F16" s="167">
        <v>0.65</v>
      </c>
      <c r="G16" s="167">
        <v>0.71</v>
      </c>
      <c r="H16" s="167">
        <v>0.71</v>
      </c>
      <c r="I16" s="167">
        <v>0.73</v>
      </c>
      <c r="J16" s="167">
        <v>0.65</v>
      </c>
      <c r="K16" s="167">
        <v>0.71</v>
      </c>
    </row>
    <row r="17" spans="1:11" ht="15" thickBot="1">
      <c r="A17" s="169" t="s">
        <v>205</v>
      </c>
      <c r="B17" s="166" t="s">
        <v>73</v>
      </c>
      <c r="C17" s="168">
        <v>8760</v>
      </c>
      <c r="D17" s="168">
        <v>8760</v>
      </c>
      <c r="E17" s="168">
        <v>8760</v>
      </c>
      <c r="F17" s="168">
        <v>8760</v>
      </c>
      <c r="G17" s="168">
        <v>8760</v>
      </c>
      <c r="H17" s="168">
        <v>8760</v>
      </c>
      <c r="I17" s="168">
        <v>8760</v>
      </c>
      <c r="J17" s="168">
        <v>8760</v>
      </c>
      <c r="K17" s="168">
        <v>8760</v>
      </c>
    </row>
    <row r="18" spans="1:11" ht="15" thickBot="1">
      <c r="A18" s="169" t="s">
        <v>208</v>
      </c>
      <c r="B18" s="166" t="s">
        <v>109</v>
      </c>
      <c r="C18" s="167">
        <v>0.3</v>
      </c>
      <c r="D18" s="167">
        <v>0.26</v>
      </c>
      <c r="E18" s="167">
        <v>0.21</v>
      </c>
      <c r="F18" s="167">
        <v>0.28000000000000003</v>
      </c>
      <c r="G18" s="167">
        <v>0.37</v>
      </c>
      <c r="H18" s="167">
        <v>0.39</v>
      </c>
      <c r="I18" s="167">
        <v>0.35</v>
      </c>
      <c r="J18" s="167">
        <v>0.32</v>
      </c>
      <c r="K18" s="167">
        <v>0.34</v>
      </c>
    </row>
    <row r="19" spans="1:11" ht="15" thickBot="1">
      <c r="A19" s="169" t="s">
        <v>208</v>
      </c>
      <c r="B19" s="166" t="s">
        <v>73</v>
      </c>
      <c r="C19" s="168">
        <v>4195</v>
      </c>
      <c r="D19" s="168">
        <v>4473</v>
      </c>
      <c r="E19" s="168">
        <v>4699</v>
      </c>
      <c r="F19" s="168">
        <v>4441</v>
      </c>
      <c r="G19" s="168">
        <v>4087</v>
      </c>
      <c r="H19" s="168">
        <v>4063</v>
      </c>
      <c r="I19" s="168">
        <v>4240</v>
      </c>
      <c r="J19" s="168">
        <v>4228</v>
      </c>
      <c r="K19" s="168">
        <v>4139</v>
      </c>
    </row>
    <row r="20" spans="1:11" ht="15" thickBot="1">
      <c r="A20" s="169" t="s">
        <v>209</v>
      </c>
      <c r="B20" s="166" t="s">
        <v>109</v>
      </c>
      <c r="C20" s="167">
        <v>0.38</v>
      </c>
      <c r="D20" s="167">
        <v>0.19</v>
      </c>
      <c r="E20" s="167">
        <v>0.28000000000000003</v>
      </c>
      <c r="F20" s="167">
        <v>0.37</v>
      </c>
      <c r="G20" s="167">
        <v>0.42</v>
      </c>
      <c r="H20" s="167">
        <v>0.5</v>
      </c>
      <c r="I20" s="167">
        <v>0.49</v>
      </c>
      <c r="J20" s="167">
        <v>0.39</v>
      </c>
      <c r="K20" s="167">
        <v>0.45</v>
      </c>
    </row>
    <row r="21" spans="1:11" ht="15" thickBot="1">
      <c r="A21" s="169" t="s">
        <v>209</v>
      </c>
      <c r="B21" s="166" t="s">
        <v>73</v>
      </c>
      <c r="C21" s="168">
        <v>6282</v>
      </c>
      <c r="D21" s="168">
        <v>2680</v>
      </c>
      <c r="E21" s="168">
        <v>6487</v>
      </c>
      <c r="F21" s="168">
        <v>6365</v>
      </c>
      <c r="G21" s="168">
        <v>6252</v>
      </c>
      <c r="H21" s="168">
        <v>6226</v>
      </c>
      <c r="I21" s="168">
        <v>6300</v>
      </c>
      <c r="J21" s="168">
        <v>6315</v>
      </c>
      <c r="K21" s="168">
        <v>6286</v>
      </c>
    </row>
    <row r="22" spans="1:11" ht="15" thickBot="1">
      <c r="A22" s="169" t="s">
        <v>210</v>
      </c>
      <c r="B22" s="166" t="s">
        <v>109</v>
      </c>
      <c r="C22" s="167">
        <v>0.5</v>
      </c>
      <c r="D22" s="167">
        <v>0.4</v>
      </c>
      <c r="E22" s="167">
        <v>0.36</v>
      </c>
      <c r="F22" s="167">
        <v>0.44</v>
      </c>
      <c r="G22" s="167">
        <v>0.53</v>
      </c>
      <c r="H22" s="167">
        <v>0.56000000000000005</v>
      </c>
      <c r="I22" s="167">
        <v>0.54</v>
      </c>
      <c r="J22" s="167">
        <v>0.45</v>
      </c>
      <c r="K22" s="167">
        <v>0.49</v>
      </c>
    </row>
    <row r="23" spans="1:11" ht="15" thickBot="1">
      <c r="A23" s="169" t="s">
        <v>210</v>
      </c>
      <c r="B23" s="166" t="s">
        <v>73</v>
      </c>
      <c r="C23" s="168">
        <v>5137</v>
      </c>
      <c r="D23" s="168">
        <v>5188</v>
      </c>
      <c r="E23" s="168">
        <v>5234</v>
      </c>
      <c r="F23" s="168">
        <v>5158</v>
      </c>
      <c r="G23" s="168">
        <v>5108</v>
      </c>
      <c r="H23" s="168">
        <v>5092</v>
      </c>
      <c r="I23" s="168">
        <v>5146</v>
      </c>
      <c r="J23" s="168">
        <v>5149</v>
      </c>
      <c r="K23" s="168">
        <v>5134</v>
      </c>
    </row>
    <row r="24" spans="1:11" ht="15" thickBot="1">
      <c r="A24" s="169" t="s">
        <v>211</v>
      </c>
      <c r="B24" s="166" t="s">
        <v>109</v>
      </c>
      <c r="C24" s="167">
        <v>0.18</v>
      </c>
      <c r="D24" s="167">
        <v>0.11</v>
      </c>
      <c r="E24" s="167">
        <v>0.1</v>
      </c>
      <c r="F24" s="167">
        <v>0.13</v>
      </c>
      <c r="G24" s="167">
        <v>0.24</v>
      </c>
      <c r="H24" s="167">
        <v>0.3</v>
      </c>
      <c r="I24" s="167">
        <v>0.23</v>
      </c>
      <c r="J24" s="167">
        <v>0.15</v>
      </c>
      <c r="K24" s="167">
        <v>0.2</v>
      </c>
    </row>
    <row r="25" spans="1:11" ht="15" thickBot="1">
      <c r="A25" s="169" t="s">
        <v>211</v>
      </c>
      <c r="B25" s="166" t="s">
        <v>73</v>
      </c>
      <c r="C25" s="168">
        <v>5037</v>
      </c>
      <c r="D25" s="168">
        <v>5189</v>
      </c>
      <c r="E25" s="168">
        <v>5259</v>
      </c>
      <c r="F25" s="168">
        <v>5222</v>
      </c>
      <c r="G25" s="168">
        <v>4980</v>
      </c>
      <c r="H25" s="168">
        <v>5168</v>
      </c>
      <c r="I25" s="168">
        <v>5110</v>
      </c>
      <c r="J25" s="168">
        <v>5188</v>
      </c>
      <c r="K25" s="168">
        <v>5028</v>
      </c>
    </row>
    <row r="26" spans="1:11" ht="15" thickBot="1">
      <c r="A26" s="169" t="s">
        <v>212</v>
      </c>
      <c r="B26" s="166" t="s">
        <v>109</v>
      </c>
      <c r="C26" s="167">
        <v>0.5</v>
      </c>
      <c r="D26" s="167">
        <v>0.46</v>
      </c>
      <c r="E26" s="167">
        <v>0.43</v>
      </c>
      <c r="F26" s="167">
        <v>0.48</v>
      </c>
      <c r="G26" s="167">
        <v>0.52</v>
      </c>
      <c r="H26" s="167">
        <v>0.53</v>
      </c>
      <c r="I26" s="167">
        <v>0.51</v>
      </c>
      <c r="J26" s="167">
        <v>0.48</v>
      </c>
      <c r="K26" s="167">
        <v>0.51</v>
      </c>
    </row>
    <row r="27" spans="1:11" ht="15" thickBot="1">
      <c r="A27" s="169" t="s">
        <v>212</v>
      </c>
      <c r="B27" s="166" t="s">
        <v>73</v>
      </c>
      <c r="C27" s="168">
        <v>4041</v>
      </c>
      <c r="D27" s="168">
        <v>4041</v>
      </c>
      <c r="E27" s="168">
        <v>4041</v>
      </c>
      <c r="F27" s="168">
        <v>4041</v>
      </c>
      <c r="G27" s="168">
        <v>4041</v>
      </c>
      <c r="H27" s="168">
        <v>4041</v>
      </c>
      <c r="I27" s="168">
        <v>4041</v>
      </c>
      <c r="J27" s="168">
        <v>4041</v>
      </c>
      <c r="K27" s="168">
        <v>4041</v>
      </c>
    </row>
  </sheetData>
  <autoFilter ref="A1:K27" xr:uid="{9CFE1B41-C17D-40EA-ACA2-CF1C3830CAA3}"/>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864F-F81A-46BC-85DA-94230C2CFA61}">
  <dimension ref="A1:AI17"/>
  <sheetViews>
    <sheetView topLeftCell="K1" workbookViewId="0">
      <selection activeCell="Y2" sqref="Y2"/>
    </sheetView>
  </sheetViews>
  <sheetFormatPr defaultRowHeight="14.25"/>
  <sheetData>
    <row r="1" spans="1:35" ht="27.75" thickBot="1">
      <c r="A1" s="164" t="s">
        <v>463</v>
      </c>
      <c r="B1" s="165" t="s">
        <v>464</v>
      </c>
      <c r="C1" s="165" t="s">
        <v>177</v>
      </c>
      <c r="D1" s="165" t="s">
        <v>183</v>
      </c>
      <c r="E1" s="165" t="s">
        <v>189</v>
      </c>
      <c r="F1" s="165" t="s">
        <v>194</v>
      </c>
      <c r="G1" s="165" t="s">
        <v>197</v>
      </c>
      <c r="H1" s="165" t="s">
        <v>200</v>
      </c>
      <c r="I1" s="165" t="s">
        <v>202</v>
      </c>
      <c r="J1" s="165" t="s">
        <v>204</v>
      </c>
      <c r="K1" s="165" t="s">
        <v>206</v>
      </c>
      <c r="M1" s="164" t="s">
        <v>463</v>
      </c>
      <c r="N1" s="165" t="s">
        <v>464</v>
      </c>
      <c r="O1" s="165" t="s">
        <v>177</v>
      </c>
      <c r="P1" s="165" t="s">
        <v>183</v>
      </c>
      <c r="Q1" s="165" t="s">
        <v>189</v>
      </c>
      <c r="R1" s="165" t="s">
        <v>194</v>
      </c>
      <c r="S1" s="165" t="s">
        <v>197</v>
      </c>
      <c r="T1" s="165" t="s">
        <v>200</v>
      </c>
      <c r="U1" s="165" t="s">
        <v>202</v>
      </c>
      <c r="V1" s="165" t="s">
        <v>204</v>
      </c>
      <c r="W1" s="165" t="s">
        <v>206</v>
      </c>
      <c r="Y1" s="164" t="s">
        <v>463</v>
      </c>
      <c r="Z1" s="165" t="s">
        <v>464</v>
      </c>
      <c r="AA1" s="165" t="s">
        <v>177</v>
      </c>
      <c r="AB1" s="165" t="s">
        <v>183</v>
      </c>
      <c r="AC1" s="165" t="s">
        <v>189</v>
      </c>
      <c r="AD1" s="165" t="s">
        <v>194</v>
      </c>
      <c r="AE1" s="165" t="s">
        <v>197</v>
      </c>
      <c r="AF1" s="165" t="s">
        <v>200</v>
      </c>
      <c r="AG1" s="165" t="s">
        <v>202</v>
      </c>
      <c r="AH1" s="165" t="s">
        <v>204</v>
      </c>
      <c r="AI1" s="165" t="s">
        <v>206</v>
      </c>
    </row>
    <row r="2" spans="1:35" ht="15" thickBot="1">
      <c r="A2" s="169" t="s">
        <v>465</v>
      </c>
      <c r="B2" s="166" t="s">
        <v>109</v>
      </c>
      <c r="C2" s="167">
        <v>0.41</v>
      </c>
      <c r="D2" s="167">
        <v>0.27</v>
      </c>
      <c r="E2" s="167">
        <v>0.23</v>
      </c>
      <c r="F2" s="167">
        <v>0.3</v>
      </c>
      <c r="G2" s="167">
        <v>0.42</v>
      </c>
      <c r="H2" s="167">
        <v>0.45</v>
      </c>
      <c r="I2" s="167">
        <v>0.4</v>
      </c>
      <c r="J2" s="167">
        <v>0.33</v>
      </c>
      <c r="K2" s="167">
        <v>0.4</v>
      </c>
      <c r="M2" s="169" t="s">
        <v>178</v>
      </c>
      <c r="N2" s="166" t="s">
        <v>73</v>
      </c>
      <c r="O2" s="168">
        <v>4007</v>
      </c>
      <c r="P2" s="168">
        <v>3436</v>
      </c>
      <c r="Q2" s="168">
        <v>3096</v>
      </c>
      <c r="R2" s="168">
        <v>3641</v>
      </c>
      <c r="S2" s="168">
        <v>4057</v>
      </c>
      <c r="T2" s="168">
        <v>4311</v>
      </c>
      <c r="U2" s="168">
        <v>3916</v>
      </c>
      <c r="V2" s="168">
        <v>3828</v>
      </c>
      <c r="W2" s="168">
        <v>3872</v>
      </c>
      <c r="Y2" s="169" t="s">
        <v>178</v>
      </c>
      <c r="Z2" s="166" t="s">
        <v>109</v>
      </c>
      <c r="AA2" s="167">
        <v>0.41</v>
      </c>
      <c r="AB2" s="167">
        <v>0.27</v>
      </c>
      <c r="AC2" s="167">
        <v>0.23</v>
      </c>
      <c r="AD2" s="167">
        <v>0.3</v>
      </c>
      <c r="AE2" s="167">
        <v>0.42</v>
      </c>
      <c r="AF2" s="167">
        <v>0.45</v>
      </c>
      <c r="AG2" s="167">
        <v>0.4</v>
      </c>
      <c r="AH2" s="167">
        <v>0.33</v>
      </c>
      <c r="AI2" s="167">
        <v>0.4</v>
      </c>
    </row>
    <row r="3" spans="1:35" ht="15" thickBot="1">
      <c r="A3" s="169" t="s">
        <v>465</v>
      </c>
      <c r="B3" s="166" t="s">
        <v>73</v>
      </c>
      <c r="C3" s="168">
        <v>4007</v>
      </c>
      <c r="D3" s="168">
        <v>3436</v>
      </c>
      <c r="E3" s="168">
        <v>3096</v>
      </c>
      <c r="F3" s="168">
        <v>3641</v>
      </c>
      <c r="G3" s="168">
        <v>4057</v>
      </c>
      <c r="H3" s="168">
        <v>4311</v>
      </c>
      <c r="I3" s="168">
        <v>3916</v>
      </c>
      <c r="J3" s="168">
        <v>3828</v>
      </c>
      <c r="K3" s="168">
        <v>3872</v>
      </c>
      <c r="M3" s="169" t="s">
        <v>184</v>
      </c>
      <c r="N3" s="166" t="s">
        <v>73</v>
      </c>
      <c r="O3" s="168">
        <v>2721</v>
      </c>
      <c r="P3" s="168">
        <v>1849</v>
      </c>
      <c r="Q3" s="168">
        <v>1631</v>
      </c>
      <c r="R3" s="168">
        <v>2175</v>
      </c>
      <c r="S3" s="168">
        <v>2730</v>
      </c>
      <c r="T3" s="168">
        <v>3505</v>
      </c>
      <c r="U3" s="168">
        <v>2676</v>
      </c>
      <c r="V3" s="168">
        <v>2310</v>
      </c>
      <c r="W3" s="168">
        <v>2573</v>
      </c>
      <c r="Y3" s="169" t="s">
        <v>184</v>
      </c>
      <c r="Z3" s="166" t="s">
        <v>109</v>
      </c>
      <c r="AA3" s="167">
        <v>0.1</v>
      </c>
      <c r="AB3" s="167">
        <v>0.08</v>
      </c>
      <c r="AC3" s="167">
        <v>7.0000000000000007E-2</v>
      </c>
      <c r="AD3" s="167">
        <v>0.09</v>
      </c>
      <c r="AE3" s="167">
        <v>0.18</v>
      </c>
      <c r="AF3" s="167">
        <v>0.18</v>
      </c>
      <c r="AG3" s="167">
        <v>0.17</v>
      </c>
      <c r="AH3" s="167">
        <v>0.12</v>
      </c>
      <c r="AI3" s="167">
        <v>0.16</v>
      </c>
    </row>
    <row r="4" spans="1:35" ht="15" thickBot="1">
      <c r="A4" s="169" t="s">
        <v>184</v>
      </c>
      <c r="B4" s="166" t="s">
        <v>109</v>
      </c>
      <c r="C4" s="167">
        <v>0.1</v>
      </c>
      <c r="D4" s="167">
        <v>0.08</v>
      </c>
      <c r="E4" s="167">
        <v>7.0000000000000007E-2</v>
      </c>
      <c r="F4" s="167">
        <v>0.09</v>
      </c>
      <c r="G4" s="167">
        <v>0.18</v>
      </c>
      <c r="H4" s="167">
        <v>0.18</v>
      </c>
      <c r="I4" s="167">
        <v>0.17</v>
      </c>
      <c r="J4" s="167">
        <v>0.12</v>
      </c>
      <c r="K4" s="167">
        <v>0.16</v>
      </c>
      <c r="M4" s="169" t="s">
        <v>195</v>
      </c>
      <c r="N4" s="166" t="s">
        <v>73</v>
      </c>
      <c r="O4" s="168">
        <v>5588</v>
      </c>
      <c r="P4" s="168">
        <v>4801</v>
      </c>
      <c r="Q4" s="168">
        <v>4167</v>
      </c>
      <c r="R4" s="168">
        <v>5109</v>
      </c>
      <c r="S4" s="168">
        <v>5717</v>
      </c>
      <c r="T4" s="168">
        <v>6086</v>
      </c>
      <c r="U4" s="168">
        <v>5593</v>
      </c>
      <c r="V4" s="168">
        <v>5266</v>
      </c>
      <c r="W4" s="168">
        <v>5628</v>
      </c>
      <c r="Y4" s="169" t="s">
        <v>195</v>
      </c>
      <c r="Z4" s="166" t="s">
        <v>109</v>
      </c>
      <c r="AA4" s="167">
        <v>0.46</v>
      </c>
      <c r="AB4" s="167">
        <v>0.38</v>
      </c>
      <c r="AC4" s="167">
        <v>0.31</v>
      </c>
      <c r="AD4" s="167">
        <v>0.42</v>
      </c>
      <c r="AE4" s="167">
        <v>0.5</v>
      </c>
      <c r="AF4" s="167">
        <v>0.54</v>
      </c>
      <c r="AG4" s="167">
        <v>0.48</v>
      </c>
      <c r="AH4" s="167">
        <v>0.44</v>
      </c>
      <c r="AI4" s="167">
        <v>0.47</v>
      </c>
    </row>
    <row r="5" spans="1:35" ht="15" thickBot="1">
      <c r="A5" s="169" t="s">
        <v>184</v>
      </c>
      <c r="B5" s="166" t="s">
        <v>73</v>
      </c>
      <c r="C5" s="168">
        <v>2721</v>
      </c>
      <c r="D5" s="168">
        <v>1849</v>
      </c>
      <c r="E5" s="168">
        <v>1631</v>
      </c>
      <c r="F5" s="168">
        <v>2175</v>
      </c>
      <c r="G5" s="168">
        <v>2730</v>
      </c>
      <c r="H5" s="168">
        <v>3505</v>
      </c>
      <c r="I5" s="168">
        <v>2676</v>
      </c>
      <c r="J5" s="168">
        <v>2310</v>
      </c>
      <c r="K5" s="168">
        <v>2573</v>
      </c>
      <c r="M5" s="169" t="s">
        <v>198</v>
      </c>
      <c r="N5" s="166" t="s">
        <v>73</v>
      </c>
      <c r="O5" s="168">
        <v>3892</v>
      </c>
      <c r="P5" s="168">
        <v>3093</v>
      </c>
      <c r="Q5" s="168">
        <v>2592</v>
      </c>
      <c r="R5" s="168">
        <v>3456</v>
      </c>
      <c r="S5" s="168">
        <v>4104</v>
      </c>
      <c r="T5" s="168">
        <v>4535</v>
      </c>
      <c r="U5" s="168">
        <v>3900</v>
      </c>
      <c r="V5" s="168">
        <v>3710</v>
      </c>
      <c r="W5" s="168">
        <v>3818</v>
      </c>
      <c r="Y5" s="169" t="s">
        <v>198</v>
      </c>
      <c r="Z5" s="166" t="s">
        <v>109</v>
      </c>
      <c r="AA5" s="167">
        <v>0.24</v>
      </c>
      <c r="AB5" s="167">
        <v>0.2</v>
      </c>
      <c r="AC5" s="167">
        <v>0.16</v>
      </c>
      <c r="AD5" s="167">
        <v>0.22</v>
      </c>
      <c r="AE5" s="167">
        <v>0.28000000000000003</v>
      </c>
      <c r="AF5" s="167">
        <v>0.3</v>
      </c>
      <c r="AG5" s="167">
        <v>0.28000000000000003</v>
      </c>
      <c r="AH5" s="167">
        <v>0.23</v>
      </c>
      <c r="AI5" s="167">
        <v>0.26</v>
      </c>
    </row>
    <row r="6" spans="1:35" ht="15" thickBot="1">
      <c r="A6" s="169" t="s">
        <v>195</v>
      </c>
      <c r="B6" s="166" t="s">
        <v>109</v>
      </c>
      <c r="C6" s="167">
        <v>0.46</v>
      </c>
      <c r="D6" s="167">
        <v>0.38</v>
      </c>
      <c r="E6" s="167">
        <v>0.31</v>
      </c>
      <c r="F6" s="167">
        <v>0.42</v>
      </c>
      <c r="G6" s="167">
        <v>0.5</v>
      </c>
      <c r="H6" s="167">
        <v>0.54</v>
      </c>
      <c r="I6" s="167">
        <v>0.48</v>
      </c>
      <c r="J6" s="167">
        <v>0.44</v>
      </c>
      <c r="K6" s="167">
        <v>0.47</v>
      </c>
      <c r="M6" s="169" t="s">
        <v>201</v>
      </c>
      <c r="N6" s="166" t="s">
        <v>73</v>
      </c>
      <c r="O6" s="168">
        <v>1735</v>
      </c>
      <c r="P6" s="168">
        <v>1306</v>
      </c>
      <c r="Q6" s="168">
        <v>1086</v>
      </c>
      <c r="R6" s="168">
        <v>1448</v>
      </c>
      <c r="S6" s="168">
        <v>1742</v>
      </c>
      <c r="T6" s="168">
        <v>1891</v>
      </c>
      <c r="U6" s="168">
        <v>1606</v>
      </c>
      <c r="V6" s="168">
        <v>1558</v>
      </c>
      <c r="W6" s="168">
        <v>1633</v>
      </c>
      <c r="Y6" s="169" t="s">
        <v>201</v>
      </c>
      <c r="Z6" s="166" t="s">
        <v>109</v>
      </c>
      <c r="AA6" s="167">
        <v>0.53</v>
      </c>
      <c r="AB6" s="167">
        <v>0.4</v>
      </c>
      <c r="AC6" s="167">
        <v>0.32</v>
      </c>
      <c r="AD6" s="167">
        <v>0.43</v>
      </c>
      <c r="AE6" s="167">
        <v>0.53</v>
      </c>
      <c r="AF6" s="167">
        <v>0.57999999999999996</v>
      </c>
      <c r="AG6" s="167">
        <v>0.54</v>
      </c>
      <c r="AH6" s="167">
        <v>0.48</v>
      </c>
      <c r="AI6" s="167">
        <v>0.5</v>
      </c>
    </row>
    <row r="7" spans="1:35" ht="15" thickBot="1">
      <c r="A7" s="169" t="s">
        <v>195</v>
      </c>
      <c r="B7" s="166" t="s">
        <v>73</v>
      </c>
      <c r="C7" s="168">
        <v>5588</v>
      </c>
      <c r="D7" s="168">
        <v>4801</v>
      </c>
      <c r="E7" s="168">
        <v>4167</v>
      </c>
      <c r="F7" s="168">
        <v>5109</v>
      </c>
      <c r="G7" s="168">
        <v>5717</v>
      </c>
      <c r="H7" s="168">
        <v>6086</v>
      </c>
      <c r="I7" s="168">
        <v>5593</v>
      </c>
      <c r="J7" s="168">
        <v>5266</v>
      </c>
      <c r="K7" s="168">
        <v>5628</v>
      </c>
      <c r="M7" s="169" t="s">
        <v>205</v>
      </c>
      <c r="N7" s="166" t="s">
        <v>73</v>
      </c>
      <c r="O7" s="168">
        <v>5845</v>
      </c>
      <c r="P7" s="168">
        <v>5042</v>
      </c>
      <c r="Q7" s="168">
        <v>4444</v>
      </c>
      <c r="R7" s="168">
        <v>5198</v>
      </c>
      <c r="S7" s="168">
        <v>6045</v>
      </c>
      <c r="T7" s="168">
        <v>6161</v>
      </c>
      <c r="U7" s="168">
        <v>5686</v>
      </c>
      <c r="V7" s="168">
        <v>5655</v>
      </c>
      <c r="W7" s="168">
        <v>5776</v>
      </c>
      <c r="Y7" s="169" t="s">
        <v>205</v>
      </c>
      <c r="Z7" s="166" t="s">
        <v>109</v>
      </c>
      <c r="AA7" s="167">
        <v>0.61</v>
      </c>
      <c r="AB7" s="167">
        <v>0.57999999999999996</v>
      </c>
      <c r="AC7" s="167">
        <v>0.53</v>
      </c>
      <c r="AD7" s="167">
        <v>0.6</v>
      </c>
      <c r="AE7" s="167">
        <v>0.66</v>
      </c>
      <c r="AF7" s="167">
        <v>0.67</v>
      </c>
      <c r="AG7" s="167">
        <v>0.69</v>
      </c>
      <c r="AH7" s="167">
        <v>0.59</v>
      </c>
      <c r="AI7" s="167">
        <v>0.66</v>
      </c>
    </row>
    <row r="8" spans="1:35" ht="15" thickBot="1">
      <c r="A8" s="169" t="s">
        <v>198</v>
      </c>
      <c r="B8" s="166" t="s">
        <v>109</v>
      </c>
      <c r="C8" s="167">
        <v>0.24</v>
      </c>
      <c r="D8" s="167">
        <v>0.2</v>
      </c>
      <c r="E8" s="167">
        <v>0.16</v>
      </c>
      <c r="F8" s="167">
        <v>0.22</v>
      </c>
      <c r="G8" s="167">
        <v>0.28000000000000003</v>
      </c>
      <c r="H8" s="167">
        <v>0.3</v>
      </c>
      <c r="I8" s="167">
        <v>0.28000000000000003</v>
      </c>
      <c r="J8" s="167">
        <v>0.23</v>
      </c>
      <c r="K8" s="167">
        <v>0.26</v>
      </c>
      <c r="M8" s="169" t="s">
        <v>208</v>
      </c>
      <c r="N8" s="166" t="s">
        <v>73</v>
      </c>
      <c r="O8" s="168">
        <v>1789</v>
      </c>
      <c r="P8" s="168">
        <v>1402</v>
      </c>
      <c r="Q8" s="168">
        <v>1189</v>
      </c>
      <c r="R8" s="168">
        <v>1585</v>
      </c>
      <c r="S8" s="168">
        <v>1804</v>
      </c>
      <c r="T8" s="168">
        <v>2036</v>
      </c>
      <c r="U8" s="168">
        <v>1739</v>
      </c>
      <c r="V8" s="168">
        <v>1638</v>
      </c>
      <c r="W8" s="168">
        <v>1711</v>
      </c>
      <c r="Y8" s="169" t="s">
        <v>208</v>
      </c>
      <c r="Z8" s="166" t="s">
        <v>109</v>
      </c>
      <c r="AA8" s="167">
        <v>0.28999999999999998</v>
      </c>
      <c r="AB8" s="167">
        <v>0.25</v>
      </c>
      <c r="AC8" s="167">
        <v>0.2</v>
      </c>
      <c r="AD8" s="167">
        <v>0.27</v>
      </c>
      <c r="AE8" s="167">
        <v>0.35</v>
      </c>
      <c r="AF8" s="167">
        <v>0.36</v>
      </c>
      <c r="AG8" s="167">
        <v>0.33</v>
      </c>
      <c r="AH8" s="167">
        <v>0.28999999999999998</v>
      </c>
      <c r="AI8" s="167">
        <v>0.32</v>
      </c>
    </row>
    <row r="9" spans="1:35" ht="15" thickBot="1">
      <c r="A9" s="169" t="s">
        <v>198</v>
      </c>
      <c r="B9" s="166" t="s">
        <v>73</v>
      </c>
      <c r="C9" s="168">
        <v>3892</v>
      </c>
      <c r="D9" s="168">
        <v>3093</v>
      </c>
      <c r="E9" s="168">
        <v>2592</v>
      </c>
      <c r="F9" s="168">
        <v>3456</v>
      </c>
      <c r="G9" s="168">
        <v>4104</v>
      </c>
      <c r="H9" s="168">
        <v>4535</v>
      </c>
      <c r="I9" s="168">
        <v>3900</v>
      </c>
      <c r="J9" s="168">
        <v>3710</v>
      </c>
      <c r="K9" s="168">
        <v>3818</v>
      </c>
      <c r="M9" s="169" t="s">
        <v>210</v>
      </c>
      <c r="N9" s="166" t="s">
        <v>73</v>
      </c>
      <c r="O9" s="168">
        <v>2957</v>
      </c>
      <c r="P9" s="168">
        <v>2416</v>
      </c>
      <c r="Q9" s="168">
        <v>2012</v>
      </c>
      <c r="R9" s="168">
        <v>2653</v>
      </c>
      <c r="S9" s="168">
        <v>3085</v>
      </c>
      <c r="T9" s="168">
        <v>3225</v>
      </c>
      <c r="U9" s="168">
        <v>2795</v>
      </c>
      <c r="V9" s="168">
        <v>2735</v>
      </c>
      <c r="W9" s="168">
        <v>2898</v>
      </c>
      <c r="Y9" s="169" t="s">
        <v>210</v>
      </c>
      <c r="Z9" s="166" t="s">
        <v>109</v>
      </c>
      <c r="AA9" s="167">
        <v>0.46</v>
      </c>
      <c r="AB9" s="167">
        <v>0.33</v>
      </c>
      <c r="AC9" s="167">
        <v>0.28000000000000003</v>
      </c>
      <c r="AD9" s="167">
        <v>0.38</v>
      </c>
      <c r="AE9" s="167">
        <v>0.53</v>
      </c>
      <c r="AF9" s="167">
        <v>0.54</v>
      </c>
      <c r="AG9" s="167">
        <v>0.47</v>
      </c>
      <c r="AH9" s="167">
        <v>0.42</v>
      </c>
      <c r="AI9" s="167">
        <v>0.47</v>
      </c>
    </row>
    <row r="10" spans="1:35" ht="15" thickBot="1">
      <c r="A10" s="169" t="s">
        <v>201</v>
      </c>
      <c r="B10" s="166" t="s">
        <v>109</v>
      </c>
      <c r="C10" s="167">
        <v>0.53</v>
      </c>
      <c r="D10" s="167">
        <v>0.4</v>
      </c>
      <c r="E10" s="167">
        <v>0.32</v>
      </c>
      <c r="F10" s="167">
        <v>0.43</v>
      </c>
      <c r="G10" s="167">
        <v>0.53</v>
      </c>
      <c r="H10" s="167">
        <v>0.57999999999999996</v>
      </c>
      <c r="I10" s="167">
        <v>0.54</v>
      </c>
      <c r="J10" s="167">
        <v>0.48</v>
      </c>
      <c r="K10" s="167">
        <v>0.5</v>
      </c>
    </row>
    <row r="11" spans="1:35" ht="15" thickBot="1">
      <c r="A11" s="169" t="s">
        <v>201</v>
      </c>
      <c r="B11" s="166" t="s">
        <v>73</v>
      </c>
      <c r="C11" s="168">
        <v>1735</v>
      </c>
      <c r="D11" s="168">
        <v>1306</v>
      </c>
      <c r="E11" s="168">
        <v>1086</v>
      </c>
      <c r="F11" s="168">
        <v>1448</v>
      </c>
      <c r="G11" s="168">
        <v>1742</v>
      </c>
      <c r="H11" s="168">
        <v>1891</v>
      </c>
      <c r="I11" s="168">
        <v>1606</v>
      </c>
      <c r="J11" s="168">
        <v>1558</v>
      </c>
      <c r="K11" s="168">
        <v>1633</v>
      </c>
    </row>
    <row r="12" spans="1:35" ht="15" thickBot="1">
      <c r="A12" s="169" t="s">
        <v>205</v>
      </c>
      <c r="B12" s="166" t="s">
        <v>109</v>
      </c>
      <c r="C12" s="167">
        <v>0.61</v>
      </c>
      <c r="D12" s="167">
        <v>0.57999999999999996</v>
      </c>
      <c r="E12" s="167">
        <v>0.53</v>
      </c>
      <c r="F12" s="167">
        <v>0.6</v>
      </c>
      <c r="G12" s="167">
        <v>0.66</v>
      </c>
      <c r="H12" s="167">
        <v>0.67</v>
      </c>
      <c r="I12" s="167">
        <v>0.69</v>
      </c>
      <c r="J12" s="167">
        <v>0.59</v>
      </c>
      <c r="K12" s="167">
        <v>0.66</v>
      </c>
    </row>
    <row r="13" spans="1:35" ht="15" thickBot="1">
      <c r="A13" s="169" t="s">
        <v>205</v>
      </c>
      <c r="B13" s="166" t="s">
        <v>73</v>
      </c>
      <c r="C13" s="168">
        <v>5845</v>
      </c>
      <c r="D13" s="168">
        <v>5042</v>
      </c>
      <c r="E13" s="168">
        <v>4444</v>
      </c>
      <c r="F13" s="168">
        <v>5198</v>
      </c>
      <c r="G13" s="168">
        <v>6045</v>
      </c>
      <c r="H13" s="168">
        <v>6161</v>
      </c>
      <c r="I13" s="168">
        <v>5686</v>
      </c>
      <c r="J13" s="168">
        <v>5655</v>
      </c>
      <c r="K13" s="168">
        <v>5776</v>
      </c>
    </row>
    <row r="14" spans="1:35" ht="15" thickBot="1">
      <c r="A14" s="169" t="s">
        <v>208</v>
      </c>
      <c r="B14" s="166" t="s">
        <v>109</v>
      </c>
      <c r="C14" s="167">
        <v>0.28999999999999998</v>
      </c>
      <c r="D14" s="167">
        <v>0.25</v>
      </c>
      <c r="E14" s="167">
        <v>0.2</v>
      </c>
      <c r="F14" s="167">
        <v>0.27</v>
      </c>
      <c r="G14" s="167">
        <v>0.35</v>
      </c>
      <c r="H14" s="167">
        <v>0.36</v>
      </c>
      <c r="I14" s="167">
        <v>0.33</v>
      </c>
      <c r="J14" s="167">
        <v>0.28999999999999998</v>
      </c>
      <c r="K14" s="167">
        <v>0.32</v>
      </c>
    </row>
    <row r="15" spans="1:35" ht="15" thickBot="1">
      <c r="A15" s="169" t="s">
        <v>208</v>
      </c>
      <c r="B15" s="166" t="s">
        <v>73</v>
      </c>
      <c r="C15" s="168">
        <v>1789</v>
      </c>
      <c r="D15" s="168">
        <v>1402</v>
      </c>
      <c r="E15" s="168">
        <v>1189</v>
      </c>
      <c r="F15" s="168">
        <v>1585</v>
      </c>
      <c r="G15" s="168">
        <v>1804</v>
      </c>
      <c r="H15" s="168">
        <v>2036</v>
      </c>
      <c r="I15" s="168">
        <v>1739</v>
      </c>
      <c r="J15" s="168">
        <v>1638</v>
      </c>
      <c r="K15" s="168">
        <v>1711</v>
      </c>
    </row>
    <row r="16" spans="1:35" ht="15" thickBot="1">
      <c r="A16" s="169" t="s">
        <v>210</v>
      </c>
      <c r="B16" s="166" t="s">
        <v>109</v>
      </c>
      <c r="C16" s="167">
        <v>0.46</v>
      </c>
      <c r="D16" s="167">
        <v>0.33</v>
      </c>
      <c r="E16" s="167">
        <v>0.28000000000000003</v>
      </c>
      <c r="F16" s="167">
        <v>0.38</v>
      </c>
      <c r="G16" s="167">
        <v>0.53</v>
      </c>
      <c r="H16" s="167">
        <v>0.54</v>
      </c>
      <c r="I16" s="167">
        <v>0.47</v>
      </c>
      <c r="J16" s="167">
        <v>0.42</v>
      </c>
      <c r="K16" s="167">
        <v>0.47</v>
      </c>
    </row>
    <row r="17" spans="1:11" ht="15" thickBot="1">
      <c r="A17" s="169" t="s">
        <v>210</v>
      </c>
      <c r="B17" s="166" t="s">
        <v>73</v>
      </c>
      <c r="C17" s="168">
        <v>2957</v>
      </c>
      <c r="D17" s="168">
        <v>2416</v>
      </c>
      <c r="E17" s="168">
        <v>2012</v>
      </c>
      <c r="F17" s="168">
        <v>2653</v>
      </c>
      <c r="G17" s="168">
        <v>3085</v>
      </c>
      <c r="H17" s="168">
        <v>3225</v>
      </c>
      <c r="I17" s="168">
        <v>2795</v>
      </c>
      <c r="J17" s="168">
        <v>2735</v>
      </c>
      <c r="K17" s="168">
        <v>2898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3F49-9955-448D-862F-5C33E65F9355}">
  <dimension ref="A1:AI17"/>
  <sheetViews>
    <sheetView topLeftCell="M1" workbookViewId="0">
      <selection activeCell="Y2" sqref="Y2"/>
    </sheetView>
  </sheetViews>
  <sheetFormatPr defaultRowHeight="14.25"/>
  <sheetData>
    <row r="1" spans="1:35" ht="27.75" thickBot="1">
      <c r="A1" s="164" t="s">
        <v>463</v>
      </c>
      <c r="B1" s="165" t="s">
        <v>464</v>
      </c>
      <c r="C1" s="165" t="s">
        <v>177</v>
      </c>
      <c r="D1" s="165" t="s">
        <v>183</v>
      </c>
      <c r="E1" s="165" t="s">
        <v>189</v>
      </c>
      <c r="F1" s="165" t="s">
        <v>194</v>
      </c>
      <c r="G1" s="165" t="s">
        <v>197</v>
      </c>
      <c r="H1" s="165" t="s">
        <v>200</v>
      </c>
      <c r="I1" s="165" t="s">
        <v>202</v>
      </c>
      <c r="J1" s="165" t="s">
        <v>204</v>
      </c>
      <c r="K1" s="165" t="s">
        <v>206</v>
      </c>
      <c r="M1" s="164" t="s">
        <v>463</v>
      </c>
      <c r="N1" s="165" t="s">
        <v>464</v>
      </c>
      <c r="O1" s="165" t="s">
        <v>177</v>
      </c>
      <c r="P1" s="165" t="s">
        <v>183</v>
      </c>
      <c r="Q1" s="165" t="s">
        <v>189</v>
      </c>
      <c r="R1" s="165" t="s">
        <v>194</v>
      </c>
      <c r="S1" s="165" t="s">
        <v>197</v>
      </c>
      <c r="T1" s="165" t="s">
        <v>200</v>
      </c>
      <c r="U1" s="165" t="s">
        <v>202</v>
      </c>
      <c r="V1" s="165" t="s">
        <v>204</v>
      </c>
      <c r="W1" s="165" t="s">
        <v>206</v>
      </c>
      <c r="Y1" s="164" t="s">
        <v>463</v>
      </c>
      <c r="Z1" s="165" t="s">
        <v>464</v>
      </c>
      <c r="AA1" s="165" t="s">
        <v>177</v>
      </c>
      <c r="AB1" s="165" t="s">
        <v>183</v>
      </c>
      <c r="AC1" s="165" t="s">
        <v>189</v>
      </c>
      <c r="AD1" s="165" t="s">
        <v>194</v>
      </c>
      <c r="AE1" s="165" t="s">
        <v>197</v>
      </c>
      <c r="AF1" s="165" t="s">
        <v>200</v>
      </c>
      <c r="AG1" s="165" t="s">
        <v>202</v>
      </c>
      <c r="AH1" s="165" t="s">
        <v>204</v>
      </c>
      <c r="AI1" s="165" t="s">
        <v>206</v>
      </c>
    </row>
    <row r="2" spans="1:35" ht="15" thickBot="1">
      <c r="A2" s="169" t="s">
        <v>465</v>
      </c>
      <c r="B2" s="166" t="s">
        <v>109</v>
      </c>
      <c r="C2" s="167">
        <v>0.41</v>
      </c>
      <c r="D2" s="167">
        <v>0.26</v>
      </c>
      <c r="E2" s="167">
        <v>0.23</v>
      </c>
      <c r="F2" s="167">
        <v>0.3</v>
      </c>
      <c r="G2" s="167">
        <v>0.42</v>
      </c>
      <c r="H2" s="167">
        <v>0.45</v>
      </c>
      <c r="I2" s="167">
        <v>0.4</v>
      </c>
      <c r="J2" s="167">
        <v>0.33</v>
      </c>
      <c r="K2" s="167">
        <v>0.39</v>
      </c>
      <c r="M2" s="169" t="s">
        <v>178</v>
      </c>
      <c r="N2" s="166" t="s">
        <v>73</v>
      </c>
      <c r="O2" s="168">
        <v>4006</v>
      </c>
      <c r="P2" s="168">
        <v>3435</v>
      </c>
      <c r="Q2" s="168">
        <v>3096</v>
      </c>
      <c r="R2" s="168">
        <v>3641</v>
      </c>
      <c r="S2" s="168">
        <v>4057</v>
      </c>
      <c r="T2" s="168">
        <v>4309</v>
      </c>
      <c r="U2" s="168">
        <v>3914</v>
      </c>
      <c r="V2" s="168">
        <v>3827</v>
      </c>
      <c r="W2" s="168">
        <v>3871</v>
      </c>
      <c r="Y2" s="169" t="s">
        <v>178</v>
      </c>
      <c r="Z2" s="166" t="s">
        <v>109</v>
      </c>
      <c r="AA2" s="167">
        <v>0.41</v>
      </c>
      <c r="AB2" s="167">
        <v>0.26</v>
      </c>
      <c r="AC2" s="167">
        <v>0.23</v>
      </c>
      <c r="AD2" s="167">
        <v>0.3</v>
      </c>
      <c r="AE2" s="167">
        <v>0.42</v>
      </c>
      <c r="AF2" s="167">
        <v>0.45</v>
      </c>
      <c r="AG2" s="167">
        <v>0.4</v>
      </c>
      <c r="AH2" s="167">
        <v>0.33</v>
      </c>
      <c r="AI2" s="167">
        <v>0.39</v>
      </c>
    </row>
    <row r="3" spans="1:35" ht="15" thickBot="1">
      <c r="A3" s="169" t="s">
        <v>465</v>
      </c>
      <c r="B3" s="166" t="s">
        <v>73</v>
      </c>
      <c r="C3" s="168">
        <v>4006</v>
      </c>
      <c r="D3" s="168">
        <v>3435</v>
      </c>
      <c r="E3" s="168">
        <v>3096</v>
      </c>
      <c r="F3" s="168">
        <v>3641</v>
      </c>
      <c r="G3" s="168">
        <v>4057</v>
      </c>
      <c r="H3" s="168">
        <v>4309</v>
      </c>
      <c r="I3" s="168">
        <v>3914</v>
      </c>
      <c r="J3" s="168">
        <v>3827</v>
      </c>
      <c r="K3" s="168">
        <v>3871</v>
      </c>
      <c r="M3" s="169" t="s">
        <v>184</v>
      </c>
      <c r="N3" s="166" t="s">
        <v>73</v>
      </c>
      <c r="O3" s="168">
        <v>2742</v>
      </c>
      <c r="P3" s="168">
        <v>1851</v>
      </c>
      <c r="Q3" s="168">
        <v>1634</v>
      </c>
      <c r="R3" s="168">
        <v>2178</v>
      </c>
      <c r="S3" s="168">
        <v>2744</v>
      </c>
      <c r="T3" s="168">
        <v>3517</v>
      </c>
      <c r="U3" s="168">
        <v>2685</v>
      </c>
      <c r="V3" s="168">
        <v>2313</v>
      </c>
      <c r="W3" s="168">
        <v>2604</v>
      </c>
      <c r="Y3" s="169" t="s">
        <v>184</v>
      </c>
      <c r="Z3" s="166" t="s">
        <v>109</v>
      </c>
      <c r="AA3" s="167">
        <v>0.11</v>
      </c>
      <c r="AB3" s="167">
        <v>0.08</v>
      </c>
      <c r="AC3" s="167">
        <v>7.0000000000000007E-2</v>
      </c>
      <c r="AD3" s="167">
        <v>0.09</v>
      </c>
      <c r="AE3" s="167">
        <v>0.18</v>
      </c>
      <c r="AF3" s="167">
        <v>0.18</v>
      </c>
      <c r="AG3" s="167">
        <v>0.17</v>
      </c>
      <c r="AH3" s="167">
        <v>0.12</v>
      </c>
      <c r="AI3" s="167">
        <v>0.17</v>
      </c>
    </row>
    <row r="4" spans="1:35" ht="15" thickBot="1">
      <c r="A4" s="169" t="s">
        <v>184</v>
      </c>
      <c r="B4" s="166" t="s">
        <v>109</v>
      </c>
      <c r="C4" s="167">
        <v>0.11</v>
      </c>
      <c r="D4" s="167">
        <v>0.08</v>
      </c>
      <c r="E4" s="167">
        <v>7.0000000000000007E-2</v>
      </c>
      <c r="F4" s="167">
        <v>0.09</v>
      </c>
      <c r="G4" s="167">
        <v>0.18</v>
      </c>
      <c r="H4" s="167">
        <v>0.18</v>
      </c>
      <c r="I4" s="167">
        <v>0.17</v>
      </c>
      <c r="J4" s="167">
        <v>0.12</v>
      </c>
      <c r="K4" s="167">
        <v>0.17</v>
      </c>
      <c r="M4" s="169" t="s">
        <v>195</v>
      </c>
      <c r="N4" s="166" t="s">
        <v>73</v>
      </c>
      <c r="O4" s="168">
        <v>5587</v>
      </c>
      <c r="P4" s="168">
        <v>4798</v>
      </c>
      <c r="Q4" s="168">
        <v>4165</v>
      </c>
      <c r="R4" s="168">
        <v>5107</v>
      </c>
      <c r="S4" s="168">
        <v>5714</v>
      </c>
      <c r="T4" s="168">
        <v>6084</v>
      </c>
      <c r="U4" s="168">
        <v>5591</v>
      </c>
      <c r="V4" s="168">
        <v>5263</v>
      </c>
      <c r="W4" s="168">
        <v>5626</v>
      </c>
      <c r="Y4" s="169" t="s">
        <v>195</v>
      </c>
      <c r="Z4" s="166" t="s">
        <v>109</v>
      </c>
      <c r="AA4" s="167">
        <v>0.45</v>
      </c>
      <c r="AB4" s="167">
        <v>0.37</v>
      </c>
      <c r="AC4" s="167">
        <v>0.31</v>
      </c>
      <c r="AD4" s="167">
        <v>0.41</v>
      </c>
      <c r="AE4" s="167">
        <v>0.49</v>
      </c>
      <c r="AF4" s="167">
        <v>0.54</v>
      </c>
      <c r="AG4" s="167">
        <v>0.47</v>
      </c>
      <c r="AH4" s="167">
        <v>0.44</v>
      </c>
      <c r="AI4" s="167">
        <v>0.46</v>
      </c>
    </row>
    <row r="5" spans="1:35" ht="15" thickBot="1">
      <c r="A5" s="169" t="s">
        <v>184</v>
      </c>
      <c r="B5" s="166" t="s">
        <v>73</v>
      </c>
      <c r="C5" s="168">
        <v>2742</v>
      </c>
      <c r="D5" s="168">
        <v>1851</v>
      </c>
      <c r="E5" s="168">
        <v>1634</v>
      </c>
      <c r="F5" s="168">
        <v>2178</v>
      </c>
      <c r="G5" s="168">
        <v>2744</v>
      </c>
      <c r="H5" s="168">
        <v>3517</v>
      </c>
      <c r="I5" s="168">
        <v>2685</v>
      </c>
      <c r="J5" s="168">
        <v>2313</v>
      </c>
      <c r="K5" s="168">
        <v>2604</v>
      </c>
      <c r="M5" s="169" t="s">
        <v>198</v>
      </c>
      <c r="N5" s="166" t="s">
        <v>73</v>
      </c>
      <c r="O5" s="168">
        <v>3894</v>
      </c>
      <c r="P5" s="168">
        <v>3093</v>
      </c>
      <c r="Q5" s="168">
        <v>2593</v>
      </c>
      <c r="R5" s="168">
        <v>3457</v>
      </c>
      <c r="S5" s="168">
        <v>4106</v>
      </c>
      <c r="T5" s="168">
        <v>4537</v>
      </c>
      <c r="U5" s="168">
        <v>3902</v>
      </c>
      <c r="V5" s="168">
        <v>3711</v>
      </c>
      <c r="W5" s="168">
        <v>3819</v>
      </c>
      <c r="Y5" s="169" t="s">
        <v>198</v>
      </c>
      <c r="Z5" s="166" t="s">
        <v>109</v>
      </c>
      <c r="AA5" s="167">
        <v>0.24</v>
      </c>
      <c r="AB5" s="167">
        <v>0.2</v>
      </c>
      <c r="AC5" s="167">
        <v>0.16</v>
      </c>
      <c r="AD5" s="167">
        <v>0.22</v>
      </c>
      <c r="AE5" s="167">
        <v>0.28000000000000003</v>
      </c>
      <c r="AF5" s="167">
        <v>0.3</v>
      </c>
      <c r="AG5" s="167">
        <v>0.28000000000000003</v>
      </c>
      <c r="AH5" s="167">
        <v>0.23</v>
      </c>
      <c r="AI5" s="167">
        <v>0.26</v>
      </c>
    </row>
    <row r="6" spans="1:35" ht="15" thickBot="1">
      <c r="A6" s="169" t="s">
        <v>195</v>
      </c>
      <c r="B6" s="166" t="s">
        <v>109</v>
      </c>
      <c r="C6" s="167">
        <v>0.45</v>
      </c>
      <c r="D6" s="167">
        <v>0.37</v>
      </c>
      <c r="E6" s="167">
        <v>0.31</v>
      </c>
      <c r="F6" s="167">
        <v>0.41</v>
      </c>
      <c r="G6" s="167">
        <v>0.49</v>
      </c>
      <c r="H6" s="167">
        <v>0.54</v>
      </c>
      <c r="I6" s="167">
        <v>0.47</v>
      </c>
      <c r="J6" s="167">
        <v>0.44</v>
      </c>
      <c r="K6" s="167">
        <v>0.46</v>
      </c>
      <c r="M6" s="169" t="s">
        <v>201</v>
      </c>
      <c r="N6" s="166" t="s">
        <v>73</v>
      </c>
      <c r="O6" s="168">
        <v>1735</v>
      </c>
      <c r="P6" s="168">
        <v>1306</v>
      </c>
      <c r="Q6" s="168">
        <v>1086</v>
      </c>
      <c r="R6" s="168">
        <v>1448</v>
      </c>
      <c r="S6" s="168">
        <v>1742</v>
      </c>
      <c r="T6" s="168">
        <v>1891</v>
      </c>
      <c r="U6" s="168">
        <v>1606</v>
      </c>
      <c r="V6" s="168">
        <v>1558</v>
      </c>
      <c r="W6" s="168">
        <v>1633</v>
      </c>
      <c r="Y6" s="169" t="s">
        <v>201</v>
      </c>
      <c r="Z6" s="166" t="s">
        <v>109</v>
      </c>
      <c r="AA6" s="167">
        <v>0.53</v>
      </c>
      <c r="AB6" s="167">
        <v>0.4</v>
      </c>
      <c r="AC6" s="167">
        <v>0.32</v>
      </c>
      <c r="AD6" s="167">
        <v>0.43</v>
      </c>
      <c r="AE6" s="167">
        <v>0.54</v>
      </c>
      <c r="AF6" s="167">
        <v>0.59</v>
      </c>
      <c r="AG6" s="167">
        <v>0.54</v>
      </c>
      <c r="AH6" s="167">
        <v>0.48</v>
      </c>
      <c r="AI6" s="167">
        <v>0.5</v>
      </c>
    </row>
    <row r="7" spans="1:35" ht="15" thickBot="1">
      <c r="A7" s="169" t="s">
        <v>195</v>
      </c>
      <c r="B7" s="166" t="s">
        <v>73</v>
      </c>
      <c r="C7" s="168">
        <v>5587</v>
      </c>
      <c r="D7" s="168">
        <v>4798</v>
      </c>
      <c r="E7" s="168">
        <v>4165</v>
      </c>
      <c r="F7" s="168">
        <v>5107</v>
      </c>
      <c r="G7" s="168">
        <v>5714</v>
      </c>
      <c r="H7" s="168">
        <v>6084</v>
      </c>
      <c r="I7" s="168">
        <v>5591</v>
      </c>
      <c r="J7" s="168">
        <v>5263</v>
      </c>
      <c r="K7" s="168">
        <v>5626</v>
      </c>
      <c r="M7" s="169" t="s">
        <v>205</v>
      </c>
      <c r="N7" s="166" t="s">
        <v>73</v>
      </c>
      <c r="O7" s="168">
        <v>5844</v>
      </c>
      <c r="P7" s="168">
        <v>5039</v>
      </c>
      <c r="Q7" s="168">
        <v>4442</v>
      </c>
      <c r="R7" s="168">
        <v>5197</v>
      </c>
      <c r="S7" s="168">
        <v>6043</v>
      </c>
      <c r="T7" s="168">
        <v>6159</v>
      </c>
      <c r="U7" s="168">
        <v>5683</v>
      </c>
      <c r="V7" s="168">
        <v>5652</v>
      </c>
      <c r="W7" s="168">
        <v>5773</v>
      </c>
      <c r="Y7" s="169" t="s">
        <v>205</v>
      </c>
      <c r="Z7" s="166" t="s">
        <v>109</v>
      </c>
      <c r="AA7" s="167">
        <v>0.61</v>
      </c>
      <c r="AB7" s="167">
        <v>0.57999999999999996</v>
      </c>
      <c r="AC7" s="167">
        <v>0.53</v>
      </c>
      <c r="AD7" s="167">
        <v>0.61</v>
      </c>
      <c r="AE7" s="167">
        <v>0.67</v>
      </c>
      <c r="AF7" s="167">
        <v>0.68</v>
      </c>
      <c r="AG7" s="167">
        <v>0.7</v>
      </c>
      <c r="AH7" s="167">
        <v>0.59</v>
      </c>
      <c r="AI7" s="167">
        <v>0.66</v>
      </c>
    </row>
    <row r="8" spans="1:35" ht="15" thickBot="1">
      <c r="A8" s="169" t="s">
        <v>198</v>
      </c>
      <c r="B8" s="166" t="s">
        <v>109</v>
      </c>
      <c r="C8" s="167">
        <v>0.24</v>
      </c>
      <c r="D8" s="167">
        <v>0.2</v>
      </c>
      <c r="E8" s="167">
        <v>0.16</v>
      </c>
      <c r="F8" s="167">
        <v>0.22</v>
      </c>
      <c r="G8" s="167">
        <v>0.28000000000000003</v>
      </c>
      <c r="H8" s="167">
        <v>0.3</v>
      </c>
      <c r="I8" s="167">
        <v>0.28000000000000003</v>
      </c>
      <c r="J8" s="167">
        <v>0.23</v>
      </c>
      <c r="K8" s="167">
        <v>0.26</v>
      </c>
      <c r="M8" s="169" t="s">
        <v>208</v>
      </c>
      <c r="N8" s="166" t="s">
        <v>73</v>
      </c>
      <c r="O8" s="168">
        <v>1789</v>
      </c>
      <c r="P8" s="168">
        <v>1402</v>
      </c>
      <c r="Q8" s="168">
        <v>1189</v>
      </c>
      <c r="R8" s="168">
        <v>1585</v>
      </c>
      <c r="S8" s="168">
        <v>1804</v>
      </c>
      <c r="T8" s="168">
        <v>2036</v>
      </c>
      <c r="U8" s="168">
        <v>1739</v>
      </c>
      <c r="V8" s="168">
        <v>1638</v>
      </c>
      <c r="W8" s="168">
        <v>1711</v>
      </c>
      <c r="Y8" s="169" t="s">
        <v>208</v>
      </c>
      <c r="Z8" s="166" t="s">
        <v>109</v>
      </c>
      <c r="AA8" s="167">
        <v>0.28999999999999998</v>
      </c>
      <c r="AB8" s="167">
        <v>0.25</v>
      </c>
      <c r="AC8" s="167">
        <v>0.2</v>
      </c>
      <c r="AD8" s="167">
        <v>0.27</v>
      </c>
      <c r="AE8" s="167">
        <v>0.35</v>
      </c>
      <c r="AF8" s="167">
        <v>0.36</v>
      </c>
      <c r="AG8" s="167">
        <v>0.33</v>
      </c>
      <c r="AH8" s="167">
        <v>0.28999999999999998</v>
      </c>
      <c r="AI8" s="167">
        <v>0.32</v>
      </c>
    </row>
    <row r="9" spans="1:35" ht="15" thickBot="1">
      <c r="A9" s="169" t="s">
        <v>198</v>
      </c>
      <c r="B9" s="166" t="s">
        <v>73</v>
      </c>
      <c r="C9" s="168">
        <v>3894</v>
      </c>
      <c r="D9" s="168">
        <v>3093</v>
      </c>
      <c r="E9" s="168">
        <v>2593</v>
      </c>
      <c r="F9" s="168">
        <v>3457</v>
      </c>
      <c r="G9" s="168">
        <v>4106</v>
      </c>
      <c r="H9" s="168">
        <v>4537</v>
      </c>
      <c r="I9" s="168">
        <v>3902</v>
      </c>
      <c r="J9" s="168">
        <v>3711</v>
      </c>
      <c r="K9" s="168">
        <v>3819</v>
      </c>
      <c r="M9" s="169" t="s">
        <v>210</v>
      </c>
      <c r="N9" s="166" t="s">
        <v>73</v>
      </c>
      <c r="O9" s="168">
        <v>2957</v>
      </c>
      <c r="P9" s="168">
        <v>2416</v>
      </c>
      <c r="Q9" s="168">
        <v>2012</v>
      </c>
      <c r="R9" s="168">
        <v>2653</v>
      </c>
      <c r="S9" s="168">
        <v>3085</v>
      </c>
      <c r="T9" s="168">
        <v>3226</v>
      </c>
      <c r="U9" s="168">
        <v>2795</v>
      </c>
      <c r="V9" s="168">
        <v>2736</v>
      </c>
      <c r="W9" s="168">
        <v>2898</v>
      </c>
      <c r="Y9" s="169" t="s">
        <v>210</v>
      </c>
      <c r="Z9" s="166" t="s">
        <v>109</v>
      </c>
      <c r="AA9" s="167">
        <v>0.46</v>
      </c>
      <c r="AB9" s="167">
        <v>0.33</v>
      </c>
      <c r="AC9" s="167">
        <v>0.28000000000000003</v>
      </c>
      <c r="AD9" s="167">
        <v>0.38</v>
      </c>
      <c r="AE9" s="167">
        <v>0.53</v>
      </c>
      <c r="AF9" s="167">
        <v>0.54</v>
      </c>
      <c r="AG9" s="167">
        <v>0.47</v>
      </c>
      <c r="AH9" s="167">
        <v>0.42</v>
      </c>
      <c r="AI9" s="167">
        <v>0.47</v>
      </c>
    </row>
    <row r="10" spans="1:35" ht="15" thickBot="1">
      <c r="A10" s="169" t="s">
        <v>201</v>
      </c>
      <c r="B10" s="166" t="s">
        <v>109</v>
      </c>
      <c r="C10" s="167">
        <v>0.53</v>
      </c>
      <c r="D10" s="167">
        <v>0.4</v>
      </c>
      <c r="E10" s="167">
        <v>0.32</v>
      </c>
      <c r="F10" s="167">
        <v>0.43</v>
      </c>
      <c r="G10" s="167">
        <v>0.54</v>
      </c>
      <c r="H10" s="167">
        <v>0.59</v>
      </c>
      <c r="I10" s="167">
        <v>0.54</v>
      </c>
      <c r="J10" s="167">
        <v>0.48</v>
      </c>
      <c r="K10" s="167">
        <v>0.5</v>
      </c>
    </row>
    <row r="11" spans="1:35" ht="15" thickBot="1">
      <c r="A11" s="169" t="s">
        <v>201</v>
      </c>
      <c r="B11" s="166" t="s">
        <v>73</v>
      </c>
      <c r="C11" s="168">
        <v>1735</v>
      </c>
      <c r="D11" s="168">
        <v>1306</v>
      </c>
      <c r="E11" s="168">
        <v>1086</v>
      </c>
      <c r="F11" s="168">
        <v>1448</v>
      </c>
      <c r="G11" s="168">
        <v>1742</v>
      </c>
      <c r="H11" s="168">
        <v>1891</v>
      </c>
      <c r="I11" s="168">
        <v>1606</v>
      </c>
      <c r="J11" s="168">
        <v>1558</v>
      </c>
      <c r="K11" s="168">
        <v>1633</v>
      </c>
    </row>
    <row r="12" spans="1:35" ht="15" thickBot="1">
      <c r="A12" s="169" t="s">
        <v>205</v>
      </c>
      <c r="B12" s="166" t="s">
        <v>109</v>
      </c>
      <c r="C12" s="167">
        <v>0.61</v>
      </c>
      <c r="D12" s="167">
        <v>0.57999999999999996</v>
      </c>
      <c r="E12" s="167">
        <v>0.53</v>
      </c>
      <c r="F12" s="167">
        <v>0.61</v>
      </c>
      <c r="G12" s="167">
        <v>0.67</v>
      </c>
      <c r="H12" s="167">
        <v>0.68</v>
      </c>
      <c r="I12" s="167">
        <v>0.7</v>
      </c>
      <c r="J12" s="167">
        <v>0.59</v>
      </c>
      <c r="K12" s="167">
        <v>0.66</v>
      </c>
    </row>
    <row r="13" spans="1:35" ht="15" thickBot="1">
      <c r="A13" s="169" t="s">
        <v>205</v>
      </c>
      <c r="B13" s="166" t="s">
        <v>73</v>
      </c>
      <c r="C13" s="168">
        <v>5844</v>
      </c>
      <c r="D13" s="168">
        <v>5039</v>
      </c>
      <c r="E13" s="168">
        <v>4442</v>
      </c>
      <c r="F13" s="168">
        <v>5197</v>
      </c>
      <c r="G13" s="168">
        <v>6043</v>
      </c>
      <c r="H13" s="168">
        <v>6159</v>
      </c>
      <c r="I13" s="168">
        <v>5683</v>
      </c>
      <c r="J13" s="168">
        <v>5652</v>
      </c>
      <c r="K13" s="168">
        <v>5773</v>
      </c>
    </row>
    <row r="14" spans="1:35" ht="15" thickBot="1">
      <c r="A14" s="169" t="s">
        <v>208</v>
      </c>
      <c r="B14" s="166" t="s">
        <v>109</v>
      </c>
      <c r="C14" s="167">
        <v>0.28999999999999998</v>
      </c>
      <c r="D14" s="167">
        <v>0.25</v>
      </c>
      <c r="E14" s="167">
        <v>0.2</v>
      </c>
      <c r="F14" s="167">
        <v>0.27</v>
      </c>
      <c r="G14" s="167">
        <v>0.35</v>
      </c>
      <c r="H14" s="167">
        <v>0.36</v>
      </c>
      <c r="I14" s="167">
        <v>0.33</v>
      </c>
      <c r="J14" s="167">
        <v>0.28999999999999998</v>
      </c>
      <c r="K14" s="167">
        <v>0.32</v>
      </c>
    </row>
    <row r="15" spans="1:35" ht="15" thickBot="1">
      <c r="A15" s="169" t="s">
        <v>208</v>
      </c>
      <c r="B15" s="166" t="s">
        <v>73</v>
      </c>
      <c r="C15" s="168">
        <v>1789</v>
      </c>
      <c r="D15" s="168">
        <v>1402</v>
      </c>
      <c r="E15" s="168">
        <v>1189</v>
      </c>
      <c r="F15" s="168">
        <v>1585</v>
      </c>
      <c r="G15" s="168">
        <v>1804</v>
      </c>
      <c r="H15" s="168">
        <v>2036</v>
      </c>
      <c r="I15" s="168">
        <v>1739</v>
      </c>
      <c r="J15" s="168">
        <v>1638</v>
      </c>
      <c r="K15" s="168">
        <v>1711</v>
      </c>
    </row>
    <row r="16" spans="1:35" ht="15" thickBot="1">
      <c r="A16" s="169" t="s">
        <v>210</v>
      </c>
      <c r="B16" s="166" t="s">
        <v>109</v>
      </c>
      <c r="C16" s="167">
        <v>0.46</v>
      </c>
      <c r="D16" s="167">
        <v>0.33</v>
      </c>
      <c r="E16" s="167">
        <v>0.28000000000000003</v>
      </c>
      <c r="F16" s="167">
        <v>0.38</v>
      </c>
      <c r="G16" s="167">
        <v>0.53</v>
      </c>
      <c r="H16" s="167">
        <v>0.54</v>
      </c>
      <c r="I16" s="167">
        <v>0.47</v>
      </c>
      <c r="J16" s="167">
        <v>0.42</v>
      </c>
      <c r="K16" s="167">
        <v>0.47</v>
      </c>
    </row>
    <row r="17" spans="1:11" ht="15" thickBot="1">
      <c r="A17" s="169" t="s">
        <v>210</v>
      </c>
      <c r="B17" s="166" t="s">
        <v>73</v>
      </c>
      <c r="C17" s="168">
        <v>2957</v>
      </c>
      <c r="D17" s="168">
        <v>2416</v>
      </c>
      <c r="E17" s="168">
        <v>2012</v>
      </c>
      <c r="F17" s="168">
        <v>2653</v>
      </c>
      <c r="G17" s="168">
        <v>3085</v>
      </c>
      <c r="H17" s="168">
        <v>3226</v>
      </c>
      <c r="I17" s="168">
        <v>2795</v>
      </c>
      <c r="J17" s="168">
        <v>2736</v>
      </c>
      <c r="K17" s="168">
        <v>2898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43A93-1B53-4599-B703-24C5F3C0AB86}">
  <dimension ref="A1:AI17"/>
  <sheetViews>
    <sheetView topLeftCell="L1" workbookViewId="0">
      <selection activeCell="Y2" sqref="Y2"/>
    </sheetView>
  </sheetViews>
  <sheetFormatPr defaultRowHeight="14.25"/>
  <sheetData>
    <row r="1" spans="1:35" ht="27.75" thickBot="1">
      <c r="A1" s="164" t="s">
        <v>463</v>
      </c>
      <c r="B1" s="165" t="s">
        <v>464</v>
      </c>
      <c r="C1" s="165" t="s">
        <v>177</v>
      </c>
      <c r="D1" s="165" t="s">
        <v>183</v>
      </c>
      <c r="E1" s="165" t="s">
        <v>189</v>
      </c>
      <c r="F1" s="165" t="s">
        <v>194</v>
      </c>
      <c r="G1" s="165" t="s">
        <v>197</v>
      </c>
      <c r="H1" s="165" t="s">
        <v>200</v>
      </c>
      <c r="I1" s="165" t="s">
        <v>202</v>
      </c>
      <c r="J1" s="165" t="s">
        <v>204</v>
      </c>
      <c r="K1" s="165" t="s">
        <v>206</v>
      </c>
      <c r="M1" s="164" t="s">
        <v>463</v>
      </c>
      <c r="N1" s="165" t="s">
        <v>464</v>
      </c>
      <c r="O1" s="165" t="s">
        <v>177</v>
      </c>
      <c r="P1" s="165" t="s">
        <v>183</v>
      </c>
      <c r="Q1" s="165" t="s">
        <v>189</v>
      </c>
      <c r="R1" s="165" t="s">
        <v>194</v>
      </c>
      <c r="S1" s="165" t="s">
        <v>197</v>
      </c>
      <c r="T1" s="165" t="s">
        <v>200</v>
      </c>
      <c r="U1" s="165" t="s">
        <v>202</v>
      </c>
      <c r="V1" s="165" t="s">
        <v>204</v>
      </c>
      <c r="W1" s="165" t="s">
        <v>206</v>
      </c>
      <c r="Y1" s="164" t="s">
        <v>463</v>
      </c>
      <c r="Z1" s="165" t="s">
        <v>464</v>
      </c>
      <c r="AA1" s="165" t="s">
        <v>177</v>
      </c>
      <c r="AB1" s="165" t="s">
        <v>183</v>
      </c>
      <c r="AC1" s="165" t="s">
        <v>189</v>
      </c>
      <c r="AD1" s="165" t="s">
        <v>194</v>
      </c>
      <c r="AE1" s="165" t="s">
        <v>197</v>
      </c>
      <c r="AF1" s="165" t="s">
        <v>200</v>
      </c>
      <c r="AG1" s="165" t="s">
        <v>202</v>
      </c>
      <c r="AH1" s="165" t="s">
        <v>204</v>
      </c>
      <c r="AI1" s="165" t="s">
        <v>206</v>
      </c>
    </row>
    <row r="2" spans="1:35" ht="15" thickBot="1">
      <c r="A2" s="169" t="s">
        <v>465</v>
      </c>
      <c r="B2" s="166" t="s">
        <v>109</v>
      </c>
      <c r="C2" s="167">
        <v>0.01</v>
      </c>
      <c r="D2" s="167">
        <v>0.01</v>
      </c>
      <c r="E2" s="167">
        <v>0.01</v>
      </c>
      <c r="F2" s="167">
        <v>0.01</v>
      </c>
      <c r="G2" s="167">
        <v>0</v>
      </c>
      <c r="H2" s="167">
        <v>0</v>
      </c>
      <c r="I2" s="167">
        <v>0.01</v>
      </c>
      <c r="J2" s="167">
        <v>0.01</v>
      </c>
      <c r="K2" s="167">
        <v>0.01</v>
      </c>
      <c r="M2" s="169" t="s">
        <v>178</v>
      </c>
      <c r="N2" s="166" t="s">
        <v>73</v>
      </c>
      <c r="O2" s="168">
        <v>4548</v>
      </c>
      <c r="P2" s="168">
        <v>5271</v>
      </c>
      <c r="Q2" s="168">
        <v>5900</v>
      </c>
      <c r="R2" s="168">
        <v>5036</v>
      </c>
      <c r="S2" s="168">
        <v>4250</v>
      </c>
      <c r="T2" s="168">
        <v>4014</v>
      </c>
      <c r="U2" s="168">
        <v>4572</v>
      </c>
      <c r="V2" s="168">
        <v>4638</v>
      </c>
      <c r="W2" s="168">
        <v>4487</v>
      </c>
      <c r="Y2" s="169" t="s">
        <v>178</v>
      </c>
      <c r="Z2" s="166" t="s">
        <v>109</v>
      </c>
      <c r="AA2" s="167">
        <v>0.01</v>
      </c>
      <c r="AB2" s="167">
        <v>0.01</v>
      </c>
      <c r="AC2" s="167">
        <v>0.01</v>
      </c>
      <c r="AD2" s="167">
        <v>0.01</v>
      </c>
      <c r="AE2" s="167">
        <v>0</v>
      </c>
      <c r="AF2" s="167">
        <v>0</v>
      </c>
      <c r="AG2" s="167">
        <v>0.01</v>
      </c>
      <c r="AH2" s="167">
        <v>0.01</v>
      </c>
      <c r="AI2" s="167">
        <v>0.01</v>
      </c>
    </row>
    <row r="3" spans="1:35" ht="15" thickBot="1">
      <c r="A3" s="169" t="s">
        <v>465</v>
      </c>
      <c r="B3" s="166" t="s">
        <v>73</v>
      </c>
      <c r="C3" s="168">
        <v>4548</v>
      </c>
      <c r="D3" s="168">
        <v>5271</v>
      </c>
      <c r="E3" s="168">
        <v>5900</v>
      </c>
      <c r="F3" s="168">
        <v>5036</v>
      </c>
      <c r="G3" s="168">
        <v>4250</v>
      </c>
      <c r="H3" s="168">
        <v>4014</v>
      </c>
      <c r="I3" s="168">
        <v>4572</v>
      </c>
      <c r="J3" s="168">
        <v>4638</v>
      </c>
      <c r="K3" s="168">
        <v>4487</v>
      </c>
      <c r="M3" s="169" t="s">
        <v>184</v>
      </c>
      <c r="N3" s="166" t="s">
        <v>73</v>
      </c>
      <c r="O3" s="168">
        <v>3651</v>
      </c>
      <c r="P3" s="168">
        <v>4251</v>
      </c>
      <c r="Q3" s="168">
        <v>4722</v>
      </c>
      <c r="R3" s="168">
        <v>4080</v>
      </c>
      <c r="S3" s="168">
        <v>3492</v>
      </c>
      <c r="T3" s="168">
        <v>3341</v>
      </c>
      <c r="U3" s="168">
        <v>3705</v>
      </c>
      <c r="V3" s="168">
        <v>3830</v>
      </c>
      <c r="W3" s="168">
        <v>3658</v>
      </c>
      <c r="Y3" s="169" t="s">
        <v>184</v>
      </c>
      <c r="Z3" s="166" t="s">
        <v>109</v>
      </c>
      <c r="AA3" s="167">
        <v>0</v>
      </c>
      <c r="AB3" s="167">
        <v>0</v>
      </c>
      <c r="AC3" s="167">
        <v>0</v>
      </c>
      <c r="AD3" s="167">
        <v>0</v>
      </c>
      <c r="AE3" s="167">
        <v>0</v>
      </c>
      <c r="AF3" s="167">
        <v>0</v>
      </c>
      <c r="AG3" s="167">
        <v>0</v>
      </c>
      <c r="AH3" s="167">
        <v>0</v>
      </c>
      <c r="AI3" s="167">
        <v>0</v>
      </c>
    </row>
    <row r="4" spans="1:35" ht="15" thickBot="1">
      <c r="A4" s="169" t="s">
        <v>184</v>
      </c>
      <c r="B4" s="166" t="s">
        <v>109</v>
      </c>
      <c r="C4" s="167">
        <v>0</v>
      </c>
      <c r="D4" s="167">
        <v>0</v>
      </c>
      <c r="E4" s="167">
        <v>0</v>
      </c>
      <c r="F4" s="167">
        <v>0</v>
      </c>
      <c r="G4" s="167">
        <v>0</v>
      </c>
      <c r="H4" s="167">
        <v>0</v>
      </c>
      <c r="I4" s="167">
        <v>0</v>
      </c>
      <c r="J4" s="167">
        <v>0</v>
      </c>
      <c r="K4" s="167">
        <v>0</v>
      </c>
      <c r="M4" s="169" t="s">
        <v>195</v>
      </c>
      <c r="N4" s="166" t="s">
        <v>73</v>
      </c>
      <c r="O4" s="168">
        <v>8760</v>
      </c>
      <c r="P4" s="168">
        <v>8760</v>
      </c>
      <c r="Q4" s="168">
        <v>8760</v>
      </c>
      <c r="R4" s="168">
        <v>8760</v>
      </c>
      <c r="S4" s="168">
        <v>8760</v>
      </c>
      <c r="T4" s="168">
        <v>8760</v>
      </c>
      <c r="U4" s="168">
        <v>8760</v>
      </c>
      <c r="V4" s="168">
        <v>8760</v>
      </c>
      <c r="W4" s="168">
        <v>8760</v>
      </c>
      <c r="Y4" s="169" t="s">
        <v>195</v>
      </c>
      <c r="Z4" s="166" t="s">
        <v>109</v>
      </c>
      <c r="AA4" s="167">
        <v>0.09</v>
      </c>
      <c r="AB4" s="167">
        <v>0.09</v>
      </c>
      <c r="AC4" s="167">
        <v>0.09</v>
      </c>
      <c r="AD4" s="167">
        <v>0.09</v>
      </c>
      <c r="AE4" s="167">
        <v>0.09</v>
      </c>
      <c r="AF4" s="167">
        <v>0.09</v>
      </c>
      <c r="AG4" s="167">
        <v>0.09</v>
      </c>
      <c r="AH4" s="167">
        <v>0.09</v>
      </c>
      <c r="AI4" s="167">
        <v>0.09</v>
      </c>
    </row>
    <row r="5" spans="1:35" ht="15" thickBot="1">
      <c r="A5" s="169" t="s">
        <v>184</v>
      </c>
      <c r="B5" s="166" t="s">
        <v>73</v>
      </c>
      <c r="C5" s="168">
        <v>3651</v>
      </c>
      <c r="D5" s="168">
        <v>4251</v>
      </c>
      <c r="E5" s="168">
        <v>4722</v>
      </c>
      <c r="F5" s="168">
        <v>4080</v>
      </c>
      <c r="G5" s="168">
        <v>3492</v>
      </c>
      <c r="H5" s="168">
        <v>3341</v>
      </c>
      <c r="I5" s="168">
        <v>3705</v>
      </c>
      <c r="J5" s="168">
        <v>3830</v>
      </c>
      <c r="K5" s="168">
        <v>3658</v>
      </c>
      <c r="M5" s="169" t="s">
        <v>198</v>
      </c>
      <c r="N5" s="166" t="s">
        <v>73</v>
      </c>
      <c r="O5" s="168">
        <v>5934</v>
      </c>
      <c r="P5" s="168">
        <v>6627</v>
      </c>
      <c r="Q5" s="168">
        <v>7170</v>
      </c>
      <c r="R5" s="168">
        <v>6280</v>
      </c>
      <c r="S5" s="168">
        <v>5823</v>
      </c>
      <c r="T5" s="168">
        <v>5477</v>
      </c>
      <c r="U5" s="168">
        <v>5991</v>
      </c>
      <c r="V5" s="168">
        <v>6223</v>
      </c>
      <c r="W5" s="168">
        <v>6045</v>
      </c>
      <c r="Y5" s="169" t="s">
        <v>198</v>
      </c>
      <c r="Z5" s="166" t="s">
        <v>109</v>
      </c>
      <c r="AA5" s="167">
        <v>0</v>
      </c>
      <c r="AB5" s="167">
        <v>0</v>
      </c>
      <c r="AC5" s="167">
        <v>0</v>
      </c>
      <c r="AD5" s="167">
        <v>0</v>
      </c>
      <c r="AE5" s="167">
        <v>0</v>
      </c>
      <c r="AF5" s="167">
        <v>0</v>
      </c>
      <c r="AG5" s="167">
        <v>0</v>
      </c>
      <c r="AH5" s="167">
        <v>0</v>
      </c>
      <c r="AI5" s="167">
        <v>0</v>
      </c>
    </row>
    <row r="6" spans="1:35" ht="15" thickBot="1">
      <c r="A6" s="169" t="s">
        <v>195</v>
      </c>
      <c r="B6" s="166" t="s">
        <v>109</v>
      </c>
      <c r="C6" s="167">
        <v>0.09</v>
      </c>
      <c r="D6" s="167">
        <v>0.09</v>
      </c>
      <c r="E6" s="167">
        <v>0.09</v>
      </c>
      <c r="F6" s="167">
        <v>0.09</v>
      </c>
      <c r="G6" s="167">
        <v>0.09</v>
      </c>
      <c r="H6" s="167">
        <v>0.09</v>
      </c>
      <c r="I6" s="167">
        <v>0.09</v>
      </c>
      <c r="J6" s="167">
        <v>0.09</v>
      </c>
      <c r="K6" s="167">
        <v>0.09</v>
      </c>
      <c r="M6" s="169" t="s">
        <v>201</v>
      </c>
      <c r="N6" s="166" t="s">
        <v>73</v>
      </c>
      <c r="O6" s="168">
        <v>1258</v>
      </c>
      <c r="P6" s="168">
        <v>1684</v>
      </c>
      <c r="Q6" s="168">
        <v>1944</v>
      </c>
      <c r="R6" s="168">
        <v>1555</v>
      </c>
      <c r="S6" s="168">
        <v>1184</v>
      </c>
      <c r="T6" s="168">
        <v>1028</v>
      </c>
      <c r="U6" s="168">
        <v>1287</v>
      </c>
      <c r="V6" s="168">
        <v>1393</v>
      </c>
      <c r="W6" s="168">
        <v>1277</v>
      </c>
      <c r="Y6" s="169" t="s">
        <v>201</v>
      </c>
      <c r="Z6" s="166" t="s">
        <v>109</v>
      </c>
      <c r="AA6" s="167">
        <v>0</v>
      </c>
      <c r="AB6" s="167">
        <v>0</v>
      </c>
      <c r="AC6" s="167">
        <v>0</v>
      </c>
      <c r="AD6" s="167">
        <v>0</v>
      </c>
      <c r="AE6" s="167">
        <v>0</v>
      </c>
      <c r="AF6" s="167">
        <v>0</v>
      </c>
      <c r="AG6" s="167">
        <v>0</v>
      </c>
      <c r="AH6" s="167">
        <v>0</v>
      </c>
      <c r="AI6" s="167">
        <v>0</v>
      </c>
    </row>
    <row r="7" spans="1:35" ht="15" thickBot="1">
      <c r="A7" s="169" t="s">
        <v>195</v>
      </c>
      <c r="B7" s="166" t="s">
        <v>73</v>
      </c>
      <c r="C7" s="168">
        <v>8760</v>
      </c>
      <c r="D7" s="168">
        <v>8760</v>
      </c>
      <c r="E7" s="168">
        <v>8760</v>
      </c>
      <c r="F7" s="168">
        <v>8760</v>
      </c>
      <c r="G7" s="168">
        <v>8760</v>
      </c>
      <c r="H7" s="168">
        <v>8760</v>
      </c>
      <c r="I7" s="168">
        <v>8760</v>
      </c>
      <c r="J7" s="168">
        <v>8760</v>
      </c>
      <c r="K7" s="168">
        <v>8760</v>
      </c>
      <c r="M7" s="169" t="s">
        <v>205</v>
      </c>
      <c r="N7" s="166" t="s">
        <v>73</v>
      </c>
      <c r="O7" s="168">
        <v>6469</v>
      </c>
      <c r="P7" s="168">
        <v>7072</v>
      </c>
      <c r="Q7" s="168">
        <v>7587</v>
      </c>
      <c r="R7" s="168">
        <v>6829</v>
      </c>
      <c r="S7" s="168">
        <v>6155</v>
      </c>
      <c r="T7" s="168">
        <v>6077</v>
      </c>
      <c r="U7" s="168">
        <v>6574</v>
      </c>
      <c r="V7" s="168">
        <v>6628</v>
      </c>
      <c r="W7" s="168">
        <v>6387</v>
      </c>
      <c r="Y7" s="169" t="s">
        <v>205</v>
      </c>
      <c r="Z7" s="166" t="s">
        <v>109</v>
      </c>
      <c r="AA7" s="167">
        <v>0</v>
      </c>
      <c r="AB7" s="167">
        <v>0</v>
      </c>
      <c r="AC7" s="167">
        <v>0</v>
      </c>
      <c r="AD7" s="167">
        <v>0</v>
      </c>
      <c r="AE7" s="167">
        <v>0</v>
      </c>
      <c r="AF7" s="167">
        <v>0</v>
      </c>
      <c r="AG7" s="167">
        <v>0</v>
      </c>
      <c r="AH7" s="167">
        <v>0</v>
      </c>
      <c r="AI7" s="167">
        <v>0</v>
      </c>
    </row>
    <row r="8" spans="1:35" ht="15" thickBot="1">
      <c r="A8" s="169" t="s">
        <v>198</v>
      </c>
      <c r="B8" s="166" t="s">
        <v>109</v>
      </c>
      <c r="C8" s="167">
        <v>0</v>
      </c>
      <c r="D8" s="167">
        <v>0</v>
      </c>
      <c r="E8" s="167">
        <v>0</v>
      </c>
      <c r="F8" s="167">
        <v>0</v>
      </c>
      <c r="G8" s="167">
        <v>0</v>
      </c>
      <c r="H8" s="167">
        <v>0</v>
      </c>
      <c r="I8" s="167">
        <v>0</v>
      </c>
      <c r="J8" s="167">
        <v>0</v>
      </c>
      <c r="K8" s="167">
        <v>0</v>
      </c>
      <c r="M8" s="169" t="s">
        <v>208</v>
      </c>
      <c r="N8" s="166" t="s">
        <v>73</v>
      </c>
      <c r="O8" s="168">
        <v>3214</v>
      </c>
      <c r="P8" s="168">
        <v>3876</v>
      </c>
      <c r="Q8" s="168">
        <v>4446</v>
      </c>
      <c r="R8" s="168">
        <v>3611</v>
      </c>
      <c r="S8" s="168">
        <v>3014</v>
      </c>
      <c r="T8" s="168">
        <v>2690</v>
      </c>
      <c r="U8" s="168">
        <v>3246</v>
      </c>
      <c r="V8" s="168">
        <v>3336</v>
      </c>
      <c r="W8" s="168">
        <v>3169</v>
      </c>
      <c r="Y8" s="169" t="s">
        <v>208</v>
      </c>
      <c r="Z8" s="166" t="s">
        <v>109</v>
      </c>
      <c r="AA8" s="167">
        <v>0</v>
      </c>
      <c r="AB8" s="167">
        <v>0</v>
      </c>
      <c r="AC8" s="167">
        <v>0</v>
      </c>
      <c r="AD8" s="167">
        <v>0</v>
      </c>
      <c r="AE8" s="167">
        <v>0</v>
      </c>
      <c r="AF8" s="167">
        <v>0</v>
      </c>
      <c r="AG8" s="167">
        <v>0</v>
      </c>
      <c r="AH8" s="167">
        <v>0</v>
      </c>
      <c r="AI8" s="167">
        <v>0</v>
      </c>
    </row>
    <row r="9" spans="1:35" ht="15" thickBot="1">
      <c r="A9" s="169" t="s">
        <v>198</v>
      </c>
      <c r="B9" s="166" t="s">
        <v>73</v>
      </c>
      <c r="C9" s="168">
        <v>5934</v>
      </c>
      <c r="D9" s="168">
        <v>6627</v>
      </c>
      <c r="E9" s="168">
        <v>7170</v>
      </c>
      <c r="F9" s="168">
        <v>6280</v>
      </c>
      <c r="G9" s="168">
        <v>5823</v>
      </c>
      <c r="H9" s="168">
        <v>5477</v>
      </c>
      <c r="I9" s="168">
        <v>5991</v>
      </c>
      <c r="J9" s="168">
        <v>6223</v>
      </c>
      <c r="K9" s="168">
        <v>6045</v>
      </c>
      <c r="M9" s="169" t="s">
        <v>210</v>
      </c>
      <c r="N9" s="166" t="s">
        <v>73</v>
      </c>
      <c r="O9" s="168">
        <v>2676</v>
      </c>
      <c r="P9" s="168">
        <v>3183</v>
      </c>
      <c r="Q9" s="168">
        <v>3568</v>
      </c>
      <c r="R9" s="168">
        <v>2960</v>
      </c>
      <c r="S9" s="168">
        <v>2561</v>
      </c>
      <c r="T9" s="168">
        <v>2398</v>
      </c>
      <c r="U9" s="168">
        <v>2908</v>
      </c>
      <c r="V9" s="168">
        <v>2841</v>
      </c>
      <c r="W9" s="168">
        <v>2660</v>
      </c>
      <c r="Y9" s="169" t="s">
        <v>210</v>
      </c>
      <c r="Z9" s="166" t="s">
        <v>109</v>
      </c>
      <c r="AA9" s="167">
        <v>0</v>
      </c>
      <c r="AB9" s="167">
        <v>0</v>
      </c>
      <c r="AC9" s="167">
        <v>0</v>
      </c>
      <c r="AD9" s="167">
        <v>0</v>
      </c>
      <c r="AE9" s="167">
        <v>0</v>
      </c>
      <c r="AF9" s="167">
        <v>0</v>
      </c>
      <c r="AG9" s="167">
        <v>0</v>
      </c>
      <c r="AH9" s="167">
        <v>0</v>
      </c>
      <c r="AI9" s="167">
        <v>0</v>
      </c>
    </row>
    <row r="10" spans="1:35" ht="15" thickBot="1">
      <c r="A10" s="169" t="s">
        <v>201</v>
      </c>
      <c r="B10" s="166" t="s">
        <v>109</v>
      </c>
      <c r="C10" s="167">
        <v>0</v>
      </c>
      <c r="D10" s="167">
        <v>0</v>
      </c>
      <c r="E10" s="167">
        <v>0</v>
      </c>
      <c r="F10" s="167">
        <v>0</v>
      </c>
      <c r="G10" s="167">
        <v>0</v>
      </c>
      <c r="H10" s="167">
        <v>0</v>
      </c>
      <c r="I10" s="167">
        <v>0</v>
      </c>
      <c r="J10" s="167">
        <v>0</v>
      </c>
      <c r="K10" s="167">
        <v>0</v>
      </c>
    </row>
    <row r="11" spans="1:35" ht="15" thickBot="1">
      <c r="A11" s="169" t="s">
        <v>201</v>
      </c>
      <c r="B11" s="166" t="s">
        <v>73</v>
      </c>
      <c r="C11" s="168">
        <v>1258</v>
      </c>
      <c r="D11" s="168">
        <v>1684</v>
      </c>
      <c r="E11" s="168">
        <v>1944</v>
      </c>
      <c r="F11" s="168">
        <v>1555</v>
      </c>
      <c r="G11" s="168">
        <v>1184</v>
      </c>
      <c r="H11" s="168">
        <v>1028</v>
      </c>
      <c r="I11" s="168">
        <v>1287</v>
      </c>
      <c r="J11" s="168">
        <v>1393</v>
      </c>
      <c r="K11" s="168">
        <v>1277</v>
      </c>
    </row>
    <row r="12" spans="1:35" ht="15" thickBot="1">
      <c r="A12" s="169" t="s">
        <v>205</v>
      </c>
      <c r="B12" s="166" t="s">
        <v>109</v>
      </c>
      <c r="C12" s="167">
        <v>0</v>
      </c>
      <c r="D12" s="167">
        <v>0</v>
      </c>
      <c r="E12" s="167">
        <v>0</v>
      </c>
      <c r="F12" s="167">
        <v>0</v>
      </c>
      <c r="G12" s="167">
        <v>0</v>
      </c>
      <c r="H12" s="167">
        <v>0</v>
      </c>
      <c r="I12" s="167">
        <v>0</v>
      </c>
      <c r="J12" s="167">
        <v>0</v>
      </c>
      <c r="K12" s="167">
        <v>0</v>
      </c>
    </row>
    <row r="13" spans="1:35" ht="15" thickBot="1">
      <c r="A13" s="169" t="s">
        <v>205</v>
      </c>
      <c r="B13" s="166" t="s">
        <v>73</v>
      </c>
      <c r="C13" s="168">
        <v>6469</v>
      </c>
      <c r="D13" s="168">
        <v>7072</v>
      </c>
      <c r="E13" s="168">
        <v>7587</v>
      </c>
      <c r="F13" s="168">
        <v>6829</v>
      </c>
      <c r="G13" s="168">
        <v>6155</v>
      </c>
      <c r="H13" s="168">
        <v>6077</v>
      </c>
      <c r="I13" s="168">
        <v>6574</v>
      </c>
      <c r="J13" s="168">
        <v>6628</v>
      </c>
      <c r="K13" s="168">
        <v>6387</v>
      </c>
    </row>
    <row r="14" spans="1:35" ht="15" thickBot="1">
      <c r="A14" s="169" t="s">
        <v>208</v>
      </c>
      <c r="B14" s="166" t="s">
        <v>109</v>
      </c>
      <c r="C14" s="167">
        <v>0</v>
      </c>
      <c r="D14" s="167">
        <v>0</v>
      </c>
      <c r="E14" s="167">
        <v>0</v>
      </c>
      <c r="F14" s="167">
        <v>0</v>
      </c>
      <c r="G14" s="167">
        <v>0</v>
      </c>
      <c r="H14" s="167">
        <v>0</v>
      </c>
      <c r="I14" s="167">
        <v>0</v>
      </c>
      <c r="J14" s="167">
        <v>0</v>
      </c>
      <c r="K14" s="167">
        <v>0</v>
      </c>
    </row>
    <row r="15" spans="1:35" ht="15" thickBot="1">
      <c r="A15" s="169" t="s">
        <v>208</v>
      </c>
      <c r="B15" s="166" t="s">
        <v>73</v>
      </c>
      <c r="C15" s="168">
        <v>3214</v>
      </c>
      <c r="D15" s="168">
        <v>3876</v>
      </c>
      <c r="E15" s="168">
        <v>4446</v>
      </c>
      <c r="F15" s="168">
        <v>3611</v>
      </c>
      <c r="G15" s="168">
        <v>3014</v>
      </c>
      <c r="H15" s="168">
        <v>2690</v>
      </c>
      <c r="I15" s="168">
        <v>3246</v>
      </c>
      <c r="J15" s="168">
        <v>3336</v>
      </c>
      <c r="K15" s="168">
        <v>3169</v>
      </c>
    </row>
    <row r="16" spans="1:35" ht="15" thickBot="1">
      <c r="A16" s="169" t="s">
        <v>210</v>
      </c>
      <c r="B16" s="166" t="s">
        <v>109</v>
      </c>
      <c r="C16" s="167">
        <v>0</v>
      </c>
      <c r="D16" s="167">
        <v>0</v>
      </c>
      <c r="E16" s="167">
        <v>0</v>
      </c>
      <c r="F16" s="167">
        <v>0</v>
      </c>
      <c r="G16" s="167">
        <v>0</v>
      </c>
      <c r="H16" s="167">
        <v>0</v>
      </c>
      <c r="I16" s="167">
        <v>0</v>
      </c>
      <c r="J16" s="167">
        <v>0</v>
      </c>
      <c r="K16" s="167">
        <v>0</v>
      </c>
    </row>
    <row r="17" spans="1:11" ht="15" thickBot="1">
      <c r="A17" s="169" t="s">
        <v>210</v>
      </c>
      <c r="B17" s="166" t="s">
        <v>73</v>
      </c>
      <c r="C17" s="168">
        <v>2676</v>
      </c>
      <c r="D17" s="168">
        <v>3183</v>
      </c>
      <c r="E17" s="168">
        <v>3568</v>
      </c>
      <c r="F17" s="168">
        <v>2960</v>
      </c>
      <c r="G17" s="168">
        <v>2561</v>
      </c>
      <c r="H17" s="168">
        <v>2398</v>
      </c>
      <c r="I17" s="168">
        <v>2908</v>
      </c>
      <c r="J17" s="168">
        <v>2841</v>
      </c>
      <c r="K17" s="168">
        <v>2660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8C48F-2BE8-41DE-8F2B-E168C1B44BCF}">
  <dimension ref="A1:AI17"/>
  <sheetViews>
    <sheetView topLeftCell="L1" workbookViewId="0">
      <selection activeCell="N15" sqref="N15"/>
    </sheetView>
  </sheetViews>
  <sheetFormatPr defaultRowHeight="14.25"/>
  <sheetData>
    <row r="1" spans="1:35" ht="27.75" thickBot="1">
      <c r="A1" s="164" t="s">
        <v>463</v>
      </c>
      <c r="B1" s="165" t="s">
        <v>464</v>
      </c>
      <c r="C1" s="165" t="s">
        <v>177</v>
      </c>
      <c r="D1" s="165" t="s">
        <v>183</v>
      </c>
      <c r="E1" s="165" t="s">
        <v>189</v>
      </c>
      <c r="F1" s="165" t="s">
        <v>194</v>
      </c>
      <c r="G1" s="165" t="s">
        <v>197</v>
      </c>
      <c r="H1" s="165" t="s">
        <v>200</v>
      </c>
      <c r="I1" s="165" t="s">
        <v>202</v>
      </c>
      <c r="J1" s="165" t="s">
        <v>204</v>
      </c>
      <c r="K1" s="165" t="s">
        <v>206</v>
      </c>
      <c r="M1" s="164" t="s">
        <v>463</v>
      </c>
      <c r="N1" s="165" t="s">
        <v>464</v>
      </c>
      <c r="O1" s="165" t="s">
        <v>177</v>
      </c>
      <c r="P1" s="165" t="s">
        <v>183</v>
      </c>
      <c r="Q1" s="165" t="s">
        <v>189</v>
      </c>
      <c r="R1" s="165" t="s">
        <v>194</v>
      </c>
      <c r="S1" s="165" t="s">
        <v>197</v>
      </c>
      <c r="T1" s="165" t="s">
        <v>200</v>
      </c>
      <c r="U1" s="165" t="s">
        <v>202</v>
      </c>
      <c r="V1" s="165" t="s">
        <v>204</v>
      </c>
      <c r="W1" s="165" t="s">
        <v>206</v>
      </c>
      <c r="Y1" s="164" t="s">
        <v>463</v>
      </c>
      <c r="Z1" s="165" t="s">
        <v>464</v>
      </c>
      <c r="AA1" s="165" t="s">
        <v>177</v>
      </c>
      <c r="AB1" s="165" t="s">
        <v>183</v>
      </c>
      <c r="AC1" s="165" t="s">
        <v>189</v>
      </c>
      <c r="AD1" s="165" t="s">
        <v>194</v>
      </c>
      <c r="AE1" s="165" t="s">
        <v>197</v>
      </c>
      <c r="AF1" s="165" t="s">
        <v>200</v>
      </c>
      <c r="AG1" s="165" t="s">
        <v>202</v>
      </c>
      <c r="AH1" s="165" t="s">
        <v>204</v>
      </c>
      <c r="AI1" s="165" t="s">
        <v>206</v>
      </c>
    </row>
    <row r="2" spans="1:35" ht="15" thickBot="1">
      <c r="A2" s="169" t="s">
        <v>178</v>
      </c>
      <c r="B2" s="166" t="s">
        <v>109</v>
      </c>
      <c r="C2" s="167">
        <v>0.41</v>
      </c>
      <c r="D2" s="167">
        <v>0.26</v>
      </c>
      <c r="E2" s="167">
        <v>0.2</v>
      </c>
      <c r="F2" s="167">
        <v>0.3</v>
      </c>
      <c r="G2" s="167">
        <v>0.42</v>
      </c>
      <c r="H2" s="167">
        <v>0.45</v>
      </c>
      <c r="I2" s="167">
        <v>0.4</v>
      </c>
      <c r="J2" s="167">
        <v>0.33</v>
      </c>
      <c r="K2" s="167">
        <v>0.39</v>
      </c>
      <c r="M2" s="169" t="s">
        <v>178</v>
      </c>
      <c r="N2" s="166" t="s">
        <v>73</v>
      </c>
      <c r="O2" s="168">
        <v>3527</v>
      </c>
      <c r="P2" s="168">
        <v>2938</v>
      </c>
      <c r="Q2" s="168">
        <v>2466</v>
      </c>
      <c r="R2" s="168">
        <v>3063</v>
      </c>
      <c r="S2" s="168">
        <v>3602</v>
      </c>
      <c r="T2" s="168">
        <v>4030</v>
      </c>
      <c r="U2" s="168">
        <v>3749</v>
      </c>
      <c r="V2" s="168">
        <v>3500</v>
      </c>
      <c r="W2" s="168">
        <v>3489</v>
      </c>
      <c r="Y2" s="169" t="s">
        <v>178</v>
      </c>
      <c r="Z2" s="166" t="s">
        <v>109</v>
      </c>
      <c r="AA2" s="167">
        <v>0.41</v>
      </c>
      <c r="AB2" s="167">
        <v>0.26</v>
      </c>
      <c r="AC2" s="167">
        <v>0.2</v>
      </c>
      <c r="AD2" s="167">
        <v>0.3</v>
      </c>
      <c r="AE2" s="167">
        <v>0.42</v>
      </c>
      <c r="AF2" s="167">
        <v>0.45</v>
      </c>
      <c r="AG2" s="167">
        <v>0.4</v>
      </c>
      <c r="AH2" s="167">
        <v>0.33</v>
      </c>
      <c r="AI2" s="167">
        <v>0.39</v>
      </c>
    </row>
    <row r="3" spans="1:35" ht="15" thickBot="1">
      <c r="A3" s="169" t="s">
        <v>178</v>
      </c>
      <c r="B3" s="166" t="s">
        <v>73</v>
      </c>
      <c r="C3" s="168">
        <v>3527</v>
      </c>
      <c r="D3" s="168">
        <v>2938</v>
      </c>
      <c r="E3" s="168">
        <v>2466</v>
      </c>
      <c r="F3" s="168">
        <v>3063</v>
      </c>
      <c r="G3" s="168">
        <v>3602</v>
      </c>
      <c r="H3" s="168">
        <v>4030</v>
      </c>
      <c r="I3" s="168">
        <v>3749</v>
      </c>
      <c r="J3" s="168">
        <v>3500</v>
      </c>
      <c r="K3" s="168">
        <v>3489</v>
      </c>
      <c r="M3" s="169" t="s">
        <v>184</v>
      </c>
      <c r="N3" s="166" t="s">
        <v>73</v>
      </c>
      <c r="O3" s="168">
        <v>2448</v>
      </c>
      <c r="P3" s="168">
        <v>1733</v>
      </c>
      <c r="Q3" s="168">
        <v>1529</v>
      </c>
      <c r="R3" s="168">
        <v>2039</v>
      </c>
      <c r="S3" s="168">
        <v>2539</v>
      </c>
      <c r="T3" s="168">
        <v>3346</v>
      </c>
      <c r="U3" s="168">
        <v>2409</v>
      </c>
      <c r="V3" s="168">
        <v>2164</v>
      </c>
      <c r="W3" s="168">
        <v>2423</v>
      </c>
      <c r="Y3" s="169" t="s">
        <v>184</v>
      </c>
      <c r="Z3" s="166" t="s">
        <v>109</v>
      </c>
      <c r="AA3" s="167">
        <v>0.11</v>
      </c>
      <c r="AB3" s="167">
        <v>0.08</v>
      </c>
      <c r="AC3" s="167">
        <v>7.0000000000000007E-2</v>
      </c>
      <c r="AD3" s="167">
        <v>0.09</v>
      </c>
      <c r="AE3" s="167">
        <v>0.18</v>
      </c>
      <c r="AF3" s="167">
        <v>0.18</v>
      </c>
      <c r="AG3" s="167">
        <v>0.17</v>
      </c>
      <c r="AH3" s="167">
        <v>0.12</v>
      </c>
      <c r="AI3" s="167">
        <v>0.17</v>
      </c>
    </row>
    <row r="4" spans="1:35" ht="15" thickBot="1">
      <c r="A4" s="169" t="s">
        <v>184</v>
      </c>
      <c r="B4" s="166" t="s">
        <v>109</v>
      </c>
      <c r="C4" s="167">
        <v>0.11</v>
      </c>
      <c r="D4" s="167">
        <v>0.08</v>
      </c>
      <c r="E4" s="167">
        <v>7.0000000000000007E-2</v>
      </c>
      <c r="F4" s="167">
        <v>0.09</v>
      </c>
      <c r="G4" s="167">
        <v>0.18</v>
      </c>
      <c r="H4" s="167">
        <v>0.18</v>
      </c>
      <c r="I4" s="167">
        <v>0.17</v>
      </c>
      <c r="J4" s="167">
        <v>0.12</v>
      </c>
      <c r="K4" s="167">
        <v>0.17</v>
      </c>
      <c r="M4" s="169" t="s">
        <v>195</v>
      </c>
      <c r="N4" s="166" t="s">
        <v>73</v>
      </c>
      <c r="O4" s="168">
        <v>3950</v>
      </c>
      <c r="P4" s="168">
        <v>3546</v>
      </c>
      <c r="Q4" s="168">
        <v>3293</v>
      </c>
      <c r="R4" s="168">
        <v>3698</v>
      </c>
      <c r="S4" s="168">
        <v>3687</v>
      </c>
      <c r="T4" s="168">
        <v>4168</v>
      </c>
      <c r="U4" s="168">
        <v>4093</v>
      </c>
      <c r="V4" s="168">
        <v>3713</v>
      </c>
      <c r="W4" s="168">
        <v>3670</v>
      </c>
      <c r="Y4" s="169" t="s">
        <v>195</v>
      </c>
      <c r="Z4" s="166" t="s">
        <v>109</v>
      </c>
      <c r="AA4" s="167">
        <v>0.45</v>
      </c>
      <c r="AB4" s="167">
        <v>0.37</v>
      </c>
      <c r="AC4" s="167">
        <v>0.28999999999999998</v>
      </c>
      <c r="AD4" s="167">
        <v>0.41</v>
      </c>
      <c r="AE4" s="167">
        <v>0.49</v>
      </c>
      <c r="AF4" s="167">
        <v>0.54</v>
      </c>
      <c r="AG4" s="167">
        <v>0.47</v>
      </c>
      <c r="AH4" s="167">
        <v>0.44</v>
      </c>
      <c r="AI4" s="167">
        <v>0.46</v>
      </c>
    </row>
    <row r="5" spans="1:35" ht="15" thickBot="1">
      <c r="A5" s="169" t="s">
        <v>184</v>
      </c>
      <c r="B5" s="166" t="s">
        <v>73</v>
      </c>
      <c r="C5" s="168">
        <v>2448</v>
      </c>
      <c r="D5" s="168">
        <v>1733</v>
      </c>
      <c r="E5" s="168">
        <v>1529</v>
      </c>
      <c r="F5" s="168">
        <v>2039</v>
      </c>
      <c r="G5" s="168">
        <v>2539</v>
      </c>
      <c r="H5" s="168">
        <v>3346</v>
      </c>
      <c r="I5" s="168">
        <v>2409</v>
      </c>
      <c r="J5" s="168">
        <v>2164</v>
      </c>
      <c r="K5" s="168">
        <v>2423</v>
      </c>
      <c r="M5" s="169" t="s">
        <v>198</v>
      </c>
      <c r="N5" s="166" t="s">
        <v>73</v>
      </c>
      <c r="O5" s="168">
        <v>3675</v>
      </c>
      <c r="P5" s="168">
        <v>3100</v>
      </c>
      <c r="Q5" s="168">
        <v>2585</v>
      </c>
      <c r="R5" s="168">
        <v>3394</v>
      </c>
      <c r="S5" s="168">
        <v>3725</v>
      </c>
      <c r="T5" s="168">
        <v>4304</v>
      </c>
      <c r="U5" s="168">
        <v>3571</v>
      </c>
      <c r="V5" s="168">
        <v>3687</v>
      </c>
      <c r="W5" s="168">
        <v>3722</v>
      </c>
      <c r="Y5" s="169" t="s">
        <v>198</v>
      </c>
      <c r="Z5" s="166" t="s">
        <v>109</v>
      </c>
      <c r="AA5" s="167">
        <v>0.24</v>
      </c>
      <c r="AB5" s="167">
        <v>0.2</v>
      </c>
      <c r="AC5" s="167">
        <v>0.16</v>
      </c>
      <c r="AD5" s="167">
        <v>0.22</v>
      </c>
      <c r="AE5" s="167">
        <v>0.28000000000000003</v>
      </c>
      <c r="AF5" s="167">
        <v>0.3</v>
      </c>
      <c r="AG5" s="167">
        <v>0.28000000000000003</v>
      </c>
      <c r="AH5" s="167">
        <v>0.23</v>
      </c>
      <c r="AI5" s="167">
        <v>0.26</v>
      </c>
    </row>
    <row r="6" spans="1:35" ht="15" thickBot="1">
      <c r="A6" s="169" t="s">
        <v>195</v>
      </c>
      <c r="B6" s="166" t="s">
        <v>109</v>
      </c>
      <c r="C6" s="167">
        <v>0.45</v>
      </c>
      <c r="D6" s="167">
        <v>0.37</v>
      </c>
      <c r="E6" s="167">
        <v>0.28999999999999998</v>
      </c>
      <c r="F6" s="167">
        <v>0.41</v>
      </c>
      <c r="G6" s="167">
        <v>0.49</v>
      </c>
      <c r="H6" s="167">
        <v>0.54</v>
      </c>
      <c r="I6" s="167">
        <v>0.47</v>
      </c>
      <c r="J6" s="167">
        <v>0.44</v>
      </c>
      <c r="K6" s="167">
        <v>0.46</v>
      </c>
      <c r="M6" s="169" t="s">
        <v>201</v>
      </c>
      <c r="N6" s="166" t="s">
        <v>73</v>
      </c>
      <c r="O6" s="168">
        <v>1735</v>
      </c>
      <c r="P6" s="168">
        <v>1305</v>
      </c>
      <c r="Q6" s="168">
        <v>1084</v>
      </c>
      <c r="R6" s="168">
        <v>1445</v>
      </c>
      <c r="S6" s="168">
        <v>1737</v>
      </c>
      <c r="T6" s="168">
        <v>1889</v>
      </c>
      <c r="U6" s="168">
        <v>1602</v>
      </c>
      <c r="V6" s="168">
        <v>1558</v>
      </c>
      <c r="W6" s="168">
        <v>1632</v>
      </c>
      <c r="Y6" s="169" t="s">
        <v>201</v>
      </c>
      <c r="Z6" s="166" t="s">
        <v>109</v>
      </c>
      <c r="AA6" s="167">
        <v>0.53</v>
      </c>
      <c r="AB6" s="167">
        <v>0.4</v>
      </c>
      <c r="AC6" s="167">
        <v>0.32</v>
      </c>
      <c r="AD6" s="167">
        <v>0.43</v>
      </c>
      <c r="AE6" s="167">
        <v>0.54</v>
      </c>
      <c r="AF6" s="167">
        <v>0.59</v>
      </c>
      <c r="AG6" s="167">
        <v>0.54</v>
      </c>
      <c r="AH6" s="167">
        <v>0.48</v>
      </c>
      <c r="AI6" s="167">
        <v>0.5</v>
      </c>
    </row>
    <row r="7" spans="1:35" ht="15" thickBot="1">
      <c r="A7" s="169" t="s">
        <v>195</v>
      </c>
      <c r="B7" s="166" t="s">
        <v>73</v>
      </c>
      <c r="C7" s="168">
        <v>3950</v>
      </c>
      <c r="D7" s="168">
        <v>3546</v>
      </c>
      <c r="E7" s="168">
        <v>3293</v>
      </c>
      <c r="F7" s="168">
        <v>3698</v>
      </c>
      <c r="G7" s="168">
        <v>3687</v>
      </c>
      <c r="H7" s="168">
        <v>4168</v>
      </c>
      <c r="I7" s="168">
        <v>4093</v>
      </c>
      <c r="J7" s="168">
        <v>3713</v>
      </c>
      <c r="K7" s="168">
        <v>3670</v>
      </c>
      <c r="M7" s="169" t="s">
        <v>205</v>
      </c>
      <c r="N7" s="166" t="s">
        <v>73</v>
      </c>
      <c r="O7" s="168">
        <v>5544</v>
      </c>
      <c r="P7" s="168">
        <v>4591</v>
      </c>
      <c r="Q7" s="168">
        <v>3939</v>
      </c>
      <c r="R7" s="168">
        <v>4766</v>
      </c>
      <c r="S7" s="168">
        <v>5569</v>
      </c>
      <c r="T7" s="168">
        <v>5886</v>
      </c>
      <c r="U7" s="168">
        <v>5239</v>
      </c>
      <c r="V7" s="168">
        <v>5353</v>
      </c>
      <c r="W7" s="168">
        <v>5328</v>
      </c>
      <c r="Y7" s="169" t="s">
        <v>205</v>
      </c>
      <c r="Z7" s="166" t="s">
        <v>109</v>
      </c>
      <c r="AA7" s="167">
        <v>0.61</v>
      </c>
      <c r="AB7" s="167">
        <v>0.57999999999999996</v>
      </c>
      <c r="AC7" s="167">
        <v>0.53</v>
      </c>
      <c r="AD7" s="167">
        <v>0.61</v>
      </c>
      <c r="AE7" s="167">
        <v>0.67</v>
      </c>
      <c r="AF7" s="167">
        <v>0.68</v>
      </c>
      <c r="AG7" s="167">
        <v>0.7</v>
      </c>
      <c r="AH7" s="167">
        <v>0.59</v>
      </c>
      <c r="AI7" s="167">
        <v>0.66</v>
      </c>
    </row>
    <row r="8" spans="1:35" ht="15" thickBot="1">
      <c r="A8" s="169" t="s">
        <v>198</v>
      </c>
      <c r="B8" s="166" t="s">
        <v>109</v>
      </c>
      <c r="C8" s="167">
        <v>0.24</v>
      </c>
      <c r="D8" s="167">
        <v>0.2</v>
      </c>
      <c r="E8" s="167">
        <v>0.16</v>
      </c>
      <c r="F8" s="167">
        <v>0.22</v>
      </c>
      <c r="G8" s="167">
        <v>0.28000000000000003</v>
      </c>
      <c r="H8" s="167">
        <v>0.3</v>
      </c>
      <c r="I8" s="167">
        <v>0.28000000000000003</v>
      </c>
      <c r="J8" s="167">
        <v>0.23</v>
      </c>
      <c r="K8" s="167">
        <v>0.26</v>
      </c>
      <c r="M8" s="169" t="s">
        <v>208</v>
      </c>
      <c r="N8" s="166" t="s">
        <v>73</v>
      </c>
      <c r="O8" s="168">
        <v>1781</v>
      </c>
      <c r="P8" s="168">
        <v>1389</v>
      </c>
      <c r="Q8" s="168">
        <v>1177</v>
      </c>
      <c r="R8" s="168">
        <v>1569</v>
      </c>
      <c r="S8" s="168">
        <v>1792</v>
      </c>
      <c r="T8" s="168">
        <v>2027</v>
      </c>
      <c r="U8" s="168">
        <v>1730</v>
      </c>
      <c r="V8" s="168">
        <v>1631</v>
      </c>
      <c r="W8" s="168">
        <v>1702</v>
      </c>
      <c r="Y8" s="169" t="s">
        <v>208</v>
      </c>
      <c r="Z8" s="166" t="s">
        <v>109</v>
      </c>
      <c r="AA8" s="167">
        <v>0.28999999999999998</v>
      </c>
      <c r="AB8" s="167">
        <v>0.25</v>
      </c>
      <c r="AC8" s="167">
        <v>0.2</v>
      </c>
      <c r="AD8" s="167">
        <v>0.27</v>
      </c>
      <c r="AE8" s="167">
        <v>0.35</v>
      </c>
      <c r="AF8" s="167">
        <v>0.36</v>
      </c>
      <c r="AG8" s="167">
        <v>0.33</v>
      </c>
      <c r="AH8" s="167">
        <v>0.28999999999999998</v>
      </c>
      <c r="AI8" s="167">
        <v>0.32</v>
      </c>
    </row>
    <row r="9" spans="1:35" ht="15" thickBot="1">
      <c r="A9" s="169" t="s">
        <v>198</v>
      </c>
      <c r="B9" s="166" t="s">
        <v>73</v>
      </c>
      <c r="C9" s="168">
        <v>3675</v>
      </c>
      <c r="D9" s="168">
        <v>3100</v>
      </c>
      <c r="E9" s="168">
        <v>2585</v>
      </c>
      <c r="F9" s="168">
        <v>3394</v>
      </c>
      <c r="G9" s="168">
        <v>3725</v>
      </c>
      <c r="H9" s="168">
        <v>4304</v>
      </c>
      <c r="I9" s="168">
        <v>3571</v>
      </c>
      <c r="J9" s="168">
        <v>3687</v>
      </c>
      <c r="K9" s="168">
        <v>3722</v>
      </c>
      <c r="M9" s="169" t="s">
        <v>210</v>
      </c>
      <c r="N9" s="166" t="s">
        <v>73</v>
      </c>
      <c r="O9" s="168">
        <v>2889</v>
      </c>
      <c r="P9" s="168">
        <v>2381</v>
      </c>
      <c r="Q9" s="168">
        <v>1986</v>
      </c>
      <c r="R9" s="168">
        <v>2616</v>
      </c>
      <c r="S9" s="168">
        <v>3025</v>
      </c>
      <c r="T9" s="168">
        <v>3185</v>
      </c>
      <c r="U9" s="168">
        <v>2757</v>
      </c>
      <c r="V9" s="168">
        <v>2702</v>
      </c>
      <c r="W9" s="168">
        <v>2847</v>
      </c>
      <c r="Y9" s="169" t="s">
        <v>210</v>
      </c>
      <c r="Z9" s="166" t="s">
        <v>109</v>
      </c>
      <c r="AA9" s="167">
        <v>0.46</v>
      </c>
      <c r="AB9" s="167">
        <v>0.33</v>
      </c>
      <c r="AC9" s="167">
        <v>0.28000000000000003</v>
      </c>
      <c r="AD9" s="167">
        <v>0.38</v>
      </c>
      <c r="AE9" s="167">
        <v>0.53</v>
      </c>
      <c r="AF9" s="167">
        <v>0.54</v>
      </c>
      <c r="AG9" s="167">
        <v>0.47</v>
      </c>
      <c r="AH9" s="167">
        <v>0.42</v>
      </c>
      <c r="AI9" s="167">
        <v>0.47</v>
      </c>
    </row>
    <row r="10" spans="1:35" ht="15" thickBot="1">
      <c r="A10" s="169" t="s">
        <v>201</v>
      </c>
      <c r="B10" s="166" t="s">
        <v>109</v>
      </c>
      <c r="C10" s="167">
        <v>0.53</v>
      </c>
      <c r="D10" s="167">
        <v>0.4</v>
      </c>
      <c r="E10" s="167">
        <v>0.32</v>
      </c>
      <c r="F10" s="167">
        <v>0.43</v>
      </c>
      <c r="G10" s="167">
        <v>0.54</v>
      </c>
      <c r="H10" s="167">
        <v>0.59</v>
      </c>
      <c r="I10" s="167">
        <v>0.54</v>
      </c>
      <c r="J10" s="167">
        <v>0.48</v>
      </c>
      <c r="K10" s="167">
        <v>0.5</v>
      </c>
    </row>
    <row r="11" spans="1:35" ht="15" thickBot="1">
      <c r="A11" s="169" t="s">
        <v>201</v>
      </c>
      <c r="B11" s="166" t="s">
        <v>73</v>
      </c>
      <c r="C11" s="168">
        <v>1735</v>
      </c>
      <c r="D11" s="168">
        <v>1305</v>
      </c>
      <c r="E11" s="168">
        <v>1084</v>
      </c>
      <c r="F11" s="168">
        <v>1445</v>
      </c>
      <c r="G11" s="168">
        <v>1737</v>
      </c>
      <c r="H11" s="168">
        <v>1889</v>
      </c>
      <c r="I11" s="168">
        <v>1602</v>
      </c>
      <c r="J11" s="168">
        <v>1558</v>
      </c>
      <c r="K11" s="168">
        <v>1632</v>
      </c>
    </row>
    <row r="12" spans="1:35" ht="15" thickBot="1">
      <c r="A12" s="169" t="s">
        <v>205</v>
      </c>
      <c r="B12" s="166" t="s">
        <v>109</v>
      </c>
      <c r="C12" s="167">
        <v>0.61</v>
      </c>
      <c r="D12" s="167">
        <v>0.57999999999999996</v>
      </c>
      <c r="E12" s="167">
        <v>0.53</v>
      </c>
      <c r="F12" s="167">
        <v>0.61</v>
      </c>
      <c r="G12" s="167">
        <v>0.67</v>
      </c>
      <c r="H12" s="167">
        <v>0.68</v>
      </c>
      <c r="I12" s="167">
        <v>0.7</v>
      </c>
      <c r="J12" s="167">
        <v>0.59</v>
      </c>
      <c r="K12" s="167">
        <v>0.66</v>
      </c>
    </row>
    <row r="13" spans="1:35" ht="15" thickBot="1">
      <c r="A13" s="169" t="s">
        <v>205</v>
      </c>
      <c r="B13" s="166" t="s">
        <v>73</v>
      </c>
      <c r="C13" s="168">
        <v>5544</v>
      </c>
      <c r="D13" s="168">
        <v>4591</v>
      </c>
      <c r="E13" s="168">
        <v>3939</v>
      </c>
      <c r="F13" s="168">
        <v>4766</v>
      </c>
      <c r="G13" s="168">
        <v>5569</v>
      </c>
      <c r="H13" s="168">
        <v>5886</v>
      </c>
      <c r="I13" s="168">
        <v>5239</v>
      </c>
      <c r="J13" s="168">
        <v>5353</v>
      </c>
      <c r="K13" s="168">
        <v>5328</v>
      </c>
    </row>
    <row r="14" spans="1:35" ht="15" thickBot="1">
      <c r="A14" s="169" t="s">
        <v>208</v>
      </c>
      <c r="B14" s="166" t="s">
        <v>109</v>
      </c>
      <c r="C14" s="167">
        <v>0.28999999999999998</v>
      </c>
      <c r="D14" s="167">
        <v>0.25</v>
      </c>
      <c r="E14" s="167">
        <v>0.2</v>
      </c>
      <c r="F14" s="167">
        <v>0.27</v>
      </c>
      <c r="G14" s="167">
        <v>0.35</v>
      </c>
      <c r="H14" s="167">
        <v>0.36</v>
      </c>
      <c r="I14" s="167">
        <v>0.33</v>
      </c>
      <c r="J14" s="167">
        <v>0.28999999999999998</v>
      </c>
      <c r="K14" s="167">
        <v>0.32</v>
      </c>
    </row>
    <row r="15" spans="1:35" ht="15" thickBot="1">
      <c r="A15" s="169" t="s">
        <v>208</v>
      </c>
      <c r="B15" s="166" t="s">
        <v>73</v>
      </c>
      <c r="C15" s="168">
        <v>1781</v>
      </c>
      <c r="D15" s="168">
        <v>1389</v>
      </c>
      <c r="E15" s="168">
        <v>1177</v>
      </c>
      <c r="F15" s="168">
        <v>1569</v>
      </c>
      <c r="G15" s="168">
        <v>1792</v>
      </c>
      <c r="H15" s="168">
        <v>2027</v>
      </c>
      <c r="I15" s="168">
        <v>1730</v>
      </c>
      <c r="J15" s="168">
        <v>1631</v>
      </c>
      <c r="K15" s="168">
        <v>1702</v>
      </c>
    </row>
    <row r="16" spans="1:35" ht="15" thickBot="1">
      <c r="A16" s="169" t="s">
        <v>210</v>
      </c>
      <c r="B16" s="166" t="s">
        <v>109</v>
      </c>
      <c r="C16" s="167">
        <v>0.46</v>
      </c>
      <c r="D16" s="167">
        <v>0.33</v>
      </c>
      <c r="E16" s="167">
        <v>0.28000000000000003</v>
      </c>
      <c r="F16" s="167">
        <v>0.38</v>
      </c>
      <c r="G16" s="167">
        <v>0.53</v>
      </c>
      <c r="H16" s="167">
        <v>0.54</v>
      </c>
      <c r="I16" s="167">
        <v>0.47</v>
      </c>
      <c r="J16" s="167">
        <v>0.42</v>
      </c>
      <c r="K16" s="167">
        <v>0.47</v>
      </c>
    </row>
    <row r="17" spans="1:11" ht="15" thickBot="1">
      <c r="A17" s="169" t="s">
        <v>210</v>
      </c>
      <c r="B17" s="166" t="s">
        <v>73</v>
      </c>
      <c r="C17" s="168">
        <v>2889</v>
      </c>
      <c r="D17" s="168">
        <v>2381</v>
      </c>
      <c r="E17" s="168">
        <v>1986</v>
      </c>
      <c r="F17" s="168">
        <v>2616</v>
      </c>
      <c r="G17" s="168">
        <v>3025</v>
      </c>
      <c r="H17" s="168">
        <v>3185</v>
      </c>
      <c r="I17" s="168">
        <v>2757</v>
      </c>
      <c r="J17" s="168">
        <v>2702</v>
      </c>
      <c r="K17" s="168">
        <v>2847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B2:D97"/>
  <sheetViews>
    <sheetView topLeftCell="A4" zoomScale="90" zoomScaleNormal="90" workbookViewId="0">
      <selection activeCell="D8" sqref="D8"/>
    </sheetView>
  </sheetViews>
  <sheetFormatPr defaultColWidth="8.75" defaultRowHeight="14.25"/>
  <cols>
    <col min="1" max="1" width="3.25" style="1" customWidth="1"/>
    <col min="2" max="2" width="8.75" style="1" customWidth="1"/>
    <col min="3" max="3" width="100.375" style="1" customWidth="1"/>
    <col min="4" max="16384" width="8.75" style="1"/>
  </cols>
  <sheetData>
    <row r="2" spans="2:4" ht="34.5">
      <c r="B2" s="7" t="s">
        <v>83</v>
      </c>
      <c r="C2" s="7"/>
      <c r="D2" s="7"/>
    </row>
    <row r="5" spans="2:4" ht="33" customHeight="1">
      <c r="B5" s="458" t="s">
        <v>10</v>
      </c>
      <c r="C5" s="458"/>
    </row>
    <row r="6" spans="2:4">
      <c r="B6" s="157" t="s">
        <v>84</v>
      </c>
    </row>
    <row r="39" spans="2:3" ht="18">
      <c r="B39" s="459" t="s">
        <v>85</v>
      </c>
      <c r="C39" s="459"/>
    </row>
    <row r="40" spans="2:3">
      <c r="B40" s="157" t="s">
        <v>84</v>
      </c>
    </row>
    <row r="68" spans="2:3" ht="18">
      <c r="B68" s="459" t="s">
        <v>86</v>
      </c>
      <c r="C68" s="459"/>
    </row>
    <row r="69" spans="2:3" ht="18">
      <c r="B69" s="157" t="s">
        <v>84</v>
      </c>
      <c r="C69" s="442"/>
    </row>
    <row r="96" spans="2:2" ht="18">
      <c r="B96" s="158" t="s">
        <v>87</v>
      </c>
    </row>
    <row r="97" spans="2:2">
      <c r="B97" s="157" t="s">
        <v>84</v>
      </c>
    </row>
  </sheetData>
  <mergeCells count="3">
    <mergeCell ref="B5:C5"/>
    <mergeCell ref="B39:C39"/>
    <mergeCell ref="B68:C6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1E47B-3AB1-4A0B-89D6-BCB8ED3D7603}">
  <sheetPr>
    <tabColor rgb="FF0070C0"/>
  </sheetPr>
  <dimension ref="A1:G25"/>
  <sheetViews>
    <sheetView zoomScaleNormal="100" workbookViewId="0">
      <selection activeCell="C6" sqref="C6:D6"/>
    </sheetView>
  </sheetViews>
  <sheetFormatPr defaultColWidth="8.75" defaultRowHeight="14.25"/>
  <cols>
    <col min="1" max="1" width="3.625" style="201" customWidth="1"/>
    <col min="2" max="2" width="26.75" style="200" customWidth="1"/>
    <col min="3" max="3" width="18.125" style="200" customWidth="1"/>
    <col min="4" max="4" width="15.625" style="200" customWidth="1"/>
    <col min="5" max="5" width="10.25" style="201" hidden="1" customWidth="1"/>
    <col min="6" max="6" width="11.625" style="200" bestFit="1" customWidth="1"/>
    <col min="7" max="7" width="9.875" style="200" bestFit="1" customWidth="1"/>
    <col min="8" max="16384" width="8.75" style="200"/>
  </cols>
  <sheetData>
    <row r="1" spans="1:7">
      <c r="A1" s="199"/>
      <c r="F1" s="395" t="s">
        <v>88</v>
      </c>
      <c r="G1" s="396">
        <v>4</v>
      </c>
    </row>
    <row r="2" spans="1:7" s="201" customFormat="1">
      <c r="F2" s="395" t="s">
        <v>89</v>
      </c>
      <c r="G2" s="397">
        <v>44348</v>
      </c>
    </row>
    <row r="3" spans="1:7" ht="34.5" customHeight="1">
      <c r="A3" s="200"/>
      <c r="B3" s="464" t="s">
        <v>8</v>
      </c>
      <c r="C3" s="464"/>
      <c r="D3" s="464"/>
    </row>
    <row r="4" spans="1:7" ht="28.9" customHeight="1">
      <c r="A4" s="200"/>
      <c r="B4" s="465" t="s">
        <v>90</v>
      </c>
      <c r="C4" s="465"/>
      <c r="D4" s="465"/>
    </row>
    <row r="5" spans="1:7" ht="9" customHeight="1" thickBot="1">
      <c r="A5" s="200"/>
      <c r="B5" s="202"/>
      <c r="C5" s="202"/>
      <c r="D5" s="201"/>
    </row>
    <row r="6" spans="1:7" s="203" customFormat="1" ht="22.15" customHeight="1">
      <c r="B6" s="398" t="s">
        <v>21</v>
      </c>
      <c r="C6" s="466"/>
      <c r="D6" s="467"/>
      <c r="E6" s="241"/>
    </row>
    <row r="7" spans="1:7" s="203" customFormat="1" ht="22.15" customHeight="1">
      <c r="B7" s="399" t="s">
        <v>23</v>
      </c>
      <c r="C7" s="468"/>
      <c r="D7" s="469"/>
      <c r="E7" s="241"/>
    </row>
    <row r="8" spans="1:7" s="203" customFormat="1" ht="22.15" customHeight="1">
      <c r="B8" s="399" t="s">
        <v>25</v>
      </c>
      <c r="C8" s="462"/>
      <c r="D8" s="463"/>
      <c r="E8" s="241"/>
    </row>
    <row r="9" spans="1:7" s="203" customFormat="1" ht="22.15" customHeight="1">
      <c r="B9" s="399" t="s">
        <v>27</v>
      </c>
      <c r="C9" s="462"/>
      <c r="D9" s="463"/>
      <c r="E9" s="241"/>
    </row>
    <row r="10" spans="1:7" s="203" customFormat="1" ht="22.15" customHeight="1">
      <c r="B10" s="399" t="s">
        <v>29</v>
      </c>
      <c r="C10" s="470"/>
      <c r="D10" s="471"/>
      <c r="E10" s="241"/>
    </row>
    <row r="11" spans="1:7" s="203" customFormat="1" ht="22.15" customHeight="1">
      <c r="B11" s="399" t="s">
        <v>31</v>
      </c>
      <c r="C11" s="468"/>
      <c r="D11" s="469"/>
      <c r="E11" s="241"/>
    </row>
    <row r="12" spans="1:7" s="203" customFormat="1" ht="22.15" customHeight="1" thickBot="1">
      <c r="B12" s="400" t="s">
        <v>33</v>
      </c>
      <c r="C12" s="460"/>
      <c r="D12" s="461"/>
      <c r="E12" s="241"/>
    </row>
    <row r="13" spans="1:7" s="203" customFormat="1" ht="22.15" customHeight="1" thickBot="1">
      <c r="B13" s="239"/>
      <c r="C13" s="240"/>
      <c r="D13" s="239"/>
      <c r="E13" s="241"/>
    </row>
    <row r="14" spans="1:7" s="203" customFormat="1" ht="21.75" customHeight="1" thickBot="1">
      <c r="B14" s="401" t="s">
        <v>91</v>
      </c>
      <c r="C14" s="402" t="s">
        <v>66</v>
      </c>
      <c r="D14" s="403" t="s">
        <v>92</v>
      </c>
      <c r="E14" s="404" t="s">
        <v>93</v>
      </c>
      <c r="F14" s="405" t="s">
        <v>71</v>
      </c>
    </row>
    <row r="15" spans="1:7" s="203" customFormat="1" ht="21.75" customHeight="1">
      <c r="B15" s="406" t="s">
        <v>94</v>
      </c>
      <c r="C15" s="407">
        <f>SUM('Premium Eff Motor'!W8:W17)</f>
        <v>0</v>
      </c>
      <c r="D15" s="408">
        <f>SUM('Premium Eff Motor'!X8:X17)</f>
        <v>0</v>
      </c>
      <c r="E15" s="409">
        <f>SUM('Premium Eff Motor'!Y8:Y17)</f>
        <v>0</v>
      </c>
      <c r="F15" s="410">
        <f>SUM('Premium Eff Motor'!Z8:Z17)</f>
        <v>0</v>
      </c>
    </row>
    <row r="16" spans="1:7" s="203" customFormat="1" ht="21.75" customHeight="1">
      <c r="B16" s="411" t="s">
        <v>95</v>
      </c>
      <c r="C16" s="412">
        <f>SUM(VFDs!U8:U17)</f>
        <v>0</v>
      </c>
      <c r="D16" s="413">
        <f>SUM(VFDs!V8:V17)</f>
        <v>0</v>
      </c>
      <c r="E16" s="414">
        <f>SUM(VFDs!W8:W17)</f>
        <v>0</v>
      </c>
      <c r="F16" s="415">
        <f>SUM(VFDs!X8:X17)</f>
        <v>0</v>
      </c>
    </row>
    <row r="17" spans="2:6" s="203" customFormat="1" ht="21.75" customHeight="1">
      <c r="B17" s="411" t="s">
        <v>14</v>
      </c>
      <c r="C17" s="412">
        <f>SUM('ECM Fan'!AA8:AA17)</f>
        <v>0</v>
      </c>
      <c r="D17" s="413">
        <f>SUM('ECM Fan'!AB8:AB17)</f>
        <v>0</v>
      </c>
      <c r="E17" s="414">
        <f>SUM('ECM Fan'!AC8:AC17)</f>
        <v>0</v>
      </c>
      <c r="F17" s="415">
        <f>SUM('ECM Fan'!AD8:AD17)</f>
        <v>0</v>
      </c>
    </row>
    <row r="18" spans="2:6" s="203" customFormat="1" ht="21.75" customHeight="1">
      <c r="B18" s="411" t="s">
        <v>96</v>
      </c>
      <c r="C18" s="412">
        <f>SUM('VSD Kitchen Fan'!J8:J17)</f>
        <v>0</v>
      </c>
      <c r="D18" s="413">
        <f>SUM('VSD Kitchen Fan'!K8:K17)</f>
        <v>0</v>
      </c>
      <c r="E18" s="414">
        <f>SUM('VSD Kitchen Fan'!L8:L17)</f>
        <v>0</v>
      </c>
      <c r="F18" s="415">
        <f>SUM('VSD Kitchen Fan'!M8:M17)</f>
        <v>0</v>
      </c>
    </row>
    <row r="19" spans="2:6" s="203" customFormat="1" ht="21.75" customHeight="1">
      <c r="B19" s="411" t="s">
        <v>97</v>
      </c>
      <c r="C19" s="412">
        <f>SUM('ECM Circulator Pump'!V8:V17)</f>
        <v>0</v>
      </c>
      <c r="D19" s="413">
        <f>SUM('ECM Circulator Pump'!W8:W17)</f>
        <v>0</v>
      </c>
      <c r="E19" s="414">
        <f>SUM('ECM Circulator Pump'!X8:X17)</f>
        <v>0</v>
      </c>
      <c r="F19" s="415">
        <f>SUM('ECM Circulator Pump'!Y8:Y17)</f>
        <v>0</v>
      </c>
    </row>
    <row r="20" spans="2:6" s="203" customFormat="1" ht="21.75" customHeight="1" thickBot="1">
      <c r="B20" s="416" t="s">
        <v>98</v>
      </c>
      <c r="C20" s="417">
        <f>SUM('High Efficiency Pumps'!U8:U17)</f>
        <v>0</v>
      </c>
      <c r="D20" s="418">
        <f>SUM('High Efficiency Pumps'!V8:V17)</f>
        <v>0</v>
      </c>
      <c r="E20" s="414">
        <f>SUM('High Efficiency Pumps'!W8:W17)</f>
        <v>0</v>
      </c>
      <c r="F20" s="415">
        <f>SUM('High Efficiency Pumps'!X8:X17)</f>
        <v>0</v>
      </c>
    </row>
    <row r="21" spans="2:6" s="203" customFormat="1" ht="22.15" customHeight="1" thickBot="1">
      <c r="B21" s="419" t="s">
        <v>99</v>
      </c>
      <c r="C21" s="420">
        <f>SUM(C15:C20)</f>
        <v>0</v>
      </c>
      <c r="D21" s="421">
        <f>SUM(D15:D20)</f>
        <v>0</v>
      </c>
      <c r="E21" s="422">
        <f>SUM(E15:E20)</f>
        <v>0</v>
      </c>
      <c r="F21" s="423">
        <f>MIN(C10*0.5,E21,500000)</f>
        <v>0</v>
      </c>
    </row>
    <row r="22" spans="2:6" s="203" customFormat="1" ht="22.15" customHeight="1">
      <c r="B22" s="239"/>
      <c r="C22" s="240"/>
      <c r="D22" s="239"/>
      <c r="E22" s="241"/>
    </row>
    <row r="23" spans="2:6" s="203" customFormat="1" ht="22.15" customHeight="1">
      <c r="B23" s="239"/>
      <c r="C23" s="240"/>
      <c r="D23" s="239"/>
      <c r="E23" s="241"/>
    </row>
    <row r="24" spans="2:6" s="201" customFormat="1" ht="9" customHeight="1"/>
    <row r="25" spans="2:6">
      <c r="B25" s="242"/>
    </row>
  </sheetData>
  <sheetProtection algorithmName="SHA-512" hashValue="HTchh8vdtl3xJ+FthvR7T+cRE3xZ8mzFH8hZZkMVekpvDfL8hlgVogxewndrTOlH53gekZtkrD1PwU3ggyz2Rw==" saltValue="Tj8rylQofqGFwinbWbP6cw==" spinCount="100000" sheet="1" formatColumns="0"/>
  <mergeCells count="9">
    <mergeCell ref="C12:D12"/>
    <mergeCell ref="C8:D8"/>
    <mergeCell ref="C9:D9"/>
    <mergeCell ref="B3:D3"/>
    <mergeCell ref="B4:D4"/>
    <mergeCell ref="C6:D6"/>
    <mergeCell ref="C7:D7"/>
    <mergeCell ref="C10:D10"/>
    <mergeCell ref="C11:D11"/>
  </mergeCells>
  <pageMargins left="0.5" right="0.5" top="0.5" bottom="0.5" header="0.3" footer="0.3"/>
  <pageSetup orientation="portrait" r:id="rId1"/>
  <ignoredErrors>
    <ignoredError sqref="C15:C20"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A1406B27-070A-49CF-A34D-CE9BC8D8FE91}">
          <x14:formula1>
            <xm:f>'Lookup Table'!$B$3:$B$11</xm:f>
          </x14:formula1>
          <xm:sqref>C11:D11</xm:sqref>
        </x14:dataValidation>
        <x14:dataValidation type="list" allowBlank="1" showInputMessage="1" showErrorMessage="1" xr:uid="{BAE05AC9-5982-400C-B4F3-A59B7822AD07}">
          <x14:formula1>
            <xm:f>'Lookup Table'!$D$3:$D$16</xm:f>
          </x14:formula1>
          <xm:sqref>C12:D12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3834-F8EF-4AC0-A841-F8E0261BBCB6}">
  <sheetPr>
    <tabColor theme="8" tint="0.59999389629810485"/>
  </sheetPr>
  <dimension ref="A1:Z21"/>
  <sheetViews>
    <sheetView zoomScale="80" zoomScaleNormal="80" workbookViewId="0">
      <selection activeCell="C8" sqref="C8"/>
    </sheetView>
  </sheetViews>
  <sheetFormatPr defaultColWidth="8.75" defaultRowHeight="14.25"/>
  <cols>
    <col min="1" max="1" width="3.625" style="201" customWidth="1"/>
    <col min="2" max="2" width="6.125" style="200" customWidth="1"/>
    <col min="3" max="3" width="8" style="200" customWidth="1"/>
    <col min="4" max="4" width="22.375" style="200" customWidth="1"/>
    <col min="5" max="5" width="8.75" style="201"/>
    <col min="6" max="6" width="7.5" style="200" hidden="1" customWidth="1"/>
    <col min="7" max="8" width="13.375" style="200" customWidth="1"/>
    <col min="9" max="9" width="13.25" style="200" customWidth="1"/>
    <col min="10" max="10" width="18.25" style="200" bestFit="1" customWidth="1"/>
    <col min="11" max="11" width="20.125" style="200" customWidth="1"/>
    <col min="12" max="12" width="14.75" style="200" hidden="1" customWidth="1"/>
    <col min="13" max="13" width="7" style="200" hidden="1" customWidth="1"/>
    <col min="14" max="14" width="6.75" style="200" hidden="1" customWidth="1"/>
    <col min="15" max="15" width="19" style="200" customWidth="1"/>
    <col min="16" max="16" width="15.5" style="200" customWidth="1"/>
    <col min="17" max="17" width="12.875" style="200" hidden="1" customWidth="1"/>
    <col min="18" max="18" width="10.875" style="200" customWidth="1"/>
    <col min="19" max="22" width="8.75" style="200" hidden="1" customWidth="1"/>
    <col min="23" max="24" width="8.75" style="200"/>
    <col min="25" max="25" width="8.75" style="200" hidden="1" customWidth="1"/>
    <col min="26" max="26" width="8.75" style="200" customWidth="1"/>
    <col min="27" max="16384" width="8.75" style="200"/>
  </cols>
  <sheetData>
    <row r="1" spans="1:26">
      <c r="A1" s="199"/>
      <c r="F1" s="200" t="s">
        <v>100</v>
      </c>
      <c r="L1" s="200" t="s">
        <v>100</v>
      </c>
      <c r="M1" s="200" t="s">
        <v>100</v>
      </c>
      <c r="N1" s="200" t="s">
        <v>100</v>
      </c>
      <c r="Q1" s="200" t="s">
        <v>100</v>
      </c>
      <c r="S1" s="200" t="s">
        <v>100</v>
      </c>
      <c r="T1" s="200" t="s">
        <v>100</v>
      </c>
      <c r="U1" s="200" t="s">
        <v>100</v>
      </c>
      <c r="V1" s="200" t="s">
        <v>100</v>
      </c>
      <c r="Y1" s="200" t="s">
        <v>100</v>
      </c>
    </row>
    <row r="2" spans="1:26" s="201" customFormat="1" ht="9.75" customHeight="1"/>
    <row r="3" spans="1:26" ht="34.5" customHeight="1">
      <c r="A3" s="200"/>
      <c r="B3" s="464" t="s">
        <v>10</v>
      </c>
      <c r="C3" s="464"/>
      <c r="D3" s="464"/>
      <c r="E3" s="464"/>
      <c r="F3" s="464"/>
      <c r="G3" s="464"/>
    </row>
    <row r="4" spans="1:26" ht="28.9" customHeight="1">
      <c r="A4" s="200"/>
      <c r="B4" s="465" t="s">
        <v>90</v>
      </c>
      <c r="C4" s="465"/>
      <c r="D4" s="465"/>
      <c r="E4" s="465"/>
      <c r="F4" s="465"/>
      <c r="G4" s="465"/>
      <c r="H4" s="445"/>
      <c r="I4" s="445"/>
    </row>
    <row r="5" spans="1:26" ht="9" customHeight="1" thickBot="1">
      <c r="A5" s="200"/>
      <c r="B5" s="202"/>
      <c r="C5" s="202"/>
      <c r="D5" s="201"/>
    </row>
    <row r="6" spans="1:26" s="203" customFormat="1" ht="24.75" customHeight="1" thickBot="1">
      <c r="B6" s="204"/>
      <c r="C6" s="477" t="s">
        <v>101</v>
      </c>
      <c r="D6" s="478"/>
      <c r="E6" s="478"/>
      <c r="F6" s="478"/>
      <c r="G6" s="478"/>
      <c r="H6" s="478"/>
      <c r="I6" s="478"/>
      <c r="J6" s="479"/>
      <c r="K6" s="480" t="s">
        <v>102</v>
      </c>
      <c r="L6" s="481"/>
      <c r="M6" s="481"/>
      <c r="N6" s="482"/>
      <c r="O6" s="480" t="s">
        <v>103</v>
      </c>
      <c r="P6" s="481"/>
      <c r="Q6" s="481"/>
      <c r="R6" s="482"/>
      <c r="S6" s="474" t="s">
        <v>104</v>
      </c>
      <c r="T6" s="475"/>
      <c r="U6" s="475"/>
      <c r="V6" s="475"/>
      <c r="W6" s="475"/>
      <c r="X6" s="476"/>
      <c r="Y6" s="205"/>
      <c r="Z6" s="472" t="s">
        <v>105</v>
      </c>
    </row>
    <row r="7" spans="1:26" s="203" customFormat="1" ht="39.75" customHeight="1" thickBot="1">
      <c r="B7" s="206" t="s">
        <v>106</v>
      </c>
      <c r="C7" s="207" t="s">
        <v>35</v>
      </c>
      <c r="D7" s="208" t="s">
        <v>37</v>
      </c>
      <c r="E7" s="208" t="s">
        <v>39</v>
      </c>
      <c r="F7" s="208" t="s">
        <v>107</v>
      </c>
      <c r="G7" s="208" t="s">
        <v>41</v>
      </c>
      <c r="H7" s="208" t="s">
        <v>43</v>
      </c>
      <c r="I7" s="208" t="s">
        <v>45</v>
      </c>
      <c r="J7" s="209" t="s">
        <v>47</v>
      </c>
      <c r="K7" s="207" t="s">
        <v>49</v>
      </c>
      <c r="L7" s="208" t="s">
        <v>108</v>
      </c>
      <c r="M7" s="208" t="s">
        <v>73</v>
      </c>
      <c r="N7" s="209" t="s">
        <v>109</v>
      </c>
      <c r="O7" s="207" t="s">
        <v>110</v>
      </c>
      <c r="P7" s="208" t="s">
        <v>111</v>
      </c>
      <c r="Q7" s="208" t="s">
        <v>112</v>
      </c>
      <c r="R7" s="209" t="s">
        <v>55</v>
      </c>
      <c r="S7" s="207" t="s">
        <v>113</v>
      </c>
      <c r="T7" s="208" t="s">
        <v>114</v>
      </c>
      <c r="U7" s="208" t="s">
        <v>115</v>
      </c>
      <c r="V7" s="208" t="s">
        <v>116</v>
      </c>
      <c r="W7" s="208" t="s">
        <v>66</v>
      </c>
      <c r="X7" s="209" t="s">
        <v>92</v>
      </c>
      <c r="Y7" s="210" t="s">
        <v>93</v>
      </c>
      <c r="Z7" s="473"/>
    </row>
    <row r="8" spans="1:26" s="203" customFormat="1" ht="22.15" customHeight="1">
      <c r="B8" s="211">
        <v>1</v>
      </c>
      <c r="C8" s="170"/>
      <c r="D8" s="121"/>
      <c r="E8" s="243"/>
      <c r="F8" s="212" t="str">
        <f>IFERROR(VLOOKUP(D8,'Lookup Table'!$J$2:$K$7,2,FALSE),"")</f>
        <v/>
      </c>
      <c r="G8" s="243"/>
      <c r="H8" s="243"/>
      <c r="I8" s="243"/>
      <c r="J8" s="247"/>
      <c r="K8" s="248"/>
      <c r="L8" s="212">
        <f>IF(J8="Early Replacement", "Enter Value Here",'Lookup Table'!U32)</f>
        <v>0</v>
      </c>
      <c r="M8" s="213">
        <f>IFERROR('Lookup Table'!H224,0)</f>
        <v>0</v>
      </c>
      <c r="N8" s="214">
        <f>IFERROR('Lookup Table'!I224,0)</f>
        <v>0</v>
      </c>
      <c r="O8" s="248"/>
      <c r="P8" s="253"/>
      <c r="Q8" s="212">
        <f>IF(J8="Early Replacement", "Enter Value Here",K8)</f>
        <v>0</v>
      </c>
      <c r="R8" s="256"/>
      <c r="S8" s="215">
        <f>IFERROR(E8*(0.746*K8*(F8/L8)*M8),0)</f>
        <v>0</v>
      </c>
      <c r="T8" s="216">
        <f>IFERROR(E8*(0.746*K8*(F8/L8)*N8),0)</f>
        <v>0</v>
      </c>
      <c r="U8" s="213">
        <f>IFERROR(E8*(0.746*Q8*(F8/R8)*M8),0)</f>
        <v>0</v>
      </c>
      <c r="V8" s="217">
        <f>IFERROR(E8*(0.746*Q8*(F8/R8)*N8),0)</f>
        <v>0</v>
      </c>
      <c r="W8" s="213">
        <f>ROUND(S8-U8,2)</f>
        <v>0</v>
      </c>
      <c r="X8" s="218">
        <f>ROUND(T8-V8,4)</f>
        <v>0</v>
      </c>
      <c r="Y8" s="219">
        <f>IFERROR(ROUND(W8*0.02+X8*200,2),"")</f>
        <v>0</v>
      </c>
      <c r="Z8" s="220" t="str">
        <f>IFERROR('Project Summary'!$F$21*('Premium Eff Motor'!Y8/'Project Summary'!$E$21),"")</f>
        <v/>
      </c>
    </row>
    <row r="9" spans="1:26" s="203" customFormat="1" ht="22.15" customHeight="1">
      <c r="B9" s="221">
        <v>2</v>
      </c>
      <c r="C9" s="171"/>
      <c r="D9" s="108"/>
      <c r="E9" s="244"/>
      <c r="F9" s="222" t="str">
        <f>IFERROR(VLOOKUP(D9,'Lookup Table'!$J$2:$K$7,2,FALSE),"")</f>
        <v/>
      </c>
      <c r="G9" s="244"/>
      <c r="H9" s="244"/>
      <c r="I9" s="244"/>
      <c r="J9" s="249"/>
      <c r="K9" s="250"/>
      <c r="L9" s="222">
        <f>IF(J9="Early Replacement", "Enter Value Here",'Lookup Table'!U33)</f>
        <v>0</v>
      </c>
      <c r="M9" s="223">
        <f>IFERROR('Lookup Table'!H225,0)</f>
        <v>0</v>
      </c>
      <c r="N9" s="224">
        <f>IFERROR('Lookup Table'!I225,0)</f>
        <v>0</v>
      </c>
      <c r="O9" s="250"/>
      <c r="P9" s="254"/>
      <c r="Q9" s="222">
        <f t="shared" ref="Q9:Q17" si="0">IF(J9="Early Replacement", "Enter Value Here",K9)</f>
        <v>0</v>
      </c>
      <c r="R9" s="257"/>
      <c r="S9" s="225">
        <f t="shared" ref="S9:S17" si="1">IFERROR(E9*(0.746*K9*(F9/L9)*M9),0)</f>
        <v>0</v>
      </c>
      <c r="T9" s="226">
        <f t="shared" ref="T9:T17" si="2">IFERROR(E9*(0.746*K9*(F9/L9)*N9),0)</f>
        <v>0</v>
      </c>
      <c r="U9" s="223">
        <f t="shared" ref="U9:U17" si="3">IFERROR(E9*(0.746*Q9*(F9/R9)*M9),0)</f>
        <v>0</v>
      </c>
      <c r="V9" s="227">
        <f t="shared" ref="V9:V17" si="4">IFERROR(E9*(0.746*Q9*(F9/R9)*N9),0)</f>
        <v>0</v>
      </c>
      <c r="W9" s="223">
        <f t="shared" ref="W9:W17" si="5">ROUND(S9-U9,2)</f>
        <v>0</v>
      </c>
      <c r="X9" s="228">
        <f t="shared" ref="X9:X17" si="6">ROUND(T9-V9,4)</f>
        <v>0</v>
      </c>
      <c r="Y9" s="219">
        <f t="shared" ref="Y9:Y17" si="7">IFERROR(ROUND(W9*0.02+X9*200,2),"")</f>
        <v>0</v>
      </c>
      <c r="Z9" s="229" t="str">
        <f>IFERROR('Project Summary'!$F$21*('Premium Eff Motor'!Y9/'Project Summary'!$E$21),"")</f>
        <v/>
      </c>
    </row>
    <row r="10" spans="1:26" s="203" customFormat="1" ht="22.15" customHeight="1">
      <c r="B10" s="221">
        <v>3</v>
      </c>
      <c r="C10" s="171"/>
      <c r="D10" s="108"/>
      <c r="E10" s="244"/>
      <c r="F10" s="222" t="str">
        <f>IFERROR(VLOOKUP(D10,'Lookup Table'!$J$2:$K$7,2,FALSE),"")</f>
        <v/>
      </c>
      <c r="G10" s="244"/>
      <c r="H10" s="244"/>
      <c r="I10" s="244"/>
      <c r="J10" s="249"/>
      <c r="K10" s="250"/>
      <c r="L10" s="222">
        <f>IF(J10="Early Replacement", "Enter Value Here",'Lookup Table'!U34)</f>
        <v>0</v>
      </c>
      <c r="M10" s="223">
        <f>IFERROR('Lookup Table'!H226,0)</f>
        <v>0</v>
      </c>
      <c r="N10" s="224">
        <f>IFERROR('Lookup Table'!I226,0)</f>
        <v>0</v>
      </c>
      <c r="O10" s="250"/>
      <c r="P10" s="254"/>
      <c r="Q10" s="222">
        <f t="shared" si="0"/>
        <v>0</v>
      </c>
      <c r="R10" s="257"/>
      <c r="S10" s="225">
        <f t="shared" si="1"/>
        <v>0</v>
      </c>
      <c r="T10" s="226">
        <f t="shared" si="2"/>
        <v>0</v>
      </c>
      <c r="U10" s="223">
        <f t="shared" si="3"/>
        <v>0</v>
      </c>
      <c r="V10" s="227">
        <f t="shared" si="4"/>
        <v>0</v>
      </c>
      <c r="W10" s="223">
        <f t="shared" si="5"/>
        <v>0</v>
      </c>
      <c r="X10" s="228">
        <f t="shared" si="6"/>
        <v>0</v>
      </c>
      <c r="Y10" s="219">
        <f t="shared" si="7"/>
        <v>0</v>
      </c>
      <c r="Z10" s="229" t="str">
        <f>IFERROR('Project Summary'!$F$21*('Premium Eff Motor'!Y10/'Project Summary'!$E$21),"")</f>
        <v/>
      </c>
    </row>
    <row r="11" spans="1:26" s="203" customFormat="1" ht="22.15" customHeight="1">
      <c r="B11" s="221">
        <v>4</v>
      </c>
      <c r="C11" s="172"/>
      <c r="D11" s="108"/>
      <c r="E11" s="244"/>
      <c r="F11" s="222" t="str">
        <f>IFERROR(VLOOKUP(D11,'Lookup Table'!$J$2:$K$7,2,FALSE),"")</f>
        <v/>
      </c>
      <c r="G11" s="244"/>
      <c r="H11" s="244"/>
      <c r="I11" s="244"/>
      <c r="J11" s="249"/>
      <c r="K11" s="250"/>
      <c r="L11" s="222">
        <f>IF(J11="Early Replacement", "Enter Value Here",'Lookup Table'!U35)</f>
        <v>0</v>
      </c>
      <c r="M11" s="223">
        <f>IFERROR('Lookup Table'!H227,0)</f>
        <v>0</v>
      </c>
      <c r="N11" s="224">
        <f>IFERROR('Lookup Table'!I227,0)</f>
        <v>0</v>
      </c>
      <c r="O11" s="250"/>
      <c r="P11" s="254"/>
      <c r="Q11" s="222">
        <f t="shared" si="0"/>
        <v>0</v>
      </c>
      <c r="R11" s="257"/>
      <c r="S11" s="225">
        <f t="shared" si="1"/>
        <v>0</v>
      </c>
      <c r="T11" s="226">
        <f t="shared" si="2"/>
        <v>0</v>
      </c>
      <c r="U11" s="223">
        <f t="shared" si="3"/>
        <v>0</v>
      </c>
      <c r="V11" s="227">
        <f t="shared" si="4"/>
        <v>0</v>
      </c>
      <c r="W11" s="223">
        <f t="shared" si="5"/>
        <v>0</v>
      </c>
      <c r="X11" s="228">
        <f t="shared" si="6"/>
        <v>0</v>
      </c>
      <c r="Y11" s="219">
        <f t="shared" si="7"/>
        <v>0</v>
      </c>
      <c r="Z11" s="229" t="str">
        <f>IFERROR('Project Summary'!$F$21*('Premium Eff Motor'!Y11/'Project Summary'!$E$21),"")</f>
        <v/>
      </c>
    </row>
    <row r="12" spans="1:26" s="203" customFormat="1" ht="22.15" customHeight="1">
      <c r="B12" s="221">
        <v>5</v>
      </c>
      <c r="C12" s="172"/>
      <c r="D12" s="108"/>
      <c r="E12" s="244"/>
      <c r="F12" s="222" t="str">
        <f>IFERROR(VLOOKUP(D12,'Lookup Table'!$J$2:$K$7,2,FALSE),"")</f>
        <v/>
      </c>
      <c r="G12" s="244"/>
      <c r="H12" s="244"/>
      <c r="I12" s="244"/>
      <c r="J12" s="249"/>
      <c r="K12" s="250"/>
      <c r="L12" s="222">
        <f>IF(J12="Early Replacement", "Enter Value Here",'Lookup Table'!U36)</f>
        <v>0</v>
      </c>
      <c r="M12" s="223">
        <f>IFERROR('Lookup Table'!H228,0)</f>
        <v>0</v>
      </c>
      <c r="N12" s="224">
        <f>IFERROR('Lookup Table'!I228,0)</f>
        <v>0</v>
      </c>
      <c r="O12" s="250"/>
      <c r="P12" s="254"/>
      <c r="Q12" s="222">
        <f t="shared" si="0"/>
        <v>0</v>
      </c>
      <c r="R12" s="257"/>
      <c r="S12" s="225">
        <f t="shared" si="1"/>
        <v>0</v>
      </c>
      <c r="T12" s="226">
        <f t="shared" si="2"/>
        <v>0</v>
      </c>
      <c r="U12" s="223">
        <f t="shared" si="3"/>
        <v>0</v>
      </c>
      <c r="V12" s="227">
        <f t="shared" si="4"/>
        <v>0</v>
      </c>
      <c r="W12" s="223">
        <f t="shared" si="5"/>
        <v>0</v>
      </c>
      <c r="X12" s="228">
        <f t="shared" si="6"/>
        <v>0</v>
      </c>
      <c r="Y12" s="219">
        <f t="shared" si="7"/>
        <v>0</v>
      </c>
      <c r="Z12" s="229" t="str">
        <f>IFERROR('Project Summary'!$F$21*('Premium Eff Motor'!Y12/'Project Summary'!$E$21),"")</f>
        <v/>
      </c>
    </row>
    <row r="13" spans="1:26" s="203" customFormat="1" ht="22.15" customHeight="1">
      <c r="B13" s="221">
        <v>6</v>
      </c>
      <c r="C13" s="172"/>
      <c r="D13" s="108"/>
      <c r="E13" s="244"/>
      <c r="F13" s="222" t="str">
        <f>IFERROR(VLOOKUP(D13,'Lookup Table'!$J$2:$K$7,2,FALSE),"")</f>
        <v/>
      </c>
      <c r="G13" s="244"/>
      <c r="H13" s="244"/>
      <c r="I13" s="244"/>
      <c r="J13" s="249"/>
      <c r="K13" s="250"/>
      <c r="L13" s="222">
        <f>IF(J13="Early Replacement", "Enter Value Here",'Lookup Table'!U37)</f>
        <v>0</v>
      </c>
      <c r="M13" s="223">
        <f>IFERROR('Lookup Table'!H229,0)</f>
        <v>0</v>
      </c>
      <c r="N13" s="224">
        <f>IFERROR('Lookup Table'!I229,0)</f>
        <v>0</v>
      </c>
      <c r="O13" s="250"/>
      <c r="P13" s="254"/>
      <c r="Q13" s="222">
        <f t="shared" si="0"/>
        <v>0</v>
      </c>
      <c r="R13" s="257"/>
      <c r="S13" s="225">
        <f t="shared" si="1"/>
        <v>0</v>
      </c>
      <c r="T13" s="226">
        <f t="shared" si="2"/>
        <v>0</v>
      </c>
      <c r="U13" s="223">
        <f t="shared" si="3"/>
        <v>0</v>
      </c>
      <c r="V13" s="227">
        <f t="shared" si="4"/>
        <v>0</v>
      </c>
      <c r="W13" s="223">
        <f t="shared" si="5"/>
        <v>0</v>
      </c>
      <c r="X13" s="228">
        <f t="shared" si="6"/>
        <v>0</v>
      </c>
      <c r="Y13" s="219">
        <f t="shared" si="7"/>
        <v>0</v>
      </c>
      <c r="Z13" s="229" t="str">
        <f>IFERROR('Project Summary'!$F$21*('Premium Eff Motor'!Y13/'Project Summary'!$E$21),"")</f>
        <v/>
      </c>
    </row>
    <row r="14" spans="1:26" s="203" customFormat="1" ht="22.15" customHeight="1">
      <c r="B14" s="221">
        <v>7</v>
      </c>
      <c r="C14" s="172"/>
      <c r="D14" s="108"/>
      <c r="E14" s="244"/>
      <c r="F14" s="222" t="str">
        <f>IFERROR(VLOOKUP(D14,'Lookup Table'!$J$2:$K$7,2,FALSE),"")</f>
        <v/>
      </c>
      <c r="G14" s="244"/>
      <c r="H14" s="244"/>
      <c r="I14" s="244"/>
      <c r="J14" s="249"/>
      <c r="K14" s="250"/>
      <c r="L14" s="222">
        <f>IF(J14="Early Replacement", "Enter Value Here",'Lookup Table'!U38)</f>
        <v>0</v>
      </c>
      <c r="M14" s="223">
        <f>IFERROR('Lookup Table'!H230,0)</f>
        <v>0</v>
      </c>
      <c r="N14" s="224">
        <f>IFERROR('Lookup Table'!I230,0)</f>
        <v>0</v>
      </c>
      <c r="O14" s="250"/>
      <c r="P14" s="254"/>
      <c r="Q14" s="222">
        <f t="shared" si="0"/>
        <v>0</v>
      </c>
      <c r="R14" s="257"/>
      <c r="S14" s="225">
        <f t="shared" si="1"/>
        <v>0</v>
      </c>
      <c r="T14" s="226">
        <f t="shared" si="2"/>
        <v>0</v>
      </c>
      <c r="U14" s="223">
        <f t="shared" si="3"/>
        <v>0</v>
      </c>
      <c r="V14" s="227">
        <f t="shared" si="4"/>
        <v>0</v>
      </c>
      <c r="W14" s="223">
        <f t="shared" si="5"/>
        <v>0</v>
      </c>
      <c r="X14" s="228">
        <f t="shared" si="6"/>
        <v>0</v>
      </c>
      <c r="Y14" s="219">
        <f t="shared" si="7"/>
        <v>0</v>
      </c>
      <c r="Z14" s="229" t="str">
        <f>IFERROR('Project Summary'!$F$21*('Premium Eff Motor'!Y14/'Project Summary'!$E$21),"")</f>
        <v/>
      </c>
    </row>
    <row r="15" spans="1:26" s="203" customFormat="1" ht="22.15" customHeight="1">
      <c r="B15" s="221">
        <v>8</v>
      </c>
      <c r="C15" s="172"/>
      <c r="D15" s="108"/>
      <c r="E15" s="244"/>
      <c r="F15" s="222" t="str">
        <f>IFERROR(VLOOKUP(D15,'Lookup Table'!$J$2:$K$7,2,FALSE),"")</f>
        <v/>
      </c>
      <c r="G15" s="244"/>
      <c r="H15" s="244"/>
      <c r="I15" s="244"/>
      <c r="J15" s="249"/>
      <c r="K15" s="250"/>
      <c r="L15" s="222">
        <f>IF(J15="Early Replacement", "Enter Value Here",'Lookup Table'!U39)</f>
        <v>0</v>
      </c>
      <c r="M15" s="223">
        <f>IFERROR('Lookup Table'!H231,0)</f>
        <v>0</v>
      </c>
      <c r="N15" s="224">
        <f>IFERROR('Lookup Table'!I231,0)</f>
        <v>0</v>
      </c>
      <c r="O15" s="250"/>
      <c r="P15" s="254"/>
      <c r="Q15" s="222">
        <f t="shared" si="0"/>
        <v>0</v>
      </c>
      <c r="R15" s="257"/>
      <c r="S15" s="225">
        <f t="shared" si="1"/>
        <v>0</v>
      </c>
      <c r="T15" s="226">
        <f t="shared" si="2"/>
        <v>0</v>
      </c>
      <c r="U15" s="223">
        <f t="shared" si="3"/>
        <v>0</v>
      </c>
      <c r="V15" s="227">
        <f t="shared" si="4"/>
        <v>0</v>
      </c>
      <c r="W15" s="223">
        <f t="shared" si="5"/>
        <v>0</v>
      </c>
      <c r="X15" s="228">
        <f t="shared" si="6"/>
        <v>0</v>
      </c>
      <c r="Y15" s="219">
        <f t="shared" si="7"/>
        <v>0</v>
      </c>
      <c r="Z15" s="229" t="str">
        <f>IFERROR('Project Summary'!$F$21*('Premium Eff Motor'!Y15/'Project Summary'!$E$21),"")</f>
        <v/>
      </c>
    </row>
    <row r="16" spans="1:26" s="203" customFormat="1" ht="21.75" customHeight="1">
      <c r="B16" s="221">
        <v>9</v>
      </c>
      <c r="C16" s="171"/>
      <c r="D16" s="108"/>
      <c r="E16" s="244"/>
      <c r="F16" s="222" t="str">
        <f>IFERROR(VLOOKUP(D16,'Lookup Table'!$J$2:$K$7,2,FALSE),"")</f>
        <v/>
      </c>
      <c r="G16" s="244"/>
      <c r="H16" s="244"/>
      <c r="I16" s="244"/>
      <c r="J16" s="249"/>
      <c r="K16" s="250"/>
      <c r="L16" s="222">
        <f>IF(J16="Early Replacement", "Enter Value Here",'Lookup Table'!U40)</f>
        <v>0</v>
      </c>
      <c r="M16" s="223">
        <f>IFERROR('Lookup Table'!H232,0)</f>
        <v>0</v>
      </c>
      <c r="N16" s="224">
        <f>IFERROR('Lookup Table'!I232,0)</f>
        <v>0</v>
      </c>
      <c r="O16" s="250"/>
      <c r="P16" s="254"/>
      <c r="Q16" s="222">
        <f t="shared" si="0"/>
        <v>0</v>
      </c>
      <c r="R16" s="257"/>
      <c r="S16" s="225">
        <f t="shared" si="1"/>
        <v>0</v>
      </c>
      <c r="T16" s="226">
        <f t="shared" si="2"/>
        <v>0</v>
      </c>
      <c r="U16" s="223">
        <f t="shared" si="3"/>
        <v>0</v>
      </c>
      <c r="V16" s="227">
        <f t="shared" si="4"/>
        <v>0</v>
      </c>
      <c r="W16" s="223">
        <f t="shared" si="5"/>
        <v>0</v>
      </c>
      <c r="X16" s="228">
        <f t="shared" si="6"/>
        <v>0</v>
      </c>
      <c r="Y16" s="219">
        <f t="shared" si="7"/>
        <v>0</v>
      </c>
      <c r="Z16" s="229" t="str">
        <f>IFERROR('Project Summary'!$F$21*('Premium Eff Motor'!Y16/'Project Summary'!$E$21),"")</f>
        <v/>
      </c>
    </row>
    <row r="17" spans="2:26" s="203" customFormat="1" ht="21.75" customHeight="1" thickBot="1">
      <c r="B17" s="230">
        <v>10</v>
      </c>
      <c r="C17" s="173"/>
      <c r="D17" s="245"/>
      <c r="E17" s="246"/>
      <c r="F17" s="231" t="str">
        <f>IFERROR(VLOOKUP(D17,'Lookup Table'!$J$2:$K$7,2,FALSE),"")</f>
        <v/>
      </c>
      <c r="G17" s="246"/>
      <c r="H17" s="246"/>
      <c r="I17" s="246"/>
      <c r="J17" s="251"/>
      <c r="K17" s="252"/>
      <c r="L17" s="231">
        <f>IF(J17="Early Replacement", "Enter Value Here",'Lookup Table'!U41)</f>
        <v>0</v>
      </c>
      <c r="M17" s="232">
        <f>IFERROR('Lookup Table'!H233,0)</f>
        <v>0</v>
      </c>
      <c r="N17" s="233">
        <f>IFERROR('Lookup Table'!I233,0)</f>
        <v>0</v>
      </c>
      <c r="O17" s="252"/>
      <c r="P17" s="255"/>
      <c r="Q17" s="231">
        <f t="shared" si="0"/>
        <v>0</v>
      </c>
      <c r="R17" s="258"/>
      <c r="S17" s="234">
        <f t="shared" si="1"/>
        <v>0</v>
      </c>
      <c r="T17" s="235">
        <f t="shared" si="2"/>
        <v>0</v>
      </c>
      <c r="U17" s="232">
        <f t="shared" si="3"/>
        <v>0</v>
      </c>
      <c r="V17" s="236">
        <f t="shared" si="4"/>
        <v>0</v>
      </c>
      <c r="W17" s="232">
        <f t="shared" si="5"/>
        <v>0</v>
      </c>
      <c r="X17" s="237">
        <f t="shared" si="6"/>
        <v>0</v>
      </c>
      <c r="Y17" s="219">
        <f t="shared" si="7"/>
        <v>0</v>
      </c>
      <c r="Z17" s="238" t="str">
        <f>IFERROR('Project Summary'!$F$21*('Premium Eff Motor'!Y17/'Project Summary'!$E$21),"")</f>
        <v/>
      </c>
    </row>
    <row r="18" spans="2:26" s="203" customFormat="1" ht="22.15" customHeight="1">
      <c r="B18" s="239"/>
      <c r="C18" s="240"/>
      <c r="D18" s="239"/>
      <c r="E18" s="241"/>
    </row>
    <row r="19" spans="2:26" s="203" customFormat="1" ht="22.15" customHeight="1">
      <c r="B19" s="239"/>
      <c r="C19" s="240"/>
      <c r="D19" s="239"/>
      <c r="E19" s="241"/>
    </row>
    <row r="20" spans="2:26" s="201" customFormat="1" ht="9" customHeight="1"/>
    <row r="21" spans="2:26">
      <c r="B21" s="242"/>
    </row>
  </sheetData>
  <sheetProtection algorithmName="SHA-512" hashValue="dIC1JJfGOiVJJvK6BEODKhlZTiRoHDmKKd5cJlqSQQp/glshxT0XKc5bpBkxkvBd0YfmMrPpKRPpb/4ja/SrCQ==" saltValue="iychxxIw/0xM33EXw+e/BQ==" spinCount="100000" sheet="1" formatColumns="0"/>
  <mergeCells count="7">
    <mergeCell ref="Z6:Z7"/>
    <mergeCell ref="S6:X6"/>
    <mergeCell ref="B3:G3"/>
    <mergeCell ref="C6:J6"/>
    <mergeCell ref="K6:N6"/>
    <mergeCell ref="B4:G4"/>
    <mergeCell ref="O6:R6"/>
  </mergeCells>
  <conditionalFormatting sqref="L8:L17">
    <cfRule type="expression" dxfId="2" priority="3">
      <formula>$J8="Early Replacement"</formula>
    </cfRule>
  </conditionalFormatting>
  <conditionalFormatting sqref="Q8:Q17">
    <cfRule type="expression" dxfId="1" priority="1">
      <formula>$J8="Early Replacement"</formula>
    </cfRule>
  </conditionalFormatting>
  <pageMargins left="0.5" right="0.5" top="0.5" bottom="0.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FA965179-0EA9-4A5A-A463-CFB73609BDCA}">
          <x14:formula1>
            <xm:f>'Lookup Table'!$F$3:$F$4</xm:f>
          </x14:formula1>
          <xm:sqref>J8:J17</xm:sqref>
        </x14:dataValidation>
        <x14:dataValidation type="list" allowBlank="1" showInputMessage="1" showErrorMessage="1" xr:uid="{7CF86F20-5DEF-40F7-AF80-0C7B4109ED25}">
          <x14:formula1>
            <xm:f>'Lookup Table'!$H$3:$H$5</xm:f>
          </x14:formula1>
          <xm:sqref>G8:G17</xm:sqref>
        </x14:dataValidation>
        <x14:dataValidation type="list" allowBlank="1" showInputMessage="1" showErrorMessage="1" xr:uid="{552CC7C5-6AA8-45AA-A101-9D061C7236C0}">
          <x14:formula1>
            <xm:f>'Lookup Table'!$M$3:$M$4</xm:f>
          </x14:formula1>
          <xm:sqref>I8:I17</xm:sqref>
        </x14:dataValidation>
        <x14:dataValidation type="list" allowBlank="1" showInputMessage="1" showErrorMessage="1" xr:uid="{74855D96-0B50-41D1-9D0E-87283E92AC40}">
          <x14:formula1>
            <xm:f>'Lookup Table'!$O$3:$O$27</xm:f>
          </x14:formula1>
          <xm:sqref>K8:K17</xm:sqref>
        </x14:dataValidation>
        <x14:dataValidation type="list" allowBlank="1" showInputMessage="1" showErrorMessage="1" xr:uid="{C88019C2-AD10-4CE8-A214-2AA04AD08BA6}">
          <x14:formula1>
            <xm:f>'Lookup Table'!$Q$3:$Q$6</xm:f>
          </x14:formula1>
          <xm:sqref>H8:H17</xm:sqref>
        </x14:dataValidation>
        <x14:dataValidation type="list" allowBlank="1" showInputMessage="1" showErrorMessage="1" xr:uid="{CC6335F9-A91A-4644-905D-DEA629521AA9}">
          <x14:formula1>
            <xm:f>'Lookup Table'!$J$3:$J$7</xm:f>
          </x14:formula1>
          <xm:sqref>D8:D17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B9F7-B4E0-44FE-A4B0-82353F06056B}">
  <sheetPr>
    <tabColor theme="8" tint="0.59999389629810485"/>
  </sheetPr>
  <dimension ref="A1:X21"/>
  <sheetViews>
    <sheetView zoomScale="80" zoomScaleNormal="80" workbookViewId="0">
      <selection activeCell="C8" sqref="C8"/>
    </sheetView>
  </sheetViews>
  <sheetFormatPr defaultColWidth="8.75" defaultRowHeight="14.25"/>
  <cols>
    <col min="1" max="1" width="3.625" style="201" customWidth="1"/>
    <col min="2" max="2" width="8.625" style="200" customWidth="1"/>
    <col min="3" max="3" width="7.625" style="200" bestFit="1" customWidth="1"/>
    <col min="4" max="4" width="15.375" style="200" bestFit="1" customWidth="1"/>
    <col min="5" max="6" width="15.375" style="200" hidden="1" customWidth="1"/>
    <col min="7" max="7" width="21.5" style="200" bestFit="1" customWidth="1"/>
    <col min="8" max="8" width="6.375" style="201" hidden="1" customWidth="1"/>
    <col min="9" max="9" width="12.75" style="200" customWidth="1"/>
    <col min="10" max="10" width="10.25" style="200" customWidth="1"/>
    <col min="11" max="11" width="42.5" style="200" bestFit="1" customWidth="1"/>
    <col min="12" max="12" width="9.25" style="200" bestFit="1" customWidth="1"/>
    <col min="13" max="14" width="8.75" style="200" hidden="1" customWidth="1"/>
    <col min="15" max="15" width="17.5" style="200" customWidth="1"/>
    <col min="16" max="16" width="13" style="200" customWidth="1"/>
    <col min="17" max="20" width="13" style="200" hidden="1" customWidth="1"/>
    <col min="21" max="21" width="9.625" style="200" bestFit="1" customWidth="1"/>
    <col min="22" max="22" width="8.75" style="200"/>
    <col min="23" max="23" width="8.75" style="200" hidden="1" customWidth="1"/>
    <col min="24" max="24" width="8.75" style="200" customWidth="1"/>
    <col min="25" max="16384" width="8.75" style="200"/>
  </cols>
  <sheetData>
    <row r="1" spans="1:24">
      <c r="A1" s="199"/>
      <c r="H1" s="201" t="s">
        <v>100</v>
      </c>
      <c r="M1" s="200" t="s">
        <v>100</v>
      </c>
      <c r="N1" s="200" t="s">
        <v>100</v>
      </c>
      <c r="Q1" s="200" t="s">
        <v>100</v>
      </c>
      <c r="R1" s="200" t="s">
        <v>100</v>
      </c>
      <c r="S1" s="200" t="s">
        <v>100</v>
      </c>
      <c r="T1" s="200" t="s">
        <v>100</v>
      </c>
      <c r="W1" s="200" t="s">
        <v>100</v>
      </c>
    </row>
    <row r="2" spans="1:24" s="201" customFormat="1" ht="9.75" customHeight="1"/>
    <row r="3" spans="1:24" ht="34.5" customHeight="1">
      <c r="A3" s="200"/>
      <c r="B3" s="464" t="s">
        <v>117</v>
      </c>
      <c r="C3" s="464"/>
      <c r="D3" s="464"/>
      <c r="E3" s="464"/>
      <c r="F3" s="464"/>
      <c r="G3" s="464"/>
      <c r="H3" s="464"/>
      <c r="I3" s="464"/>
      <c r="J3" s="464"/>
      <c r="K3" s="464"/>
      <c r="L3" s="464"/>
      <c r="M3" s="464"/>
      <c r="N3" s="464"/>
    </row>
    <row r="4" spans="1:24" ht="28.9" customHeight="1">
      <c r="A4" s="200"/>
      <c r="B4" s="465" t="s">
        <v>90</v>
      </c>
      <c r="C4" s="465"/>
      <c r="D4" s="465"/>
      <c r="E4" s="465"/>
      <c r="F4" s="465"/>
      <c r="G4" s="465"/>
      <c r="H4" s="465"/>
      <c r="I4" s="465"/>
      <c r="J4" s="465"/>
      <c r="K4" s="465"/>
      <c r="L4" s="465"/>
      <c r="M4" s="465"/>
      <c r="N4" s="465"/>
    </row>
    <row r="5" spans="1:24" ht="9" customHeight="1" thickBot="1">
      <c r="A5" s="200"/>
      <c r="B5" s="202"/>
      <c r="C5" s="202"/>
      <c r="D5" s="202"/>
      <c r="E5" s="202"/>
      <c r="F5" s="202"/>
      <c r="G5" s="201"/>
    </row>
    <row r="6" spans="1:24" s="203" customFormat="1" ht="22.15" customHeight="1" thickBot="1">
      <c r="B6" s="259"/>
      <c r="C6" s="483" t="s">
        <v>101</v>
      </c>
      <c r="D6" s="484"/>
      <c r="E6" s="484"/>
      <c r="F6" s="484"/>
      <c r="G6" s="484"/>
      <c r="H6" s="484"/>
      <c r="I6" s="484"/>
      <c r="J6" s="485"/>
      <c r="K6" s="483" t="s">
        <v>102</v>
      </c>
      <c r="L6" s="484"/>
      <c r="M6" s="484"/>
      <c r="N6" s="485"/>
      <c r="O6" s="483" t="s">
        <v>118</v>
      </c>
      <c r="P6" s="485"/>
      <c r="Q6" s="483" t="s">
        <v>104</v>
      </c>
      <c r="R6" s="484"/>
      <c r="S6" s="484"/>
      <c r="T6" s="484"/>
      <c r="U6" s="484"/>
      <c r="V6" s="485"/>
      <c r="W6" s="205"/>
      <c r="X6" s="472" t="s">
        <v>105</v>
      </c>
    </row>
    <row r="7" spans="1:24" s="260" customFormat="1" ht="60.75" thickBot="1">
      <c r="B7" s="261" t="s">
        <v>106</v>
      </c>
      <c r="C7" s="262" t="s">
        <v>35</v>
      </c>
      <c r="D7" s="263" t="s">
        <v>119</v>
      </c>
      <c r="E7" s="263"/>
      <c r="F7" s="263"/>
      <c r="G7" s="264" t="s">
        <v>37</v>
      </c>
      <c r="H7" s="208" t="s">
        <v>107</v>
      </c>
      <c r="I7" s="208" t="s">
        <v>49</v>
      </c>
      <c r="J7" s="209" t="s">
        <v>55</v>
      </c>
      <c r="K7" s="207" t="s">
        <v>57</v>
      </c>
      <c r="L7" s="265" t="s">
        <v>120</v>
      </c>
      <c r="M7" s="207" t="s">
        <v>73</v>
      </c>
      <c r="N7" s="209" t="s">
        <v>109</v>
      </c>
      <c r="O7" s="207" t="s">
        <v>110</v>
      </c>
      <c r="P7" s="209" t="s">
        <v>111</v>
      </c>
      <c r="Q7" s="266" t="s">
        <v>121</v>
      </c>
      <c r="R7" s="266" t="s">
        <v>122</v>
      </c>
      <c r="S7" s="266" t="s">
        <v>123</v>
      </c>
      <c r="T7" s="266" t="s">
        <v>124</v>
      </c>
      <c r="U7" s="208" t="s">
        <v>66</v>
      </c>
      <c r="V7" s="209" t="s">
        <v>92</v>
      </c>
      <c r="W7" s="210" t="s">
        <v>93</v>
      </c>
      <c r="X7" s="473"/>
    </row>
    <row r="8" spans="1:24" s="203" customFormat="1" ht="21.75" customHeight="1">
      <c r="B8" s="211">
        <v>1</v>
      </c>
      <c r="C8" s="288"/>
      <c r="D8" s="289"/>
      <c r="E8" s="267" t="str">
        <f>IF(D8="HVAC Fan", "HVAC_Fan_Motor_Function",IF(D8="HVAC Pump","HVAC_Pump_Motor_Function",""))</f>
        <v/>
      </c>
      <c r="F8" s="267" t="str">
        <f>IF(D8="HVAC Fan", "HVAC_Fan_Control_Type",IF(D8="HVAC Pump","HVAC_Pump_Control_Type",""))</f>
        <v/>
      </c>
      <c r="G8" s="121"/>
      <c r="H8" s="268">
        <v>0.75</v>
      </c>
      <c r="I8" s="243"/>
      <c r="J8" s="256"/>
      <c r="K8" s="293"/>
      <c r="L8" s="294"/>
      <c r="M8" s="269">
        <f>IFERROR('Lookup Table'!H247,0)</f>
        <v>0</v>
      </c>
      <c r="N8" s="270">
        <f>IFERROR('Lookup Table'!I247,0)</f>
        <v>0</v>
      </c>
      <c r="O8" s="293"/>
      <c r="P8" s="298"/>
      <c r="Q8" s="271" t="str">
        <f>IFERROR(L8*0.746*I8*(H8/J8)*M8*IF(D8="HVAC Fan",VLOOKUP(K8,'Lookup Table'!$K$230:$W$236,13,FALSE),IF(D8="HVAC Pump",VLOOKUP(K8,'Lookup Table'!$K$240:$W$242,13,FALSE),"")),"")</f>
        <v/>
      </c>
      <c r="R8" s="271" t="str">
        <f>IFERROR(L8*0.746*I8*(H8/J8)*M8*(IF(D8="HVAC Fan",'Lookup Table'!$W$236,IF(D8="HVAC Pump",'Lookup Table'!$W$242,""))),"")</f>
        <v/>
      </c>
      <c r="S8" s="271" t="str">
        <f>IFERROR(L8*0.746*I8*H8/J8*IF(D8="HVAC Fan",VLOOKUP(K8,'Lookup Table'!$K$230:$U$236,11,FALSE),IF(D8="HVAC Pump",VLOOKUP(K8,'Lookup Table'!$K$240:$U$242,11,FALSE),"")),"")</f>
        <v/>
      </c>
      <c r="T8" s="271" t="str">
        <f>IFERROR(L8*0.746*I8*(H8/J8)*IF(D8="HVAC Fan",'Lookup Table'!$U$236,IF(D8="HVAC Pump",'Lookup Table'!$U$242,"")),"")</f>
        <v/>
      </c>
      <c r="U8" s="272" t="str">
        <f>IFERROR(ROUND(Q8-R8,2),"")</f>
        <v/>
      </c>
      <c r="V8" s="270" t="str">
        <f>IFERROR(ROUND(S8-T8,4),"")</f>
        <v/>
      </c>
      <c r="W8" s="273" t="str">
        <f>IFERROR(ROUND(U8*0.02+V8*200,2),"")</f>
        <v/>
      </c>
      <c r="X8" s="274" t="str">
        <f>IFERROR('Project Summary'!$F$21*(VFDs!W8/'Project Summary'!$E$21),"")</f>
        <v/>
      </c>
    </row>
    <row r="9" spans="1:24" s="203" customFormat="1" ht="21.75" customHeight="1">
      <c r="B9" s="221">
        <v>2</v>
      </c>
      <c r="C9" s="290"/>
      <c r="D9" s="444"/>
      <c r="E9" s="267" t="str">
        <f t="shared" ref="E9:E17" si="0">IF(D9="HVAC Fan", "HVAC_Fan_Motor_Function",IF(D9="HVAC Pump","HVAC_Pump_Motor_Function",""))</f>
        <v/>
      </c>
      <c r="F9" s="267" t="str">
        <f t="shared" ref="F9:F17" si="1">IF(D9="HVAC Fan", "HVAC_Fan_Control_Type",IF(D9="HVAC Pump","HVAC_Pump_Control_Type",""))</f>
        <v/>
      </c>
      <c r="G9" s="121"/>
      <c r="H9" s="275">
        <v>0.75</v>
      </c>
      <c r="I9" s="243"/>
      <c r="J9" s="257"/>
      <c r="K9" s="293"/>
      <c r="L9" s="295"/>
      <c r="M9" s="276">
        <f>IFERROR('Lookup Table'!H248,0)</f>
        <v>0</v>
      </c>
      <c r="N9" s="277">
        <f>IFERROR('Lookup Table'!I248,0)</f>
        <v>0</v>
      </c>
      <c r="O9" s="299"/>
      <c r="P9" s="300"/>
      <c r="Q9" s="271" t="str">
        <f>IFERROR(L9*0.746*I9*(H9/J9)*M9*IF(D9="HVAC Fan",VLOOKUP(K9,'Lookup Table'!$K$230:$W$236,13,FALSE),IF(D9="HVAC Pump",VLOOKUP(K9,'Lookup Table'!$K$240:$W$242,13,FALSE),"")),"")</f>
        <v/>
      </c>
      <c r="R9" s="271" t="str">
        <f>IFERROR(L9*0.746*I9*(H9/J9)*M9*(IF(D9="HVAC Fan",'Lookup Table'!$W$236,IF(D9="HVAC Pump",'Lookup Table'!$W$242,""))),"")</f>
        <v/>
      </c>
      <c r="S9" s="271" t="str">
        <f>IFERROR(L9*0.746*I9*H9/J9*IF(D9="HVAC Fan",VLOOKUP(K9,'Lookup Table'!$K$230:$U$236,11,FALSE),IF(D9="HVAC Pump",VLOOKUP(K9,'Lookup Table'!$K$240:$U$242,11,FALSE),"")),"")</f>
        <v/>
      </c>
      <c r="T9" s="271" t="str">
        <f>IFERROR(L9*0.746*I9*(H9/J9)*IF(D9="HVAC Fan",'Lookup Table'!$U$236,IF(D9="HVAC Pump",'Lookup Table'!$U$242,"")),"")</f>
        <v/>
      </c>
      <c r="U9" s="278" t="str">
        <f t="shared" ref="U9:U17" si="2">IFERROR(ROUND(Q9-R9,2),"")</f>
        <v/>
      </c>
      <c r="V9" s="277" t="str">
        <f t="shared" ref="V9:V17" si="3">IFERROR(ROUND(S9-T9,4),"")</f>
        <v/>
      </c>
      <c r="W9" s="273" t="str">
        <f t="shared" ref="W9:W17" si="4">IFERROR(ROUND(U9*0.02+V9*200,2),"")</f>
        <v/>
      </c>
      <c r="X9" s="279" t="str">
        <f>IFERROR('Project Summary'!$F$21*(VFDs!W9/'Project Summary'!$E$21),"")</f>
        <v/>
      </c>
    </row>
    <row r="10" spans="1:24" s="203" customFormat="1" ht="21.75" customHeight="1">
      <c r="B10" s="221">
        <v>3</v>
      </c>
      <c r="C10" s="290"/>
      <c r="D10" s="444"/>
      <c r="E10" s="267" t="str">
        <f t="shared" si="0"/>
        <v/>
      </c>
      <c r="F10" s="267" t="str">
        <f t="shared" si="1"/>
        <v/>
      </c>
      <c r="G10" s="121"/>
      <c r="H10" s="275">
        <v>0.75</v>
      </c>
      <c r="I10" s="243"/>
      <c r="J10" s="257"/>
      <c r="K10" s="293"/>
      <c r="L10" s="295"/>
      <c r="M10" s="276">
        <f>IFERROR('Lookup Table'!H249,0)</f>
        <v>0</v>
      </c>
      <c r="N10" s="277">
        <f>IFERROR('Lookup Table'!I249,0)</f>
        <v>0</v>
      </c>
      <c r="O10" s="299"/>
      <c r="P10" s="300"/>
      <c r="Q10" s="271" t="str">
        <f>IFERROR(L10*0.746*I10*(H10/J10)*M10*IF(D10="HVAC Fan",VLOOKUP(K10,'Lookup Table'!$K$230:$W$236,13,FALSE),IF(D10="HVAC Pump",VLOOKUP(K10,'Lookup Table'!$K$240:$W$242,13,FALSE),"")),"")</f>
        <v/>
      </c>
      <c r="R10" s="271" t="str">
        <f>IFERROR(L10*0.746*I10*(H10/J10)*M10*(IF(D10="HVAC Fan",'Lookup Table'!$W$236,IF(D10="HVAC Pump",'Lookup Table'!$W$242,""))),"")</f>
        <v/>
      </c>
      <c r="S10" s="271" t="str">
        <f>IFERROR(L10*0.746*I10*H10/J10*IF(D10="HVAC Fan",VLOOKUP(K10,'Lookup Table'!$K$230:$U$236,11,FALSE),IF(D10="HVAC Pump",VLOOKUP(K10,'Lookup Table'!$K$240:$U$242,11,FALSE),"")),"")</f>
        <v/>
      </c>
      <c r="T10" s="271" t="str">
        <f>IFERROR(L10*0.746*I10*(H10/J10)*IF(D10="HVAC Fan",'Lookup Table'!$U$236,IF(D10="HVAC Pump",'Lookup Table'!$U$242,"")),"")</f>
        <v/>
      </c>
      <c r="U10" s="278" t="str">
        <f t="shared" si="2"/>
        <v/>
      </c>
      <c r="V10" s="277" t="str">
        <f t="shared" si="3"/>
        <v/>
      </c>
      <c r="W10" s="273" t="str">
        <f t="shared" si="4"/>
        <v/>
      </c>
      <c r="X10" s="279" t="str">
        <f>IFERROR('Project Summary'!$F$21*(VFDs!W10/'Project Summary'!$E$21),"")</f>
        <v/>
      </c>
    </row>
    <row r="11" spans="1:24" s="203" customFormat="1" ht="21.75" customHeight="1">
      <c r="B11" s="221">
        <v>4</v>
      </c>
      <c r="C11" s="290"/>
      <c r="D11" s="444"/>
      <c r="E11" s="267" t="str">
        <f t="shared" si="0"/>
        <v/>
      </c>
      <c r="F11" s="267" t="str">
        <f t="shared" si="1"/>
        <v/>
      </c>
      <c r="G11" s="121"/>
      <c r="H11" s="275">
        <v>0.75</v>
      </c>
      <c r="I11" s="243"/>
      <c r="J11" s="257"/>
      <c r="K11" s="293"/>
      <c r="L11" s="295"/>
      <c r="M11" s="276">
        <f>IFERROR('Lookup Table'!H250,0)</f>
        <v>0</v>
      </c>
      <c r="N11" s="277">
        <f>IFERROR('Lookup Table'!I250,0)</f>
        <v>0</v>
      </c>
      <c r="O11" s="299"/>
      <c r="P11" s="300"/>
      <c r="Q11" s="271" t="str">
        <f>IFERROR(L11*0.746*I11*(H11/J11)*M11*IF(D11="HVAC Fan",VLOOKUP(K11,'Lookup Table'!$K$230:$W$236,13,FALSE),IF(D11="HVAC Pump",VLOOKUP(K11,'Lookup Table'!$K$240:$W$242,13,FALSE),"")),"")</f>
        <v/>
      </c>
      <c r="R11" s="271" t="str">
        <f>IFERROR(L11*0.746*I11*(H11/J11)*M11*(IF(D11="HVAC Fan",'Lookup Table'!$W$236,IF(D11="HVAC Pump",'Lookup Table'!$W$242,""))),"")</f>
        <v/>
      </c>
      <c r="S11" s="271" t="str">
        <f>IFERROR(L11*0.746*I11*H11/J11*IF(D11="HVAC Fan",VLOOKUP(K11,'Lookup Table'!$K$230:$U$236,11,FALSE),IF(D11="HVAC Pump",VLOOKUP(K11,'Lookup Table'!$K$240:$U$242,11,FALSE),"")),"")</f>
        <v/>
      </c>
      <c r="T11" s="271" t="str">
        <f>IFERROR(L11*0.746*I11*(H11/J11)*IF(D11="HVAC Fan",'Lookup Table'!$U$236,IF(D11="HVAC Pump",'Lookup Table'!$U$242,"")),"")</f>
        <v/>
      </c>
      <c r="U11" s="278" t="str">
        <f t="shared" si="2"/>
        <v/>
      </c>
      <c r="V11" s="277" t="str">
        <f t="shared" si="3"/>
        <v/>
      </c>
      <c r="W11" s="273" t="str">
        <f t="shared" si="4"/>
        <v/>
      </c>
      <c r="X11" s="279" t="str">
        <f>IFERROR('Project Summary'!$F$21*(VFDs!W11/'Project Summary'!$E$21),"")</f>
        <v/>
      </c>
    </row>
    <row r="12" spans="1:24" s="203" customFormat="1" ht="21.75" customHeight="1">
      <c r="B12" s="221">
        <v>5</v>
      </c>
      <c r="C12" s="290"/>
      <c r="D12" s="444"/>
      <c r="E12" s="267" t="str">
        <f t="shared" si="0"/>
        <v/>
      </c>
      <c r="F12" s="267" t="str">
        <f t="shared" si="1"/>
        <v/>
      </c>
      <c r="G12" s="121"/>
      <c r="H12" s="275">
        <v>0.75</v>
      </c>
      <c r="I12" s="243"/>
      <c r="J12" s="257"/>
      <c r="K12" s="293"/>
      <c r="L12" s="295"/>
      <c r="M12" s="276">
        <f>IFERROR('Lookup Table'!H251,0)</f>
        <v>0</v>
      </c>
      <c r="N12" s="277">
        <f>IFERROR('Lookup Table'!I251,0)</f>
        <v>0</v>
      </c>
      <c r="O12" s="299"/>
      <c r="P12" s="300"/>
      <c r="Q12" s="271" t="str">
        <f>IFERROR(L12*0.746*I12*(H12/J12)*M12*IF(D12="HVAC Fan",VLOOKUP(K12,'Lookup Table'!$K$230:$W$236,13,FALSE),IF(D12="HVAC Pump",VLOOKUP(K12,'Lookup Table'!$K$240:$W$242,13,FALSE),"")),"")</f>
        <v/>
      </c>
      <c r="R12" s="271" t="str">
        <f>IFERROR(L12*0.746*I12*(H12/J12)*M12*(IF(D12="HVAC Fan",'Lookup Table'!$W$236,IF(D12="HVAC Pump",'Lookup Table'!$W$242,""))),"")</f>
        <v/>
      </c>
      <c r="S12" s="271" t="str">
        <f>IFERROR(L12*0.746*I12*H12/J12*IF(D12="HVAC Fan",VLOOKUP(K12,'Lookup Table'!$K$230:$U$236,11,FALSE),IF(D12="HVAC Pump",VLOOKUP(K12,'Lookup Table'!$K$240:$U$242,11,FALSE),"")),"")</f>
        <v/>
      </c>
      <c r="T12" s="271" t="str">
        <f>IFERROR(L12*0.746*I12*(H12/J12)*IF(D12="HVAC Fan",'Lookup Table'!$U$236,IF(D12="HVAC Pump",'Lookup Table'!$U$242,"")),"")</f>
        <v/>
      </c>
      <c r="U12" s="278" t="str">
        <f t="shared" si="2"/>
        <v/>
      </c>
      <c r="V12" s="277" t="str">
        <f t="shared" si="3"/>
        <v/>
      </c>
      <c r="W12" s="273" t="str">
        <f t="shared" si="4"/>
        <v/>
      </c>
      <c r="X12" s="279" t="str">
        <f>IFERROR('Project Summary'!$F$21*(VFDs!W12/'Project Summary'!$E$21),"")</f>
        <v/>
      </c>
    </row>
    <row r="13" spans="1:24" s="203" customFormat="1" ht="21.75" customHeight="1">
      <c r="B13" s="221">
        <v>6</v>
      </c>
      <c r="C13" s="290"/>
      <c r="D13" s="444"/>
      <c r="E13" s="267" t="str">
        <f t="shared" si="0"/>
        <v/>
      </c>
      <c r="F13" s="267" t="str">
        <f t="shared" si="1"/>
        <v/>
      </c>
      <c r="G13" s="121"/>
      <c r="H13" s="275">
        <v>0.75</v>
      </c>
      <c r="I13" s="243"/>
      <c r="J13" s="257"/>
      <c r="K13" s="293"/>
      <c r="L13" s="295"/>
      <c r="M13" s="276">
        <f>IFERROR('Lookup Table'!H252,0)</f>
        <v>0</v>
      </c>
      <c r="N13" s="277">
        <f>IFERROR('Lookup Table'!I252,0)</f>
        <v>0</v>
      </c>
      <c r="O13" s="299"/>
      <c r="P13" s="300"/>
      <c r="Q13" s="271" t="str">
        <f>IFERROR(L13*0.746*I13*(H13/J13)*M13*IF(D13="HVAC Fan",VLOOKUP(K13,'Lookup Table'!$K$230:$W$236,13,FALSE),IF(D13="HVAC Pump",VLOOKUP(K13,'Lookup Table'!$K$240:$W$242,13,FALSE),"")),"")</f>
        <v/>
      </c>
      <c r="R13" s="271" t="str">
        <f>IFERROR(L13*0.746*I13*(H13/J13)*M13*(IF(D13="HVAC Fan",'Lookup Table'!$W$236,IF(D13="HVAC Pump",'Lookup Table'!$W$242,""))),"")</f>
        <v/>
      </c>
      <c r="S13" s="271" t="str">
        <f>IFERROR(L13*0.746*I13*H13/J13*IF(D13="HVAC Fan",VLOOKUP(K13,'Lookup Table'!$K$230:$U$236,11,FALSE),IF(D13="HVAC Pump",VLOOKUP(K13,'Lookup Table'!$K$240:$U$242,11,FALSE),"")),"")</f>
        <v/>
      </c>
      <c r="T13" s="271" t="str">
        <f>IFERROR(L13*0.746*I13*(H13/J13)*IF(D13="HVAC Fan",'Lookup Table'!$U$236,IF(D13="HVAC Pump",'Lookup Table'!$U$242,"")),"")</f>
        <v/>
      </c>
      <c r="U13" s="278" t="str">
        <f t="shared" si="2"/>
        <v/>
      </c>
      <c r="V13" s="277" t="str">
        <f t="shared" si="3"/>
        <v/>
      </c>
      <c r="W13" s="273" t="str">
        <f t="shared" si="4"/>
        <v/>
      </c>
      <c r="X13" s="279" t="str">
        <f>IFERROR('Project Summary'!$F$21*(VFDs!W13/'Project Summary'!$E$21),"")</f>
        <v/>
      </c>
    </row>
    <row r="14" spans="1:24" s="203" customFormat="1" ht="21.75" customHeight="1">
      <c r="B14" s="221">
        <v>7</v>
      </c>
      <c r="C14" s="290"/>
      <c r="D14" s="444"/>
      <c r="E14" s="267" t="str">
        <f t="shared" si="0"/>
        <v/>
      </c>
      <c r="F14" s="267" t="str">
        <f t="shared" si="1"/>
        <v/>
      </c>
      <c r="G14" s="121"/>
      <c r="H14" s="275">
        <v>0.75</v>
      </c>
      <c r="I14" s="243"/>
      <c r="J14" s="257"/>
      <c r="K14" s="293"/>
      <c r="L14" s="295"/>
      <c r="M14" s="276">
        <f>IFERROR('Lookup Table'!H253,0)</f>
        <v>0</v>
      </c>
      <c r="N14" s="277">
        <f>IFERROR('Lookup Table'!I253,0)</f>
        <v>0</v>
      </c>
      <c r="O14" s="299"/>
      <c r="P14" s="300"/>
      <c r="Q14" s="271" t="str">
        <f>IFERROR(L14*0.746*I14*(H14/J14)*M14*IF(D14="HVAC Fan",VLOOKUP(K14,'Lookup Table'!$K$230:$W$236,13,FALSE),IF(D14="HVAC Pump",VLOOKUP(K14,'Lookup Table'!$K$240:$W$242,13,FALSE),"")),"")</f>
        <v/>
      </c>
      <c r="R14" s="271" t="str">
        <f>IFERROR(L14*0.746*I14*(H14/J14)*M14*(IF(D14="HVAC Fan",'Lookup Table'!$W$236,IF(D14="HVAC Pump",'Lookup Table'!$W$242,""))),"")</f>
        <v/>
      </c>
      <c r="S14" s="271" t="str">
        <f>IFERROR(L14*0.746*I14*H14/J14*IF(D14="HVAC Fan",VLOOKUP(K14,'Lookup Table'!$K$230:$U$236,11,FALSE),IF(D14="HVAC Pump",VLOOKUP(K14,'Lookup Table'!$K$240:$U$242,11,FALSE),"")),"")</f>
        <v/>
      </c>
      <c r="T14" s="271" t="str">
        <f>IFERROR(L14*0.746*I14*(H14/J14)*IF(D14="HVAC Fan",'Lookup Table'!$U$236,IF(D14="HVAC Pump",'Lookup Table'!$U$242,"")),"")</f>
        <v/>
      </c>
      <c r="U14" s="278" t="str">
        <f t="shared" si="2"/>
        <v/>
      </c>
      <c r="V14" s="277" t="str">
        <f t="shared" si="3"/>
        <v/>
      </c>
      <c r="W14" s="273" t="str">
        <f t="shared" si="4"/>
        <v/>
      </c>
      <c r="X14" s="279" t="str">
        <f>IFERROR('Project Summary'!$F$21*(VFDs!W14/'Project Summary'!$E$21),"")</f>
        <v/>
      </c>
    </row>
    <row r="15" spans="1:24" s="203" customFormat="1" ht="21.75" customHeight="1">
      <c r="B15" s="221">
        <v>8</v>
      </c>
      <c r="C15" s="290"/>
      <c r="D15" s="444"/>
      <c r="E15" s="267" t="str">
        <f t="shared" si="0"/>
        <v/>
      </c>
      <c r="F15" s="267" t="str">
        <f t="shared" si="1"/>
        <v/>
      </c>
      <c r="G15" s="121"/>
      <c r="H15" s="275">
        <v>0.75</v>
      </c>
      <c r="I15" s="243"/>
      <c r="J15" s="257"/>
      <c r="K15" s="293"/>
      <c r="L15" s="295"/>
      <c r="M15" s="276">
        <f>IFERROR('Lookup Table'!H254,0)</f>
        <v>0</v>
      </c>
      <c r="N15" s="277">
        <f>IFERROR('Lookup Table'!I254,0)</f>
        <v>0</v>
      </c>
      <c r="O15" s="299"/>
      <c r="P15" s="300"/>
      <c r="Q15" s="271" t="str">
        <f>IFERROR(L15*0.746*I15*(H15/J15)*M15*IF(D15="HVAC Fan",VLOOKUP(K15,'Lookup Table'!$K$230:$W$236,13,FALSE),IF(D15="HVAC Pump",VLOOKUP(K15,'Lookup Table'!$K$240:$W$242,13,FALSE),"")),"")</f>
        <v/>
      </c>
      <c r="R15" s="271" t="str">
        <f>IFERROR(L15*0.746*I15*(H15/J15)*M15*(IF(D15="HVAC Fan",'Lookup Table'!$W$236,IF(D15="HVAC Pump",'Lookup Table'!$W$242,""))),"")</f>
        <v/>
      </c>
      <c r="S15" s="271" t="str">
        <f>IFERROR(L15*0.746*I15*H15/J15*IF(D15="HVAC Fan",VLOOKUP(K15,'Lookup Table'!$K$230:$U$236,11,FALSE),IF(D15="HVAC Pump",VLOOKUP(K15,'Lookup Table'!$K$240:$U$242,11,FALSE),"")),"")</f>
        <v/>
      </c>
      <c r="T15" s="271" t="str">
        <f>IFERROR(L15*0.746*I15*(H15/J15)*IF(D15="HVAC Fan",'Lookup Table'!$U$236,IF(D15="HVAC Pump",'Lookup Table'!$U$242,"")),"")</f>
        <v/>
      </c>
      <c r="U15" s="278" t="str">
        <f t="shared" si="2"/>
        <v/>
      </c>
      <c r="V15" s="277" t="str">
        <f t="shared" si="3"/>
        <v/>
      </c>
      <c r="W15" s="273" t="str">
        <f t="shared" si="4"/>
        <v/>
      </c>
      <c r="X15" s="279" t="str">
        <f>IFERROR('Project Summary'!$F$21*(VFDs!W15/'Project Summary'!$E$21),"")</f>
        <v/>
      </c>
    </row>
    <row r="16" spans="1:24" s="203" customFormat="1" ht="21.75" customHeight="1">
      <c r="B16" s="221">
        <v>9</v>
      </c>
      <c r="C16" s="290"/>
      <c r="D16" s="444"/>
      <c r="E16" s="267" t="str">
        <f t="shared" si="0"/>
        <v/>
      </c>
      <c r="F16" s="267" t="str">
        <f t="shared" si="1"/>
        <v/>
      </c>
      <c r="G16" s="121"/>
      <c r="H16" s="275">
        <v>0.75</v>
      </c>
      <c r="I16" s="244"/>
      <c r="J16" s="257"/>
      <c r="K16" s="293"/>
      <c r="L16" s="295"/>
      <c r="M16" s="276">
        <f>IFERROR('Lookup Table'!H255,0)</f>
        <v>0</v>
      </c>
      <c r="N16" s="277">
        <f>IFERROR('Lookup Table'!I255,0)</f>
        <v>0</v>
      </c>
      <c r="O16" s="299"/>
      <c r="P16" s="300"/>
      <c r="Q16" s="271" t="str">
        <f>IFERROR(L16*0.746*I16*(H16/J16)*M16*IF(D16="HVAC Fan",VLOOKUP(K16,'Lookup Table'!$K$230:$W$236,13,FALSE),IF(D16="HVAC Pump",VLOOKUP(K16,'Lookup Table'!$K$240:$W$242,13,FALSE),"")),"")</f>
        <v/>
      </c>
      <c r="R16" s="271" t="str">
        <f>IFERROR(L16*0.746*I16*(H16/J16)*M16*(IF(D16="HVAC Fan",'Lookup Table'!$W$236,IF(D16="HVAC Pump",'Lookup Table'!$W$242,""))),"")</f>
        <v/>
      </c>
      <c r="S16" s="271" t="str">
        <f>IFERROR(L16*0.746*I16*H16/J16*IF(D16="HVAC Fan",VLOOKUP(K16,'Lookup Table'!$K$230:$U$236,11,FALSE),IF(D16="HVAC Pump",VLOOKUP(K16,'Lookup Table'!$K$240:$U$242,11,FALSE),"")),"")</f>
        <v/>
      </c>
      <c r="T16" s="271" t="str">
        <f>IFERROR(L16*0.746*I16*(H16/J16)*IF(D16="HVAC Fan",'Lookup Table'!$U$236,IF(D16="HVAC Pump",'Lookup Table'!$U$242,"")),"")</f>
        <v/>
      </c>
      <c r="U16" s="278" t="str">
        <f t="shared" si="2"/>
        <v/>
      </c>
      <c r="V16" s="277" t="str">
        <f t="shared" si="3"/>
        <v/>
      </c>
      <c r="W16" s="273" t="str">
        <f t="shared" si="4"/>
        <v/>
      </c>
      <c r="X16" s="279" t="str">
        <f>IFERROR('Project Summary'!$F$21*(VFDs!W16/'Project Summary'!$E$21),"")</f>
        <v/>
      </c>
    </row>
    <row r="17" spans="2:24" s="203" customFormat="1" ht="21.75" customHeight="1" thickBot="1">
      <c r="B17" s="230">
        <v>10</v>
      </c>
      <c r="C17" s="291"/>
      <c r="D17" s="443"/>
      <c r="E17" s="280" t="str">
        <f t="shared" si="0"/>
        <v/>
      </c>
      <c r="F17" s="280" t="str">
        <f t="shared" si="1"/>
        <v/>
      </c>
      <c r="G17" s="292"/>
      <c r="H17" s="281">
        <v>0.75</v>
      </c>
      <c r="I17" s="246"/>
      <c r="J17" s="258"/>
      <c r="K17" s="296"/>
      <c r="L17" s="297"/>
      <c r="M17" s="282">
        <f>IFERROR('Lookup Table'!H256,0)</f>
        <v>0</v>
      </c>
      <c r="N17" s="283">
        <f>IFERROR('Lookup Table'!I256,0)</f>
        <v>0</v>
      </c>
      <c r="O17" s="301"/>
      <c r="P17" s="302"/>
      <c r="Q17" s="284" t="str">
        <f>IFERROR(L17*0.746*I17*(H17/J17)*M17*IF(D17="HVAC Fan",VLOOKUP(K17,'Lookup Table'!$K$230:$W$236,13,FALSE),IF(D17="HVAC Pump",VLOOKUP(K17,'Lookup Table'!$K$240:$W$242,13,FALSE),"")),"")</f>
        <v/>
      </c>
      <c r="R17" s="284" t="str">
        <f>IFERROR(L17*0.746*I17*(H17/J17)*M17*(IF(D17="HVAC Fan",'Lookup Table'!$W$236,IF(D17="HVAC Pump",'Lookup Table'!$W$242,""))),"")</f>
        <v/>
      </c>
      <c r="S17" s="284" t="str">
        <f>IFERROR(L17*0.746*I17*H17/J17*IF(D17="HVAC Fan",VLOOKUP(K17,'Lookup Table'!$K$230:$U$236,11,FALSE),IF(D17="HVAC Pump",VLOOKUP(K17,'Lookup Table'!$K$240:$U$242,11,FALSE),"")),"")</f>
        <v/>
      </c>
      <c r="T17" s="284" t="str">
        <f>IFERROR(L17*0.746*I17*(H17/J17)*IF(D17="HVAC Fan",'Lookup Table'!$U$236,IF(D17="HVAC Pump",'Lookup Table'!$U$242,"")),"")</f>
        <v/>
      </c>
      <c r="U17" s="285" t="str">
        <f t="shared" si="2"/>
        <v/>
      </c>
      <c r="V17" s="283" t="str">
        <f t="shared" si="3"/>
        <v/>
      </c>
      <c r="W17" s="273" t="str">
        <f t="shared" si="4"/>
        <v/>
      </c>
      <c r="X17" s="286" t="str">
        <f>IFERROR('Project Summary'!$F$21*(VFDs!W17/'Project Summary'!$E$21),"")</f>
        <v/>
      </c>
    </row>
    <row r="18" spans="2:24" s="203" customFormat="1" ht="22.15" customHeight="1">
      <c r="B18" s="287"/>
      <c r="C18" s="287"/>
      <c r="D18" s="287"/>
      <c r="E18" s="287"/>
      <c r="F18" s="287"/>
      <c r="G18" s="287"/>
      <c r="H18" s="241"/>
    </row>
    <row r="19" spans="2:24" s="203" customFormat="1" ht="22.15" customHeight="1">
      <c r="B19" s="287"/>
      <c r="C19" s="287"/>
      <c r="D19" s="287"/>
      <c r="E19" s="287"/>
      <c r="F19" s="287"/>
      <c r="G19" s="287"/>
      <c r="H19" s="241"/>
    </row>
    <row r="20" spans="2:24" s="201" customFormat="1" ht="9" customHeight="1"/>
    <row r="21" spans="2:24">
      <c r="B21" s="242"/>
    </row>
  </sheetData>
  <sheetProtection algorithmName="SHA-512" hashValue="cC+I4C+s4F7cnRBqddRMy6Jbt7wQNVO+++eKc3Og6VLFaAPmu1qAoX5jk4cz1QNI1HzWL7XttIXSEz2w1BG7Ag==" saltValue="nY1aev7X/zt7KuV0fvlF5g==" spinCount="100000" sheet="1" formatColumns="0"/>
  <mergeCells count="7">
    <mergeCell ref="X6:X7"/>
    <mergeCell ref="Q6:V6"/>
    <mergeCell ref="O6:P6"/>
    <mergeCell ref="B3:N3"/>
    <mergeCell ref="B4:N4"/>
    <mergeCell ref="K6:N6"/>
    <mergeCell ref="C6:J6"/>
  </mergeCells>
  <dataValidations count="2">
    <dataValidation type="list" allowBlank="1" showInputMessage="1" showErrorMessage="1" sqref="K8:K17" xr:uid="{5EC97D5D-902E-430A-A5AD-3D814C861141}">
      <formula1>INDIRECT(F8)</formula1>
    </dataValidation>
    <dataValidation type="list" allowBlank="1" showInputMessage="1" showErrorMessage="1" sqref="G8:G17" xr:uid="{5B4692AA-3C11-45F5-96B1-5AB0FA397B18}">
      <formula1>INDIRECT(E8)</formula1>
    </dataValidation>
  </dataValidations>
  <pageMargins left="0.5" right="0.5" top="0.5" bottom="0.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CB66FB4-F9DB-45C9-9E1C-754EE1F43BB6}">
          <x14:formula1>
            <xm:f>'Lookup Table'!$K$225:$K$226</xm:f>
          </x14:formula1>
          <xm:sqref>D8:D17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00D36-7176-4DBF-9F5B-17D6EC94042A}">
  <sheetPr>
    <tabColor theme="8" tint="0.59999389629810485"/>
  </sheetPr>
  <dimension ref="A1:AD25"/>
  <sheetViews>
    <sheetView zoomScale="80" zoomScaleNormal="80" workbookViewId="0">
      <selection activeCell="C8" sqref="C8"/>
    </sheetView>
  </sheetViews>
  <sheetFormatPr defaultColWidth="8.75" defaultRowHeight="14.25"/>
  <cols>
    <col min="1" max="1" width="3.625" style="201" customWidth="1"/>
    <col min="2" max="2" width="6.375" style="200" customWidth="1"/>
    <col min="3" max="5" width="18.125" style="200" customWidth="1"/>
    <col min="6" max="6" width="15.625" style="200" customWidth="1"/>
    <col min="7" max="7" width="10.875" style="201" customWidth="1"/>
    <col min="8" max="8" width="9.625" style="200" customWidth="1"/>
    <col min="9" max="9" width="28.375" style="200" bestFit="1" customWidth="1"/>
    <col min="10" max="10" width="17.375" style="200" hidden="1" customWidth="1"/>
    <col min="11" max="11" width="17.375" style="200" customWidth="1"/>
    <col min="12" max="12" width="8.75" style="200" hidden="1" customWidth="1"/>
    <col min="13" max="13" width="13" style="200" hidden="1" customWidth="1"/>
    <col min="14" max="24" width="8.75" style="200" hidden="1" customWidth="1"/>
    <col min="25" max="25" width="9.125" style="200" hidden="1" customWidth="1"/>
    <col min="26" max="26" width="8.75" style="200" hidden="1" customWidth="1"/>
    <col min="27" max="28" width="8.75" style="200"/>
    <col min="29" max="29" width="8.75" style="200" hidden="1" customWidth="1"/>
    <col min="30" max="30" width="8.75" style="200" customWidth="1"/>
    <col min="31" max="16384" width="8.75" style="200"/>
  </cols>
  <sheetData>
    <row r="1" spans="1:30">
      <c r="A1" s="199"/>
      <c r="J1" s="200" t="s">
        <v>100</v>
      </c>
      <c r="L1" s="200" t="s">
        <v>100</v>
      </c>
      <c r="M1" s="200" t="s">
        <v>100</v>
      </c>
      <c r="N1" s="200" t="s">
        <v>100</v>
      </c>
      <c r="O1" s="200" t="s">
        <v>100</v>
      </c>
      <c r="P1" s="200" t="s">
        <v>100</v>
      </c>
      <c r="Q1" s="200" t="s">
        <v>100</v>
      </c>
      <c r="R1" s="200" t="s">
        <v>100</v>
      </c>
      <c r="S1" s="200" t="s">
        <v>100</v>
      </c>
      <c r="T1" s="200" t="s">
        <v>100</v>
      </c>
      <c r="U1" s="200" t="s">
        <v>100</v>
      </c>
      <c r="V1" s="200" t="s">
        <v>100</v>
      </c>
      <c r="W1" s="200" t="s">
        <v>100</v>
      </c>
      <c r="X1" s="200" t="s">
        <v>100</v>
      </c>
      <c r="Y1" s="200" t="s">
        <v>100</v>
      </c>
      <c r="Z1" s="200" t="s">
        <v>100</v>
      </c>
      <c r="AC1" s="200" t="s">
        <v>100</v>
      </c>
    </row>
    <row r="2" spans="1:30" s="201" customFormat="1" ht="9.75" customHeight="1"/>
    <row r="3" spans="1:30" ht="34.5" customHeight="1">
      <c r="A3" s="200"/>
      <c r="B3" s="464" t="s">
        <v>125</v>
      </c>
      <c r="C3" s="464"/>
      <c r="D3" s="464"/>
      <c r="E3" s="464"/>
      <c r="F3" s="464"/>
      <c r="G3" s="464"/>
      <c r="H3" s="464"/>
    </row>
    <row r="4" spans="1:30" ht="28.9" customHeight="1">
      <c r="A4" s="200"/>
      <c r="B4" s="491" t="s">
        <v>90</v>
      </c>
      <c r="C4" s="491"/>
      <c r="D4" s="491"/>
      <c r="E4" s="491"/>
      <c r="F4" s="491"/>
      <c r="G4" s="491"/>
      <c r="H4" s="491"/>
    </row>
    <row r="5" spans="1:30" ht="9" customHeight="1" thickBot="1">
      <c r="A5" s="200"/>
      <c r="B5" s="202"/>
      <c r="C5" s="202"/>
      <c r="D5" s="202"/>
      <c r="E5" s="202"/>
      <c r="F5" s="201"/>
    </row>
    <row r="6" spans="1:30" s="203" customFormat="1" ht="21.75" customHeight="1" thickBot="1">
      <c r="B6" s="303"/>
      <c r="C6" s="303" t="s">
        <v>126</v>
      </c>
      <c r="D6" s="304"/>
      <c r="E6" s="304"/>
      <c r="F6" s="492" t="s">
        <v>127</v>
      </c>
      <c r="G6" s="493"/>
      <c r="H6" s="493"/>
      <c r="I6" s="493"/>
      <c r="J6" s="493"/>
      <c r="K6" s="493"/>
      <c r="L6" s="494"/>
      <c r="M6" s="488" t="s">
        <v>128</v>
      </c>
      <c r="N6" s="489"/>
      <c r="O6" s="488" t="s">
        <v>104</v>
      </c>
      <c r="P6" s="490"/>
      <c r="Q6" s="490"/>
      <c r="R6" s="490"/>
      <c r="S6" s="490"/>
      <c r="T6" s="490"/>
      <c r="U6" s="490"/>
      <c r="V6" s="490"/>
      <c r="W6" s="490"/>
      <c r="X6" s="490"/>
      <c r="Y6" s="490"/>
      <c r="Z6" s="490"/>
      <c r="AA6" s="490"/>
      <c r="AB6" s="489"/>
      <c r="AC6" s="305"/>
      <c r="AD6" s="486" t="s">
        <v>105</v>
      </c>
    </row>
    <row r="7" spans="1:30" s="260" customFormat="1" ht="60.75" thickBot="1">
      <c r="B7" s="306" t="s">
        <v>106</v>
      </c>
      <c r="C7" s="207" t="s">
        <v>129</v>
      </c>
      <c r="D7" s="307" t="s">
        <v>110</v>
      </c>
      <c r="E7" s="266" t="s">
        <v>130</v>
      </c>
      <c r="F7" s="207" t="s">
        <v>59</v>
      </c>
      <c r="G7" s="208" t="s">
        <v>131</v>
      </c>
      <c r="H7" s="208" t="s">
        <v>120</v>
      </c>
      <c r="I7" s="208" t="s">
        <v>63</v>
      </c>
      <c r="J7" s="209" t="s">
        <v>132</v>
      </c>
      <c r="K7" s="265" t="s">
        <v>133</v>
      </c>
      <c r="L7" s="209" t="s">
        <v>134</v>
      </c>
      <c r="M7" s="207" t="s">
        <v>119</v>
      </c>
      <c r="N7" s="209" t="s">
        <v>134</v>
      </c>
      <c r="O7" s="308" t="s">
        <v>135</v>
      </c>
      <c r="P7" s="309" t="s">
        <v>136</v>
      </c>
      <c r="Q7" s="309" t="s">
        <v>137</v>
      </c>
      <c r="R7" s="309" t="s">
        <v>138</v>
      </c>
      <c r="S7" s="309" t="s">
        <v>139</v>
      </c>
      <c r="T7" s="309" t="s">
        <v>140</v>
      </c>
      <c r="U7" s="309" t="s">
        <v>141</v>
      </c>
      <c r="V7" s="309" t="s">
        <v>142</v>
      </c>
      <c r="W7" s="309" t="s">
        <v>143</v>
      </c>
      <c r="X7" s="309" t="s">
        <v>144</v>
      </c>
      <c r="Y7" s="309" t="s">
        <v>145</v>
      </c>
      <c r="Z7" s="309" t="s">
        <v>146</v>
      </c>
      <c r="AA7" s="309" t="s">
        <v>147</v>
      </c>
      <c r="AB7" s="310" t="s">
        <v>69</v>
      </c>
      <c r="AC7" s="210" t="s">
        <v>93</v>
      </c>
      <c r="AD7" s="487"/>
    </row>
    <row r="8" spans="1:30" s="203" customFormat="1" ht="21.75" customHeight="1">
      <c r="B8" s="311">
        <v>1</v>
      </c>
      <c r="C8" s="339"/>
      <c r="D8" s="340"/>
      <c r="E8" s="341"/>
      <c r="F8" s="339"/>
      <c r="G8" s="342"/>
      <c r="H8" s="342"/>
      <c r="I8" s="342"/>
      <c r="J8" s="312" t="str">
        <f>IFERROR(VLOOKUP(F8,'Lookup Table'!O275:P278,2,FALSE),"")</f>
        <v/>
      </c>
      <c r="K8" s="351"/>
      <c r="L8" s="313">
        <f t="shared" ref="L8:L17" si="0">IFERROR(746*G8/J8,0)</f>
        <v>0</v>
      </c>
      <c r="M8" s="314" t="s">
        <v>148</v>
      </c>
      <c r="N8" s="312">
        <f>IFERROR(746*G8/'Lookup Table'!$P$278,0)</f>
        <v>0</v>
      </c>
      <c r="O8" s="315">
        <v>0.9</v>
      </c>
      <c r="P8" s="316">
        <f>IFERROR(INDEX('Lookup Table'!$C$260:$K$273,MATCH('Project Summary'!$C$12,'Lookup Table'!$B$260:$B$273,0),MATCH('Project Summary'!$C$11,'Lookup Table'!$C$259:$K$259,0)),0)</f>
        <v>0</v>
      </c>
      <c r="Q8" s="316">
        <f>IFERROR(INDEX('Lookup Table'!$N$260:$V$273,MATCH('Project Summary'!$C$12,'Lookup Table'!$M$260:$M$273,0),MATCH('Project Summary'!$C$11,'Lookup Table'!$N$259:$V$259,0)),0)</f>
        <v>0</v>
      </c>
      <c r="R8" s="317">
        <v>0.26200000000000001</v>
      </c>
      <c r="S8" s="318">
        <v>0.3</v>
      </c>
      <c r="T8" s="316">
        <f>IFERROR(INDEX('Lookup Table'!$C$277:$K$290,MATCH('Project Summary'!$C$12,'Lookup Table'!$B$277:$B$290,0),MATCH('Project Summary'!$C$11,'Lookup Table'!$C$276:$K$276,0)),0)</f>
        <v>0</v>
      </c>
      <c r="U8" s="319">
        <f>IFERROR(H8*(L8-N8)/1000*O8*P8,"")</f>
        <v>0</v>
      </c>
      <c r="V8" s="316">
        <v>0</v>
      </c>
      <c r="W8" s="319">
        <f>IFERROR(H8*(L8-N8)/1000*O8*Q8*(1+R8),"")</f>
        <v>0</v>
      </c>
      <c r="X8" s="318">
        <f>IFERROR(H8*(L8-N8)/1000*O8*T8*(1+S8),"")</f>
        <v>0</v>
      </c>
      <c r="Y8" s="318">
        <f>IFERROR(H8*(L8-N8)/1000*O8*K8,"")</f>
        <v>0</v>
      </c>
      <c r="Z8" s="318">
        <v>0</v>
      </c>
      <c r="AA8" s="319" t="str">
        <f>IFERROR(ROUND(IF(I8='Lookup Table'!$M$276,'ECM Fan'!U8,IF(I8='Lookup Table'!$M$277,'ECM Fan'!W8,IF(I8='Lookup Table'!$M$278,'ECM Fan'!Y8,IF(I8='Lookup Table'!$M$279,'ECM Fan'!U8+'ECM Fan'!W8,IF(I8='Lookup Table'!$M$280,'ECM Fan'!U8+'ECM Fan'!Y8,IF(I8='Lookup Table'!$M$281,'ECM Fan'!W8+'ECM Fan'!Y8,IF(I8='Lookup Table'!$M$282,'ECM Fan'!U8+'ECM Fan'!W8+'ECM Fan'!Y8,""))))))),2),"")</f>
        <v/>
      </c>
      <c r="AB8" s="320" t="str">
        <f>IFERROR(IF(I8='Lookup Table'!$M$276,'ECM Fan'!V8,IF(I8='Lookup Table'!$M$277,'ECM Fan'!X8,IF(I8='Lookup Table'!$M$278,'ECM Fan'!Z8,IF(I8='Lookup Table'!$M$279,'ECM Fan'!V8+'ECM Fan'!X8,IF(I8='Lookup Table'!$M$280,'ECM Fan'!V8+'ECM Fan'!Z8,IF(I8='Lookup Table'!$M$281,'ECM Fan'!X8+'ECM Fan'!Z8,IF(I8='Lookup Table'!$M$282,'ECM Fan'!V8+'ECM Fan'!X8+'ECM Fan'!Z8,""))))))),"")</f>
        <v/>
      </c>
      <c r="AC8" s="321" t="str">
        <f>IFERROR(ROUND(AA8*0.02+AB8*200,2),"")</f>
        <v/>
      </c>
      <c r="AD8" s="274" t="str">
        <f>IFERROR('Project Summary'!$F$21*('ECM Fan'!AC8/'Project Summary'!$E$21),"")</f>
        <v/>
      </c>
    </row>
    <row r="9" spans="1:30" s="203" customFormat="1" ht="21.75" customHeight="1">
      <c r="B9" s="322">
        <v>2</v>
      </c>
      <c r="C9" s="343"/>
      <c r="D9" s="344"/>
      <c r="E9" s="345"/>
      <c r="F9" s="343"/>
      <c r="G9" s="346"/>
      <c r="H9" s="346"/>
      <c r="I9" s="346"/>
      <c r="J9" s="323" t="str">
        <f>IFERROR(VLOOKUP(F9,'Lookup Table'!O276:P279,2,FALSE),"")</f>
        <v/>
      </c>
      <c r="K9" s="352"/>
      <c r="L9" s="324">
        <f t="shared" si="0"/>
        <v>0</v>
      </c>
      <c r="M9" s="325" t="s">
        <v>148</v>
      </c>
      <c r="N9" s="323">
        <f>IFERROR(746*G9/'Lookup Table'!$P$278,0)</f>
        <v>0</v>
      </c>
      <c r="O9" s="325">
        <v>0.9</v>
      </c>
      <c r="P9" s="275">
        <f>IFERROR(INDEX('Lookup Table'!$C$260:$K$273,MATCH('Project Summary'!$C$12,'Lookup Table'!$B$260:$B$273,0),MATCH('Project Summary'!$C$11,'Lookup Table'!$C$259:$K$259,0)),0)</f>
        <v>0</v>
      </c>
      <c r="Q9" s="275">
        <f>IFERROR(INDEX('Lookup Table'!$N$260:$V$273,MATCH('Project Summary'!$C$12,'Lookup Table'!$M$260:$M$273,0),MATCH('Project Summary'!$C$11,'Lookup Table'!$N$259:$V$259,0)),0)</f>
        <v>0</v>
      </c>
      <c r="R9" s="326">
        <v>0.26200000000000001</v>
      </c>
      <c r="S9" s="327">
        <v>0.3</v>
      </c>
      <c r="T9" s="275">
        <f>IFERROR(INDEX('Lookup Table'!$C$277:$K$290,MATCH('Project Summary'!$C$12,'Lookup Table'!$B$277:$B$290,0),MATCH('Project Summary'!$C$11,'Lookup Table'!$C$276:$K$276,0)),0)</f>
        <v>0</v>
      </c>
      <c r="U9" s="328">
        <f t="shared" ref="U9:U17" si="1">IFERROR(H9*(L9-N9)/1000*O9*P9,"")</f>
        <v>0</v>
      </c>
      <c r="V9" s="275">
        <v>0</v>
      </c>
      <c r="W9" s="328">
        <f t="shared" ref="W9:W17" si="2">IFERROR(H9*(L9-N9)/1000*O9*Q9*(1+R9),"")</f>
        <v>0</v>
      </c>
      <c r="X9" s="327">
        <f t="shared" ref="X9:X17" si="3">IFERROR(H9*(L9-N9)/1000*O9*T9*(1+S9),"")</f>
        <v>0</v>
      </c>
      <c r="Y9" s="327">
        <f t="shared" ref="Y9:Y17" si="4">IFERROR(H9*(L9-N9)/1000*O9*K9,"")</f>
        <v>0</v>
      </c>
      <c r="Z9" s="327">
        <v>0</v>
      </c>
      <c r="AA9" s="328" t="str">
        <f>IFERROR(ROUND(IF(I9='Lookup Table'!$M$276,'ECM Fan'!U9,IF(I9='Lookup Table'!$M$277,'ECM Fan'!W9,IF(I9='Lookup Table'!$M$278,'ECM Fan'!Y9,IF(I9='Lookup Table'!$M$279,'ECM Fan'!U9+'ECM Fan'!W9,IF(I9='Lookup Table'!$M$280,'ECM Fan'!U9+'ECM Fan'!Y9,IF(I9='Lookup Table'!$M$281,'ECM Fan'!W9+'ECM Fan'!Y9,IF(I9='Lookup Table'!$M$282,'ECM Fan'!U9+'ECM Fan'!W9+'ECM Fan'!Y9,""))))))),2),"")</f>
        <v/>
      </c>
      <c r="AB9" s="329" t="str">
        <f>IFERROR(IF(I9='Lookup Table'!$M$276,'ECM Fan'!V9,IF(I9='Lookup Table'!$M$277,'ECM Fan'!X9,IF(I9='Lookup Table'!$M$278,'ECM Fan'!Z9,IF(I9='Lookup Table'!$M$279,'ECM Fan'!V9+'ECM Fan'!X9,IF(I9='Lookup Table'!$M$280,'ECM Fan'!V9+'ECM Fan'!Z9,IF(I9='Lookup Table'!$M$281,'ECM Fan'!X9+'ECM Fan'!Z9,IF(I9='Lookup Table'!$M$282,'ECM Fan'!V9+'ECM Fan'!X9+'ECM Fan'!Z9,""))))))),"")</f>
        <v/>
      </c>
      <c r="AC9" s="321" t="str">
        <f t="shared" ref="AC9:AC17" si="5">IFERROR(ROUND(AA9*0.02+AB9*200,2),"")</f>
        <v/>
      </c>
      <c r="AD9" s="279" t="str">
        <f>IFERROR('Project Summary'!$F$21*('ECM Fan'!AC9/'Project Summary'!$E$21),"")</f>
        <v/>
      </c>
    </row>
    <row r="10" spans="1:30" s="203" customFormat="1" ht="21.75" customHeight="1">
      <c r="B10" s="322">
        <v>3</v>
      </c>
      <c r="C10" s="343"/>
      <c r="D10" s="344"/>
      <c r="E10" s="345"/>
      <c r="F10" s="343"/>
      <c r="G10" s="346"/>
      <c r="H10" s="346"/>
      <c r="I10" s="346"/>
      <c r="J10" s="323" t="str">
        <f>IFERROR(VLOOKUP(F10,'Lookup Table'!O277:P280,2,FALSE),"")</f>
        <v/>
      </c>
      <c r="K10" s="352"/>
      <c r="L10" s="324">
        <f t="shared" si="0"/>
        <v>0</v>
      </c>
      <c r="M10" s="325" t="s">
        <v>148</v>
      </c>
      <c r="N10" s="323">
        <f>IFERROR(746*G10/'Lookup Table'!$P$278,0)</f>
        <v>0</v>
      </c>
      <c r="O10" s="325">
        <v>0.9</v>
      </c>
      <c r="P10" s="275">
        <f>IFERROR(INDEX('Lookup Table'!$C$260:$K$273,MATCH('Project Summary'!$C$12,'Lookup Table'!$B$260:$B$273,0),MATCH('Project Summary'!$C$11,'Lookup Table'!$C$259:$K$259,0)),0)</f>
        <v>0</v>
      </c>
      <c r="Q10" s="275">
        <f>IFERROR(INDEX('Lookup Table'!$N$260:$V$273,MATCH('Project Summary'!$C$12,'Lookup Table'!$M$260:$M$273,0),MATCH('Project Summary'!$C$11,'Lookup Table'!$N$259:$V$259,0)),0)</f>
        <v>0</v>
      </c>
      <c r="R10" s="326">
        <v>0.26200000000000001</v>
      </c>
      <c r="S10" s="327">
        <v>0.3</v>
      </c>
      <c r="T10" s="275">
        <f>IFERROR(INDEX('Lookup Table'!$C$277:$K$290,MATCH('Project Summary'!$C$12,'Lookup Table'!$B$277:$B$290,0),MATCH('Project Summary'!$C$11,'Lookup Table'!$C$276:$K$276,0)),0)</f>
        <v>0</v>
      </c>
      <c r="U10" s="328">
        <f t="shared" si="1"/>
        <v>0</v>
      </c>
      <c r="V10" s="275">
        <v>0</v>
      </c>
      <c r="W10" s="328">
        <f t="shared" si="2"/>
        <v>0</v>
      </c>
      <c r="X10" s="327">
        <f t="shared" si="3"/>
        <v>0</v>
      </c>
      <c r="Y10" s="327">
        <f t="shared" si="4"/>
        <v>0</v>
      </c>
      <c r="Z10" s="327">
        <v>0</v>
      </c>
      <c r="AA10" s="328" t="str">
        <f>IFERROR(ROUND(IF(I10='Lookup Table'!$M$276,'ECM Fan'!U10,IF(I10='Lookup Table'!$M$277,'ECM Fan'!W10,IF(I10='Lookup Table'!$M$278,'ECM Fan'!Y10,IF(I10='Lookup Table'!$M$279,'ECM Fan'!U10+'ECM Fan'!W10,IF(I10='Lookup Table'!$M$280,'ECM Fan'!U10+'ECM Fan'!Y10,IF(I10='Lookup Table'!$M$281,'ECM Fan'!W10+'ECM Fan'!Y10,IF(I10='Lookup Table'!$M$282,'ECM Fan'!U10+'ECM Fan'!W10+'ECM Fan'!Y10,""))))))),2),"")</f>
        <v/>
      </c>
      <c r="AB10" s="329" t="str">
        <f>IFERROR(IF(I10='Lookup Table'!$M$276,'ECM Fan'!V10,IF(I10='Lookup Table'!$M$277,'ECM Fan'!X10,IF(I10='Lookup Table'!$M$278,'ECM Fan'!Z10,IF(I10='Lookup Table'!$M$279,'ECM Fan'!V10+'ECM Fan'!X10,IF(I10='Lookup Table'!$M$280,'ECM Fan'!V10+'ECM Fan'!Z10,IF(I10='Lookup Table'!$M$281,'ECM Fan'!X10+'ECM Fan'!Z10,IF(I10='Lookup Table'!$M$282,'ECM Fan'!V10+'ECM Fan'!X10+'ECM Fan'!Z10,""))))))),"")</f>
        <v/>
      </c>
      <c r="AC10" s="321" t="str">
        <f t="shared" si="5"/>
        <v/>
      </c>
      <c r="AD10" s="279" t="str">
        <f>IFERROR('Project Summary'!$F$21*('ECM Fan'!AC10/'Project Summary'!$E$21),"")</f>
        <v/>
      </c>
    </row>
    <row r="11" spans="1:30" s="203" customFormat="1" ht="21.75" customHeight="1">
      <c r="B11" s="322">
        <v>4</v>
      </c>
      <c r="C11" s="343"/>
      <c r="D11" s="344"/>
      <c r="E11" s="345"/>
      <c r="F11" s="343"/>
      <c r="G11" s="346"/>
      <c r="H11" s="346"/>
      <c r="I11" s="346"/>
      <c r="J11" s="323" t="str">
        <f>IFERROR(VLOOKUP(F11,'Lookup Table'!O278:P281,2,FALSE),"")</f>
        <v/>
      </c>
      <c r="K11" s="352"/>
      <c r="L11" s="324">
        <f t="shared" si="0"/>
        <v>0</v>
      </c>
      <c r="M11" s="325" t="s">
        <v>148</v>
      </c>
      <c r="N11" s="323">
        <f>IFERROR(746*G11/'Lookup Table'!$P$278,0)</f>
        <v>0</v>
      </c>
      <c r="O11" s="325">
        <v>0.9</v>
      </c>
      <c r="P11" s="275">
        <f>IFERROR(INDEX('Lookup Table'!$C$260:$K$273,MATCH('Project Summary'!$C$12,'Lookup Table'!$B$260:$B$273,0),MATCH('Project Summary'!$C$11,'Lookup Table'!$C$259:$K$259,0)),0)</f>
        <v>0</v>
      </c>
      <c r="Q11" s="275">
        <f>IFERROR(INDEX('Lookup Table'!$N$260:$V$273,MATCH('Project Summary'!$C$12,'Lookup Table'!$M$260:$M$273,0),MATCH('Project Summary'!$C$11,'Lookup Table'!$N$259:$V$259,0)),0)</f>
        <v>0</v>
      </c>
      <c r="R11" s="326">
        <v>0.26200000000000001</v>
      </c>
      <c r="S11" s="327">
        <v>0.3</v>
      </c>
      <c r="T11" s="275">
        <f>IFERROR(INDEX('Lookup Table'!$C$277:$K$290,MATCH('Project Summary'!$C$12,'Lookup Table'!$B$277:$B$290,0),MATCH('Project Summary'!$C$11,'Lookup Table'!$C$276:$K$276,0)),0)</f>
        <v>0</v>
      </c>
      <c r="U11" s="328">
        <f t="shared" si="1"/>
        <v>0</v>
      </c>
      <c r="V11" s="275">
        <v>0</v>
      </c>
      <c r="W11" s="328">
        <f t="shared" si="2"/>
        <v>0</v>
      </c>
      <c r="X11" s="327">
        <f t="shared" si="3"/>
        <v>0</v>
      </c>
      <c r="Y11" s="327">
        <f t="shared" si="4"/>
        <v>0</v>
      </c>
      <c r="Z11" s="327">
        <v>0</v>
      </c>
      <c r="AA11" s="328" t="str">
        <f>IFERROR(ROUND(IF(I11='Lookup Table'!$M$276,'ECM Fan'!U11,IF(I11='Lookup Table'!$M$277,'ECM Fan'!W11,IF(I11='Lookup Table'!$M$278,'ECM Fan'!Y11,IF(I11='Lookup Table'!$M$279,'ECM Fan'!U11+'ECM Fan'!W11,IF(I11='Lookup Table'!$M$280,'ECM Fan'!U11+'ECM Fan'!Y11,IF(I11='Lookup Table'!$M$281,'ECM Fan'!W11+'ECM Fan'!Y11,IF(I11='Lookup Table'!$M$282,'ECM Fan'!U11+'ECM Fan'!W11+'ECM Fan'!Y11,""))))))),2),"")</f>
        <v/>
      </c>
      <c r="AB11" s="329" t="str">
        <f>IFERROR(IF(I11='Lookup Table'!$M$276,'ECM Fan'!V11,IF(I11='Lookup Table'!$M$277,'ECM Fan'!X11,IF(I11='Lookup Table'!$M$278,'ECM Fan'!Z11,IF(I11='Lookup Table'!$M$279,'ECM Fan'!V11+'ECM Fan'!X11,IF(I11='Lookup Table'!$M$280,'ECM Fan'!V11+'ECM Fan'!Z11,IF(I11='Lookup Table'!$M$281,'ECM Fan'!X11+'ECM Fan'!Z11,IF(I11='Lookup Table'!$M$282,'ECM Fan'!V11+'ECM Fan'!X11+'ECM Fan'!Z11,""))))))),"")</f>
        <v/>
      </c>
      <c r="AC11" s="321" t="str">
        <f t="shared" si="5"/>
        <v/>
      </c>
      <c r="AD11" s="279" t="str">
        <f>IFERROR('Project Summary'!$F$21*('ECM Fan'!AC11/'Project Summary'!$E$21),"")</f>
        <v/>
      </c>
    </row>
    <row r="12" spans="1:30" s="203" customFormat="1" ht="21.75" customHeight="1">
      <c r="B12" s="322">
        <v>5</v>
      </c>
      <c r="C12" s="343"/>
      <c r="D12" s="344"/>
      <c r="E12" s="345"/>
      <c r="F12" s="343"/>
      <c r="G12" s="346"/>
      <c r="H12" s="346"/>
      <c r="I12" s="346"/>
      <c r="J12" s="323" t="str">
        <f>IFERROR(VLOOKUP(F12,'Lookup Table'!O279:P282,2,FALSE),"")</f>
        <v/>
      </c>
      <c r="K12" s="352"/>
      <c r="L12" s="324">
        <f t="shared" si="0"/>
        <v>0</v>
      </c>
      <c r="M12" s="325" t="s">
        <v>148</v>
      </c>
      <c r="N12" s="323">
        <f>IFERROR(746*G12/'Lookup Table'!$P$278,0)</f>
        <v>0</v>
      </c>
      <c r="O12" s="325">
        <v>0.9</v>
      </c>
      <c r="P12" s="275">
        <f>IFERROR(INDEX('Lookup Table'!$C$260:$K$273,MATCH('Project Summary'!$C$12,'Lookup Table'!$B$260:$B$273,0),MATCH('Project Summary'!$C$11,'Lookup Table'!$C$259:$K$259,0)),0)</f>
        <v>0</v>
      </c>
      <c r="Q12" s="275">
        <f>IFERROR(INDEX('Lookup Table'!$N$260:$V$273,MATCH('Project Summary'!$C$12,'Lookup Table'!$M$260:$M$273,0),MATCH('Project Summary'!$C$11,'Lookup Table'!$N$259:$V$259,0)),0)</f>
        <v>0</v>
      </c>
      <c r="R12" s="326">
        <v>0.26200000000000001</v>
      </c>
      <c r="S12" s="327">
        <v>0.3</v>
      </c>
      <c r="T12" s="275">
        <f>IFERROR(INDEX('Lookup Table'!$C$277:$K$290,MATCH('Project Summary'!$C$12,'Lookup Table'!$B$277:$B$290,0),MATCH('Project Summary'!$C$11,'Lookup Table'!$C$276:$K$276,0)),0)</f>
        <v>0</v>
      </c>
      <c r="U12" s="328">
        <f t="shared" si="1"/>
        <v>0</v>
      </c>
      <c r="V12" s="275">
        <v>0</v>
      </c>
      <c r="W12" s="328">
        <f t="shared" si="2"/>
        <v>0</v>
      </c>
      <c r="X12" s="327">
        <f t="shared" si="3"/>
        <v>0</v>
      </c>
      <c r="Y12" s="327">
        <f t="shared" si="4"/>
        <v>0</v>
      </c>
      <c r="Z12" s="327">
        <v>0</v>
      </c>
      <c r="AA12" s="328" t="str">
        <f>IFERROR(ROUND(IF(I12='Lookup Table'!$M$276,'ECM Fan'!U12,IF(I12='Lookup Table'!$M$277,'ECM Fan'!W12,IF(I12='Lookup Table'!$M$278,'ECM Fan'!Y12,IF(I12='Lookup Table'!$M$279,'ECM Fan'!U12+'ECM Fan'!W12,IF(I12='Lookup Table'!$M$280,'ECM Fan'!U12+'ECM Fan'!Y12,IF(I12='Lookup Table'!$M$281,'ECM Fan'!W12+'ECM Fan'!Y12,IF(I12='Lookup Table'!$M$282,'ECM Fan'!U12+'ECM Fan'!W12+'ECM Fan'!Y12,""))))))),2),"")</f>
        <v/>
      </c>
      <c r="AB12" s="329" t="str">
        <f>IFERROR(IF(I12='Lookup Table'!$M$276,'ECM Fan'!V12,IF(I12='Lookup Table'!$M$277,'ECM Fan'!X12,IF(I12='Lookup Table'!$M$278,'ECM Fan'!Z12,IF(I12='Lookup Table'!$M$279,'ECM Fan'!V12+'ECM Fan'!X12,IF(I12='Lookup Table'!$M$280,'ECM Fan'!V12+'ECM Fan'!Z12,IF(I12='Lookup Table'!$M$281,'ECM Fan'!X12+'ECM Fan'!Z12,IF(I12='Lookup Table'!$M$282,'ECM Fan'!V12+'ECM Fan'!X12+'ECM Fan'!Z12,""))))))),"")</f>
        <v/>
      </c>
      <c r="AC12" s="321" t="str">
        <f t="shared" si="5"/>
        <v/>
      </c>
      <c r="AD12" s="279" t="str">
        <f>IFERROR('Project Summary'!$F$21*('ECM Fan'!AC12/'Project Summary'!$E$21),"")</f>
        <v/>
      </c>
    </row>
    <row r="13" spans="1:30" s="203" customFormat="1" ht="21.75" customHeight="1">
      <c r="B13" s="322">
        <v>6</v>
      </c>
      <c r="C13" s="343"/>
      <c r="D13" s="344"/>
      <c r="E13" s="345"/>
      <c r="F13" s="343"/>
      <c r="G13" s="346"/>
      <c r="H13" s="346"/>
      <c r="I13" s="346"/>
      <c r="J13" s="323" t="str">
        <f>IFERROR(VLOOKUP(F13,'Lookup Table'!O280:P283,2,FALSE),"")</f>
        <v/>
      </c>
      <c r="K13" s="352"/>
      <c r="L13" s="324">
        <f t="shared" si="0"/>
        <v>0</v>
      </c>
      <c r="M13" s="325" t="s">
        <v>148</v>
      </c>
      <c r="N13" s="323">
        <f>IFERROR(746*G13/'Lookup Table'!$P$278,0)</f>
        <v>0</v>
      </c>
      <c r="O13" s="325">
        <v>0.9</v>
      </c>
      <c r="P13" s="275">
        <f>IFERROR(INDEX('Lookup Table'!$C$260:$K$273,MATCH('Project Summary'!$C$12,'Lookup Table'!$B$260:$B$273,0),MATCH('Project Summary'!$C$11,'Lookup Table'!$C$259:$K$259,0)),0)</f>
        <v>0</v>
      </c>
      <c r="Q13" s="275">
        <f>IFERROR(INDEX('Lookup Table'!$N$260:$V$273,MATCH('Project Summary'!$C$12,'Lookup Table'!$M$260:$M$273,0),MATCH('Project Summary'!$C$11,'Lookup Table'!$N$259:$V$259,0)),0)</f>
        <v>0</v>
      </c>
      <c r="R13" s="326">
        <v>0.26200000000000001</v>
      </c>
      <c r="S13" s="327">
        <v>0.3</v>
      </c>
      <c r="T13" s="275">
        <f>IFERROR(INDEX('Lookup Table'!$C$277:$K$290,MATCH('Project Summary'!$C$12,'Lookup Table'!$B$277:$B$290,0),MATCH('Project Summary'!$C$11,'Lookup Table'!$C$276:$K$276,0)),0)</f>
        <v>0</v>
      </c>
      <c r="U13" s="328">
        <f t="shared" si="1"/>
        <v>0</v>
      </c>
      <c r="V13" s="275">
        <v>0</v>
      </c>
      <c r="W13" s="328">
        <f t="shared" si="2"/>
        <v>0</v>
      </c>
      <c r="X13" s="327">
        <f t="shared" si="3"/>
        <v>0</v>
      </c>
      <c r="Y13" s="327">
        <f t="shared" si="4"/>
        <v>0</v>
      </c>
      <c r="Z13" s="327">
        <v>0</v>
      </c>
      <c r="AA13" s="328" t="str">
        <f>IFERROR(ROUND(IF(I13='Lookup Table'!$M$276,'ECM Fan'!U13,IF(I13='Lookup Table'!$M$277,'ECM Fan'!W13,IF(I13='Lookup Table'!$M$278,'ECM Fan'!Y13,IF(I13='Lookup Table'!$M$279,'ECM Fan'!U13+'ECM Fan'!W13,IF(I13='Lookup Table'!$M$280,'ECM Fan'!U13+'ECM Fan'!Y13,IF(I13='Lookup Table'!$M$281,'ECM Fan'!W13+'ECM Fan'!Y13,IF(I13='Lookup Table'!$M$282,'ECM Fan'!U13+'ECM Fan'!W13+'ECM Fan'!Y13,""))))))),2),"")</f>
        <v/>
      </c>
      <c r="AB13" s="329" t="str">
        <f>IFERROR(IF(I13='Lookup Table'!$M$276,'ECM Fan'!V13,IF(I13='Lookup Table'!$M$277,'ECM Fan'!X13,IF(I13='Lookup Table'!$M$278,'ECM Fan'!Z13,IF(I13='Lookup Table'!$M$279,'ECM Fan'!V13+'ECM Fan'!X13,IF(I13='Lookup Table'!$M$280,'ECM Fan'!V13+'ECM Fan'!Z13,IF(I13='Lookup Table'!$M$281,'ECM Fan'!X13+'ECM Fan'!Z13,IF(I13='Lookup Table'!$M$282,'ECM Fan'!V13+'ECM Fan'!X13+'ECM Fan'!Z13,""))))))),"")</f>
        <v/>
      </c>
      <c r="AC13" s="321" t="str">
        <f t="shared" si="5"/>
        <v/>
      </c>
      <c r="AD13" s="279" t="str">
        <f>IFERROR('Project Summary'!$F$21*('ECM Fan'!AC13/'Project Summary'!$E$21),"")</f>
        <v/>
      </c>
    </row>
    <row r="14" spans="1:30" s="203" customFormat="1" ht="21.75" customHeight="1">
      <c r="B14" s="322">
        <v>7</v>
      </c>
      <c r="C14" s="343"/>
      <c r="D14" s="344"/>
      <c r="E14" s="345"/>
      <c r="F14" s="343"/>
      <c r="G14" s="346"/>
      <c r="H14" s="346"/>
      <c r="I14" s="346"/>
      <c r="J14" s="323" t="str">
        <f>IFERROR(VLOOKUP(F14,'Lookup Table'!O281:P284,2,FALSE),"")</f>
        <v/>
      </c>
      <c r="K14" s="352"/>
      <c r="L14" s="324">
        <f t="shared" si="0"/>
        <v>0</v>
      </c>
      <c r="M14" s="325" t="s">
        <v>148</v>
      </c>
      <c r="N14" s="323">
        <f>IFERROR(746*G14/'Lookup Table'!$P$278,0)</f>
        <v>0</v>
      </c>
      <c r="O14" s="325">
        <v>0.9</v>
      </c>
      <c r="P14" s="275">
        <f>IFERROR(INDEX('Lookup Table'!$C$260:$K$273,MATCH('Project Summary'!$C$12,'Lookup Table'!$B$260:$B$273,0),MATCH('Project Summary'!$C$11,'Lookup Table'!$C$259:$K$259,0)),0)</f>
        <v>0</v>
      </c>
      <c r="Q14" s="275">
        <f>IFERROR(INDEX('Lookup Table'!$N$260:$V$273,MATCH('Project Summary'!$C$12,'Lookup Table'!$M$260:$M$273,0),MATCH('Project Summary'!$C$11,'Lookup Table'!$N$259:$V$259,0)),0)</f>
        <v>0</v>
      </c>
      <c r="R14" s="326">
        <v>0.26200000000000001</v>
      </c>
      <c r="S14" s="327">
        <v>0.3</v>
      </c>
      <c r="T14" s="275">
        <f>IFERROR(INDEX('Lookup Table'!$C$277:$K$290,MATCH('Project Summary'!$C$12,'Lookup Table'!$B$277:$B$290,0),MATCH('Project Summary'!$C$11,'Lookup Table'!$C$276:$K$276,0)),0)</f>
        <v>0</v>
      </c>
      <c r="U14" s="328">
        <f t="shared" si="1"/>
        <v>0</v>
      </c>
      <c r="V14" s="275">
        <v>0</v>
      </c>
      <c r="W14" s="328">
        <f t="shared" si="2"/>
        <v>0</v>
      </c>
      <c r="X14" s="327">
        <f t="shared" si="3"/>
        <v>0</v>
      </c>
      <c r="Y14" s="327">
        <f t="shared" si="4"/>
        <v>0</v>
      </c>
      <c r="Z14" s="327">
        <v>0</v>
      </c>
      <c r="AA14" s="328" t="str">
        <f>IFERROR(ROUND(IF(I14='Lookup Table'!$M$276,'ECM Fan'!U14,IF(I14='Lookup Table'!$M$277,'ECM Fan'!W14,IF(I14='Lookup Table'!$M$278,'ECM Fan'!Y14,IF(I14='Lookup Table'!$M$279,'ECM Fan'!U14+'ECM Fan'!W14,IF(I14='Lookup Table'!$M$280,'ECM Fan'!U14+'ECM Fan'!Y14,IF(I14='Lookup Table'!$M$281,'ECM Fan'!W14+'ECM Fan'!Y14,IF(I14='Lookup Table'!$M$282,'ECM Fan'!U14+'ECM Fan'!W14+'ECM Fan'!Y14,""))))))),2),"")</f>
        <v/>
      </c>
      <c r="AB14" s="329" t="str">
        <f>IFERROR(IF(I14='Lookup Table'!$M$276,'ECM Fan'!V14,IF(I14='Lookup Table'!$M$277,'ECM Fan'!X14,IF(I14='Lookup Table'!$M$278,'ECM Fan'!Z14,IF(I14='Lookup Table'!$M$279,'ECM Fan'!V14+'ECM Fan'!X14,IF(I14='Lookup Table'!$M$280,'ECM Fan'!V14+'ECM Fan'!Z14,IF(I14='Lookup Table'!$M$281,'ECM Fan'!X14+'ECM Fan'!Z14,IF(I14='Lookup Table'!$M$282,'ECM Fan'!V14+'ECM Fan'!X14+'ECM Fan'!Z14,""))))))),"")</f>
        <v/>
      </c>
      <c r="AC14" s="321" t="str">
        <f t="shared" si="5"/>
        <v/>
      </c>
      <c r="AD14" s="279" t="str">
        <f>IFERROR('Project Summary'!$F$21*('ECM Fan'!AC14/'Project Summary'!$E$21),"")</f>
        <v/>
      </c>
    </row>
    <row r="15" spans="1:30" s="203" customFormat="1" ht="21.75" customHeight="1">
      <c r="B15" s="322">
        <v>8</v>
      </c>
      <c r="C15" s="343"/>
      <c r="D15" s="344"/>
      <c r="E15" s="345"/>
      <c r="F15" s="343"/>
      <c r="G15" s="346"/>
      <c r="H15" s="346"/>
      <c r="I15" s="346"/>
      <c r="J15" s="323" t="str">
        <f>IFERROR(VLOOKUP(F15,'Lookup Table'!O282:P285,2,FALSE),"")</f>
        <v/>
      </c>
      <c r="K15" s="352"/>
      <c r="L15" s="324">
        <f t="shared" si="0"/>
        <v>0</v>
      </c>
      <c r="M15" s="325" t="s">
        <v>148</v>
      </c>
      <c r="N15" s="323">
        <f>IFERROR(746*G15/'Lookup Table'!$P$278,0)</f>
        <v>0</v>
      </c>
      <c r="O15" s="325">
        <v>0.9</v>
      </c>
      <c r="P15" s="275">
        <f>IFERROR(INDEX('Lookup Table'!$C$260:$K$273,MATCH('Project Summary'!$C$12,'Lookup Table'!$B$260:$B$273,0),MATCH('Project Summary'!$C$11,'Lookup Table'!$C$259:$K$259,0)),0)</f>
        <v>0</v>
      </c>
      <c r="Q15" s="275">
        <f>IFERROR(INDEX('Lookup Table'!$N$260:$V$273,MATCH('Project Summary'!$C$12,'Lookup Table'!$M$260:$M$273,0),MATCH('Project Summary'!$C$11,'Lookup Table'!$N$259:$V$259,0)),0)</f>
        <v>0</v>
      </c>
      <c r="R15" s="326">
        <v>0.26200000000000001</v>
      </c>
      <c r="S15" s="327">
        <v>0.3</v>
      </c>
      <c r="T15" s="275">
        <f>IFERROR(INDEX('Lookup Table'!$C$277:$K$290,MATCH('Project Summary'!$C$12,'Lookup Table'!$B$277:$B$290,0),MATCH('Project Summary'!$C$11,'Lookup Table'!$C$276:$K$276,0)),0)</f>
        <v>0</v>
      </c>
      <c r="U15" s="328">
        <f t="shared" si="1"/>
        <v>0</v>
      </c>
      <c r="V15" s="275">
        <v>0</v>
      </c>
      <c r="W15" s="328">
        <f t="shared" si="2"/>
        <v>0</v>
      </c>
      <c r="X15" s="327">
        <f t="shared" si="3"/>
        <v>0</v>
      </c>
      <c r="Y15" s="327">
        <f t="shared" si="4"/>
        <v>0</v>
      </c>
      <c r="Z15" s="327">
        <v>0</v>
      </c>
      <c r="AA15" s="328" t="str">
        <f>IFERROR(ROUND(IF(I15='Lookup Table'!$M$276,'ECM Fan'!U15,IF(I15='Lookup Table'!$M$277,'ECM Fan'!W15,IF(I15='Lookup Table'!$M$278,'ECM Fan'!Y15,IF(I15='Lookup Table'!$M$279,'ECM Fan'!U15+'ECM Fan'!W15,IF(I15='Lookup Table'!$M$280,'ECM Fan'!U15+'ECM Fan'!Y15,IF(I15='Lookup Table'!$M$281,'ECM Fan'!W15+'ECM Fan'!Y15,IF(I15='Lookup Table'!$M$282,'ECM Fan'!U15+'ECM Fan'!W15+'ECM Fan'!Y15,""))))))),2),"")</f>
        <v/>
      </c>
      <c r="AB15" s="329" t="str">
        <f>IFERROR(IF(I15='Lookup Table'!$M$276,'ECM Fan'!V15,IF(I15='Lookup Table'!$M$277,'ECM Fan'!X15,IF(I15='Lookup Table'!$M$278,'ECM Fan'!Z15,IF(I15='Lookup Table'!$M$279,'ECM Fan'!V15+'ECM Fan'!X15,IF(I15='Lookup Table'!$M$280,'ECM Fan'!V15+'ECM Fan'!Z15,IF(I15='Lookup Table'!$M$281,'ECM Fan'!X15+'ECM Fan'!Z15,IF(I15='Lookup Table'!$M$282,'ECM Fan'!V15+'ECM Fan'!X15+'ECM Fan'!Z15,""))))))),"")</f>
        <v/>
      </c>
      <c r="AC15" s="321" t="str">
        <f t="shared" si="5"/>
        <v/>
      </c>
      <c r="AD15" s="279" t="str">
        <f>IFERROR('Project Summary'!$F$21*('ECM Fan'!AC15/'Project Summary'!$E$21),"")</f>
        <v/>
      </c>
    </row>
    <row r="16" spans="1:30" s="203" customFormat="1" ht="21.75" customHeight="1">
      <c r="B16" s="322">
        <v>9</v>
      </c>
      <c r="C16" s="343"/>
      <c r="D16" s="344"/>
      <c r="E16" s="345"/>
      <c r="F16" s="343"/>
      <c r="G16" s="346"/>
      <c r="H16" s="346"/>
      <c r="I16" s="346"/>
      <c r="J16" s="323" t="str">
        <f>IFERROR(VLOOKUP(F16,'Lookup Table'!O283:P286,2,FALSE),"")</f>
        <v/>
      </c>
      <c r="K16" s="352"/>
      <c r="L16" s="324">
        <f t="shared" si="0"/>
        <v>0</v>
      </c>
      <c r="M16" s="325" t="s">
        <v>148</v>
      </c>
      <c r="N16" s="323">
        <f>IFERROR(746*G16/'Lookup Table'!$P$278,0)</f>
        <v>0</v>
      </c>
      <c r="O16" s="325">
        <v>0.9</v>
      </c>
      <c r="P16" s="275">
        <f>IFERROR(INDEX('Lookup Table'!$C$260:$K$273,MATCH('Project Summary'!$C$12,'Lookup Table'!$B$260:$B$273,0),MATCH('Project Summary'!$C$11,'Lookup Table'!$C$259:$K$259,0)),0)</f>
        <v>0</v>
      </c>
      <c r="Q16" s="275">
        <f>IFERROR(INDEX('Lookup Table'!$N$260:$V$273,MATCH('Project Summary'!$C$12,'Lookup Table'!$M$260:$M$273,0),MATCH('Project Summary'!$C$11,'Lookup Table'!$N$259:$V$259,0)),0)</f>
        <v>0</v>
      </c>
      <c r="R16" s="326">
        <v>0.26200000000000001</v>
      </c>
      <c r="S16" s="327">
        <v>0.3</v>
      </c>
      <c r="T16" s="275">
        <f>IFERROR(INDEX('Lookup Table'!$C$277:$K$290,MATCH('Project Summary'!$C$12,'Lookup Table'!$B$277:$B$290,0),MATCH('Project Summary'!$C$11,'Lookup Table'!$C$276:$K$276,0)),0)</f>
        <v>0</v>
      </c>
      <c r="U16" s="328">
        <f t="shared" si="1"/>
        <v>0</v>
      </c>
      <c r="V16" s="275">
        <v>0</v>
      </c>
      <c r="W16" s="328">
        <f t="shared" si="2"/>
        <v>0</v>
      </c>
      <c r="X16" s="327">
        <f t="shared" si="3"/>
        <v>0</v>
      </c>
      <c r="Y16" s="327">
        <f t="shared" si="4"/>
        <v>0</v>
      </c>
      <c r="Z16" s="327">
        <v>0</v>
      </c>
      <c r="AA16" s="328" t="str">
        <f>IFERROR(ROUND(IF(I16='Lookup Table'!$M$276,'ECM Fan'!U16,IF(I16='Lookup Table'!$M$277,'ECM Fan'!W16,IF(I16='Lookup Table'!$M$278,'ECM Fan'!Y16,IF(I16='Lookup Table'!$M$279,'ECM Fan'!U16+'ECM Fan'!W16,IF(I16='Lookup Table'!$M$280,'ECM Fan'!U16+'ECM Fan'!Y16,IF(I16='Lookup Table'!$M$281,'ECM Fan'!W16+'ECM Fan'!Y16,IF(I16='Lookup Table'!$M$282,'ECM Fan'!U16+'ECM Fan'!W16+'ECM Fan'!Y16,""))))))),2),"")</f>
        <v/>
      </c>
      <c r="AB16" s="329" t="str">
        <f>IFERROR(IF(I16='Lookup Table'!$M$276,'ECM Fan'!V16,IF(I16='Lookup Table'!$M$277,'ECM Fan'!X16,IF(I16='Lookup Table'!$M$278,'ECM Fan'!Z16,IF(I16='Lookup Table'!$M$279,'ECM Fan'!V16+'ECM Fan'!X16,IF(I16='Lookup Table'!$M$280,'ECM Fan'!V16+'ECM Fan'!Z16,IF(I16='Lookup Table'!$M$281,'ECM Fan'!X16+'ECM Fan'!Z16,IF(I16='Lookup Table'!$M$282,'ECM Fan'!V16+'ECM Fan'!X16+'ECM Fan'!Z16,""))))))),"")</f>
        <v/>
      </c>
      <c r="AC16" s="321" t="str">
        <f t="shared" si="5"/>
        <v/>
      </c>
      <c r="AD16" s="279" t="str">
        <f>IFERROR('Project Summary'!$F$21*('ECM Fan'!AC16/'Project Summary'!$E$21),"")</f>
        <v/>
      </c>
    </row>
    <row r="17" spans="2:30" s="203" customFormat="1" ht="21.75" customHeight="1" thickBot="1">
      <c r="B17" s="330">
        <v>10</v>
      </c>
      <c r="C17" s="347"/>
      <c r="D17" s="348"/>
      <c r="E17" s="349"/>
      <c r="F17" s="347"/>
      <c r="G17" s="350"/>
      <c r="H17" s="350"/>
      <c r="I17" s="350"/>
      <c r="J17" s="331" t="str">
        <f>IFERROR(VLOOKUP(F17,'Lookup Table'!O284:P287,2,FALSE),"")</f>
        <v/>
      </c>
      <c r="K17" s="353"/>
      <c r="L17" s="332">
        <f t="shared" si="0"/>
        <v>0</v>
      </c>
      <c r="M17" s="333" t="s">
        <v>148</v>
      </c>
      <c r="N17" s="331">
        <f>IFERROR(746*G17/'Lookup Table'!$P$278,0)</f>
        <v>0</v>
      </c>
      <c r="O17" s="333">
        <v>0.9</v>
      </c>
      <c r="P17" s="281">
        <f>IFERROR(INDEX('Lookup Table'!$C$260:$K$273,MATCH('Project Summary'!$C$12,'Lookup Table'!$B$260:$B$273,0),MATCH('Project Summary'!$C$11,'Lookup Table'!$C$259:$K$259,0)),0)</f>
        <v>0</v>
      </c>
      <c r="Q17" s="281">
        <f>IFERROR(INDEX('Lookup Table'!$N$260:$V$273,MATCH('Project Summary'!$C$12,'Lookup Table'!$M$260:$M$273,0),MATCH('Project Summary'!$C$11,'Lookup Table'!$N$259:$V$259,0)),0)</f>
        <v>0</v>
      </c>
      <c r="R17" s="334">
        <v>0.26200000000000001</v>
      </c>
      <c r="S17" s="335">
        <v>0.3</v>
      </c>
      <c r="T17" s="281">
        <f>IFERROR(INDEX('Lookup Table'!$C$277:$K$290,MATCH('Project Summary'!$C$12,'Lookup Table'!$B$277:$B$290,0),MATCH('Project Summary'!$C$11,'Lookup Table'!$C$276:$K$276,0)),0)</f>
        <v>0</v>
      </c>
      <c r="U17" s="336">
        <f t="shared" si="1"/>
        <v>0</v>
      </c>
      <c r="V17" s="281">
        <v>0</v>
      </c>
      <c r="W17" s="336">
        <f t="shared" si="2"/>
        <v>0</v>
      </c>
      <c r="X17" s="335">
        <f t="shared" si="3"/>
        <v>0</v>
      </c>
      <c r="Y17" s="335">
        <f t="shared" si="4"/>
        <v>0</v>
      </c>
      <c r="Z17" s="335">
        <v>0</v>
      </c>
      <c r="AA17" s="336" t="str">
        <f>IFERROR(ROUND(IF(I17='Lookup Table'!$M$276,'ECM Fan'!U17,IF(I17='Lookup Table'!$M$277,'ECM Fan'!W17,IF(I17='Lookup Table'!$M$278,'ECM Fan'!Y17,IF(I17='Lookup Table'!$M$279,'ECM Fan'!U17+'ECM Fan'!W17,IF(I17='Lookup Table'!$M$280,'ECM Fan'!U17+'ECM Fan'!Y17,IF(I17='Lookup Table'!$M$281,'ECM Fan'!W17+'ECM Fan'!Y17,IF(I17='Lookup Table'!$M$282,'ECM Fan'!U17+'ECM Fan'!W17+'ECM Fan'!Y17,""))))))),2),"")</f>
        <v/>
      </c>
      <c r="AB17" s="337" t="str">
        <f>IFERROR(IF(I17='Lookup Table'!$M$276,'ECM Fan'!V17,IF(I17='Lookup Table'!$M$277,'ECM Fan'!X17,IF(I17='Lookup Table'!$M$278,'ECM Fan'!Z17,IF(I17='Lookup Table'!$M$279,'ECM Fan'!V17+'ECM Fan'!X17,IF(I17='Lookup Table'!$M$280,'ECM Fan'!V17+'ECM Fan'!Z17,IF(I17='Lookup Table'!$M$281,'ECM Fan'!X17+'ECM Fan'!Z17,IF(I17='Lookup Table'!$M$282,'ECM Fan'!V17+'ECM Fan'!X17+'ECM Fan'!Z17,""))))))),"")</f>
        <v/>
      </c>
      <c r="AC17" s="321" t="str">
        <f t="shared" si="5"/>
        <v/>
      </c>
      <c r="AD17" s="286" t="str">
        <f>IFERROR('Project Summary'!$F$21*('ECM Fan'!AC17/'Project Summary'!$E$21),"")</f>
        <v/>
      </c>
    </row>
    <row r="18" spans="2:30" s="203" customFormat="1" ht="21.75" customHeight="1">
      <c r="B18" s="338"/>
      <c r="C18" s="338"/>
      <c r="D18" s="338"/>
      <c r="E18" s="338"/>
      <c r="F18" s="338"/>
      <c r="G18" s="241"/>
    </row>
    <row r="19" spans="2:30" s="203" customFormat="1" ht="21.75" customHeight="1">
      <c r="B19" s="338"/>
      <c r="C19" s="338"/>
      <c r="D19" s="338"/>
      <c r="E19" s="338"/>
      <c r="F19" s="338"/>
      <c r="G19" s="241"/>
    </row>
    <row r="20" spans="2:30" s="201" customFormat="1" ht="21.75" customHeight="1"/>
    <row r="21" spans="2:30" ht="21.75" customHeight="1">
      <c r="B21" s="242"/>
    </row>
    <row r="22" spans="2:30" ht="21.75" customHeight="1"/>
    <row r="23" spans="2:30" ht="21.75" customHeight="1"/>
    <row r="24" spans="2:30" ht="21.75" customHeight="1"/>
    <row r="25" spans="2:30" ht="21.75" customHeight="1"/>
  </sheetData>
  <sheetProtection algorithmName="SHA-512" hashValue="deAW0wnig/CobeoUpFbH+Vryea4X/AJxRXztH7OrO9AzYqf1ExwxJPMPFtuSi+a4+olapQaI+Ego6QwVFGRmuA==" saltValue="02O9Sm3WDGtpia2cjv9TrQ==" spinCount="100000" sheet="1" formatColumns="0"/>
  <mergeCells count="6">
    <mergeCell ref="AD6:AD7"/>
    <mergeCell ref="M6:N6"/>
    <mergeCell ref="O6:AB6"/>
    <mergeCell ref="B4:H4"/>
    <mergeCell ref="B3:H3"/>
    <mergeCell ref="F6:L6"/>
  </mergeCells>
  <dataValidations count="1">
    <dataValidation type="decimal" operator="lessThanOrEqual" allowBlank="1" showInputMessage="1" showErrorMessage="1" errorTitle="Motor HP" error="Motor HP must be less than or equal to 1." sqref="G8:G17" xr:uid="{151E2C6F-35AB-4617-99DB-531EFF971A9B}">
      <formula1>1</formula1>
    </dataValidation>
  </dataValidations>
  <pageMargins left="0.5" right="0.5" top="0.5" bottom="0.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302DCC1-900E-4ED0-A1DB-EFECCC48C776}">
          <x14:formula1>
            <xm:f>'Lookup Table'!$M$276:$M$282</xm:f>
          </x14:formula1>
          <xm:sqref>I8:I17</xm:sqref>
        </x14:dataValidation>
        <x14:dataValidation type="list" allowBlank="1" showInputMessage="1" showErrorMessage="1" xr:uid="{953BC6A4-69CF-4B65-A0E3-DD7AEB281408}">
          <x14:formula1>
            <xm:f>'Lookup Table'!$O$276:$O$277</xm:f>
          </x14:formula1>
          <xm:sqref>F8:F17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A919-B4DC-4B20-A29A-DB6413430D2C}">
  <sheetPr>
    <tabColor theme="8" tint="0.59999389629810485"/>
  </sheetPr>
  <dimension ref="A1:Q29"/>
  <sheetViews>
    <sheetView zoomScaleNormal="100" workbookViewId="0">
      <selection activeCell="C8" sqref="C8"/>
    </sheetView>
  </sheetViews>
  <sheetFormatPr defaultColWidth="8.75" defaultRowHeight="14.25"/>
  <cols>
    <col min="1" max="1" width="3.625" style="201" customWidth="1"/>
    <col min="2" max="2" width="8.5" style="200" customWidth="1"/>
    <col min="3" max="5" width="18.125" style="200" customWidth="1"/>
    <col min="6" max="6" width="15.625" style="200" customWidth="1"/>
    <col min="7" max="7" width="8.75" style="201"/>
    <col min="8" max="8" width="9.625" style="200" hidden="1" customWidth="1"/>
    <col min="9" max="9" width="8.75" style="200" hidden="1" customWidth="1"/>
    <col min="10" max="10" width="8.75" style="200"/>
    <col min="11" max="11" width="8.75" style="200" customWidth="1"/>
    <col min="12" max="12" width="8.75" style="200" hidden="1" customWidth="1"/>
    <col min="13" max="13" width="12.25" style="200" customWidth="1"/>
    <col min="14" max="14" width="8.75" style="200" customWidth="1"/>
    <col min="15" max="16384" width="8.75" style="200"/>
  </cols>
  <sheetData>
    <row r="1" spans="1:17">
      <c r="A1" s="199"/>
      <c r="H1" s="200" t="s">
        <v>100</v>
      </c>
      <c r="I1" s="200" t="s">
        <v>100</v>
      </c>
      <c r="L1" s="200" t="s">
        <v>100</v>
      </c>
    </row>
    <row r="2" spans="1:17" s="201" customFormat="1" ht="9.75" customHeight="1"/>
    <row r="3" spans="1:17" ht="34.5" customHeight="1">
      <c r="A3" s="200"/>
      <c r="B3" s="464" t="s">
        <v>149</v>
      </c>
      <c r="C3" s="464"/>
      <c r="D3" s="464"/>
      <c r="E3" s="464"/>
      <c r="F3" s="464"/>
      <c r="G3" s="464"/>
      <c r="H3" s="464"/>
      <c r="I3" s="464"/>
      <c r="J3" s="464"/>
      <c r="K3" s="464"/>
    </row>
    <row r="4" spans="1:17" ht="28.9" customHeight="1">
      <c r="A4" s="200"/>
      <c r="B4" s="465" t="s">
        <v>90</v>
      </c>
      <c r="C4" s="465"/>
      <c r="D4" s="465"/>
      <c r="E4" s="465"/>
      <c r="F4" s="465"/>
      <c r="G4" s="465"/>
      <c r="H4" s="465"/>
      <c r="I4" s="465"/>
      <c r="J4" s="465"/>
      <c r="K4" s="465"/>
    </row>
    <row r="5" spans="1:17" ht="9" customHeight="1" thickBot="1">
      <c r="A5" s="200"/>
      <c r="B5" s="202"/>
      <c r="C5" s="202"/>
      <c r="D5" s="202"/>
      <c r="E5" s="202"/>
      <c r="F5" s="201"/>
    </row>
    <row r="6" spans="1:17" s="203" customFormat="1" ht="21.75" customHeight="1" thickBot="1">
      <c r="B6" s="498" t="s">
        <v>106</v>
      </c>
      <c r="C6" s="495" t="s">
        <v>101</v>
      </c>
      <c r="D6" s="496"/>
      <c r="E6" s="496"/>
      <c r="F6" s="496"/>
      <c r="G6" s="497"/>
      <c r="H6" s="496" t="s">
        <v>104</v>
      </c>
      <c r="I6" s="496"/>
      <c r="J6" s="496"/>
      <c r="K6" s="497"/>
      <c r="L6" s="354"/>
      <c r="M6" s="498" t="s">
        <v>105</v>
      </c>
      <c r="N6" s="354"/>
      <c r="O6" s="354"/>
      <c r="P6" s="354"/>
      <c r="Q6" s="354"/>
    </row>
    <row r="7" spans="1:17" s="260" customFormat="1" ht="43.5" thickBot="1">
      <c r="B7" s="499"/>
      <c r="C7" s="355" t="s">
        <v>129</v>
      </c>
      <c r="D7" s="356" t="s">
        <v>110</v>
      </c>
      <c r="E7" s="356" t="s">
        <v>130</v>
      </c>
      <c r="F7" s="357" t="s">
        <v>49</v>
      </c>
      <c r="G7" s="358" t="s">
        <v>120</v>
      </c>
      <c r="H7" s="356" t="s">
        <v>73</v>
      </c>
      <c r="I7" s="357" t="s">
        <v>109</v>
      </c>
      <c r="J7" s="357" t="s">
        <v>66</v>
      </c>
      <c r="K7" s="358" t="s">
        <v>92</v>
      </c>
      <c r="L7" s="359" t="s">
        <v>93</v>
      </c>
      <c r="M7" s="499"/>
      <c r="N7" s="359"/>
      <c r="O7" s="359"/>
      <c r="P7" s="359"/>
      <c r="Q7" s="359"/>
    </row>
    <row r="8" spans="1:17" s="203" customFormat="1" ht="21.75" customHeight="1">
      <c r="B8" s="360">
        <v>1</v>
      </c>
      <c r="C8" s="148"/>
      <c r="D8" s="188"/>
      <c r="E8" s="188"/>
      <c r="F8" s="147"/>
      <c r="G8" s="149"/>
      <c r="H8" s="361">
        <v>4423</v>
      </c>
      <c r="I8" s="362">
        <v>0.55000000000000004</v>
      </c>
      <c r="J8" s="363">
        <f>ROUND(G8*(F8*H8),2)</f>
        <v>0</v>
      </c>
      <c r="K8" s="364">
        <f>ROUND(G8*(F8*I8),4)</f>
        <v>0</v>
      </c>
      <c r="L8" s="365">
        <f>IFERROR(ROUND(J8*0.02+K8*200,2),"")</f>
        <v>0</v>
      </c>
      <c r="M8" s="366" t="str">
        <f>IFERROR('Project Summary'!$F$21*('VSD Kitchen Fan'!L8/'Project Summary'!$E$21),"")</f>
        <v/>
      </c>
      <c r="N8" s="354"/>
      <c r="O8" s="354"/>
      <c r="P8" s="354"/>
      <c r="Q8" s="354"/>
    </row>
    <row r="9" spans="1:17" s="203" customFormat="1" ht="21.75" customHeight="1">
      <c r="B9" s="367">
        <v>2</v>
      </c>
      <c r="C9" s="150"/>
      <c r="D9" s="189"/>
      <c r="E9" s="189"/>
      <c r="F9" s="145"/>
      <c r="G9" s="151"/>
      <c r="H9" s="368">
        <v>4423</v>
      </c>
      <c r="I9" s="369">
        <v>0.55000000000000004</v>
      </c>
      <c r="J9" s="370">
        <f t="shared" ref="J9:J17" si="0">ROUND(G9*(F9*H9),2)</f>
        <v>0</v>
      </c>
      <c r="K9" s="371">
        <f t="shared" ref="K9:K17" si="1">ROUND(G9*(F9*I9),4)</f>
        <v>0</v>
      </c>
      <c r="L9" s="365">
        <f t="shared" ref="L9:L17" si="2">IFERROR(ROUND(J9*0.02+K9*200,2),"")</f>
        <v>0</v>
      </c>
      <c r="M9" s="372" t="str">
        <f>IFERROR('Project Summary'!$F$21*('VSD Kitchen Fan'!L9/'Project Summary'!$E$21),"")</f>
        <v/>
      </c>
      <c r="N9" s="354"/>
      <c r="O9" s="354"/>
      <c r="P9" s="354"/>
      <c r="Q9" s="354"/>
    </row>
    <row r="10" spans="1:17" s="203" customFormat="1" ht="21.75" customHeight="1">
      <c r="B10" s="367">
        <v>3</v>
      </c>
      <c r="C10" s="150"/>
      <c r="D10" s="189"/>
      <c r="E10" s="189"/>
      <c r="F10" s="145"/>
      <c r="G10" s="151"/>
      <c r="H10" s="368">
        <v>4423</v>
      </c>
      <c r="I10" s="369">
        <v>0.55000000000000004</v>
      </c>
      <c r="J10" s="370">
        <f t="shared" si="0"/>
        <v>0</v>
      </c>
      <c r="K10" s="371">
        <f t="shared" si="1"/>
        <v>0</v>
      </c>
      <c r="L10" s="365">
        <f t="shared" si="2"/>
        <v>0</v>
      </c>
      <c r="M10" s="372" t="str">
        <f>IFERROR('Project Summary'!$F$21*('VSD Kitchen Fan'!L10/'Project Summary'!$E$21),"")</f>
        <v/>
      </c>
      <c r="N10" s="354"/>
      <c r="O10" s="354"/>
      <c r="P10" s="354"/>
      <c r="Q10" s="354"/>
    </row>
    <row r="11" spans="1:17" s="203" customFormat="1" ht="21.75" customHeight="1">
      <c r="B11" s="367">
        <v>4</v>
      </c>
      <c r="C11" s="150"/>
      <c r="D11" s="189"/>
      <c r="E11" s="189"/>
      <c r="F11" s="145"/>
      <c r="G11" s="151"/>
      <c r="H11" s="368">
        <v>4423</v>
      </c>
      <c r="I11" s="369">
        <v>0.55000000000000004</v>
      </c>
      <c r="J11" s="370">
        <f t="shared" si="0"/>
        <v>0</v>
      </c>
      <c r="K11" s="371">
        <f t="shared" si="1"/>
        <v>0</v>
      </c>
      <c r="L11" s="365">
        <f t="shared" si="2"/>
        <v>0</v>
      </c>
      <c r="M11" s="372" t="str">
        <f>IFERROR('Project Summary'!$F$21*('VSD Kitchen Fan'!L11/'Project Summary'!$E$21),"")</f>
        <v/>
      </c>
      <c r="N11" s="354"/>
      <c r="O11" s="354"/>
      <c r="P11" s="354"/>
      <c r="Q11" s="354"/>
    </row>
    <row r="12" spans="1:17" s="203" customFormat="1" ht="21.75" customHeight="1">
      <c r="B12" s="367">
        <v>5</v>
      </c>
      <c r="C12" s="150"/>
      <c r="D12" s="189"/>
      <c r="E12" s="189"/>
      <c r="F12" s="145"/>
      <c r="G12" s="151"/>
      <c r="H12" s="368">
        <v>4423</v>
      </c>
      <c r="I12" s="369">
        <v>0.55000000000000004</v>
      </c>
      <c r="J12" s="370">
        <f t="shared" si="0"/>
        <v>0</v>
      </c>
      <c r="K12" s="371">
        <f t="shared" si="1"/>
        <v>0</v>
      </c>
      <c r="L12" s="365">
        <f t="shared" si="2"/>
        <v>0</v>
      </c>
      <c r="M12" s="372" t="str">
        <f>IFERROR('Project Summary'!$F$21*('VSD Kitchen Fan'!L12/'Project Summary'!$E$21),"")</f>
        <v/>
      </c>
      <c r="N12" s="354"/>
      <c r="O12" s="354"/>
      <c r="P12" s="354"/>
      <c r="Q12" s="354"/>
    </row>
    <row r="13" spans="1:17" s="203" customFormat="1" ht="21.75" customHeight="1">
      <c r="B13" s="367">
        <v>6</v>
      </c>
      <c r="C13" s="150"/>
      <c r="D13" s="189"/>
      <c r="E13" s="189"/>
      <c r="F13" s="145"/>
      <c r="G13" s="151"/>
      <c r="H13" s="368">
        <v>4423</v>
      </c>
      <c r="I13" s="369">
        <v>0.55000000000000004</v>
      </c>
      <c r="J13" s="370">
        <f t="shared" si="0"/>
        <v>0</v>
      </c>
      <c r="K13" s="371">
        <f t="shared" si="1"/>
        <v>0</v>
      </c>
      <c r="L13" s="365">
        <f t="shared" si="2"/>
        <v>0</v>
      </c>
      <c r="M13" s="372" t="str">
        <f>IFERROR('Project Summary'!$F$21*('VSD Kitchen Fan'!L13/'Project Summary'!$E$21),"")</f>
        <v/>
      </c>
      <c r="N13" s="354"/>
      <c r="O13" s="354"/>
      <c r="P13" s="354"/>
      <c r="Q13" s="354"/>
    </row>
    <row r="14" spans="1:17" s="203" customFormat="1" ht="21.75" customHeight="1">
      <c r="B14" s="367">
        <v>7</v>
      </c>
      <c r="C14" s="150"/>
      <c r="D14" s="189"/>
      <c r="E14" s="189"/>
      <c r="F14" s="145"/>
      <c r="G14" s="151"/>
      <c r="H14" s="368">
        <v>4423</v>
      </c>
      <c r="I14" s="369">
        <v>0.55000000000000004</v>
      </c>
      <c r="J14" s="370">
        <f t="shared" si="0"/>
        <v>0</v>
      </c>
      <c r="K14" s="371">
        <f t="shared" si="1"/>
        <v>0</v>
      </c>
      <c r="L14" s="365">
        <f t="shared" si="2"/>
        <v>0</v>
      </c>
      <c r="M14" s="372" t="str">
        <f>IFERROR('Project Summary'!$F$21*('VSD Kitchen Fan'!L14/'Project Summary'!$E$21),"")</f>
        <v/>
      </c>
      <c r="N14" s="354"/>
      <c r="O14" s="354"/>
      <c r="P14" s="354"/>
      <c r="Q14" s="354"/>
    </row>
    <row r="15" spans="1:17" s="203" customFormat="1" ht="21.75" customHeight="1">
      <c r="B15" s="367">
        <v>8</v>
      </c>
      <c r="C15" s="150"/>
      <c r="D15" s="189"/>
      <c r="E15" s="189"/>
      <c r="F15" s="145"/>
      <c r="G15" s="151"/>
      <c r="H15" s="368">
        <v>4423</v>
      </c>
      <c r="I15" s="369">
        <v>0.55000000000000004</v>
      </c>
      <c r="J15" s="370">
        <f t="shared" si="0"/>
        <v>0</v>
      </c>
      <c r="K15" s="371">
        <f t="shared" si="1"/>
        <v>0</v>
      </c>
      <c r="L15" s="365">
        <f t="shared" si="2"/>
        <v>0</v>
      </c>
      <c r="M15" s="372" t="str">
        <f>IFERROR('Project Summary'!$F$21*('VSD Kitchen Fan'!L15/'Project Summary'!$E$21),"")</f>
        <v/>
      </c>
      <c r="N15" s="354"/>
      <c r="O15" s="354"/>
      <c r="P15" s="354"/>
      <c r="Q15" s="354"/>
    </row>
    <row r="16" spans="1:17" s="203" customFormat="1" ht="21.75" customHeight="1">
      <c r="B16" s="367">
        <v>9</v>
      </c>
      <c r="C16" s="150"/>
      <c r="D16" s="189"/>
      <c r="E16" s="189"/>
      <c r="F16" s="145"/>
      <c r="G16" s="151"/>
      <c r="H16" s="368">
        <v>4423</v>
      </c>
      <c r="I16" s="369">
        <v>0.55000000000000004</v>
      </c>
      <c r="J16" s="370">
        <f t="shared" si="0"/>
        <v>0</v>
      </c>
      <c r="K16" s="371">
        <f t="shared" si="1"/>
        <v>0</v>
      </c>
      <c r="L16" s="365">
        <f t="shared" si="2"/>
        <v>0</v>
      </c>
      <c r="M16" s="372" t="str">
        <f>IFERROR('Project Summary'!$F$21*('VSD Kitchen Fan'!L16/'Project Summary'!$E$21),"")</f>
        <v/>
      </c>
      <c r="N16" s="354"/>
      <c r="O16" s="354"/>
      <c r="P16" s="354"/>
      <c r="Q16" s="354"/>
    </row>
    <row r="17" spans="2:17" s="203" customFormat="1" ht="21.75" customHeight="1" thickBot="1">
      <c r="B17" s="373">
        <v>10</v>
      </c>
      <c r="C17" s="152"/>
      <c r="D17" s="190"/>
      <c r="E17" s="190"/>
      <c r="F17" s="146"/>
      <c r="G17" s="153"/>
      <c r="H17" s="374">
        <v>4423</v>
      </c>
      <c r="I17" s="375">
        <v>0.55000000000000004</v>
      </c>
      <c r="J17" s="376">
        <f t="shared" si="0"/>
        <v>0</v>
      </c>
      <c r="K17" s="377">
        <f t="shared" si="1"/>
        <v>0</v>
      </c>
      <c r="L17" s="365">
        <f t="shared" si="2"/>
        <v>0</v>
      </c>
      <c r="M17" s="378" t="str">
        <f>IFERROR('Project Summary'!$F$21*('VSD Kitchen Fan'!L17/'Project Summary'!$E$21),"")</f>
        <v/>
      </c>
      <c r="N17" s="354"/>
      <c r="O17" s="354"/>
      <c r="P17" s="354"/>
      <c r="Q17" s="354"/>
    </row>
    <row r="18" spans="2:17" s="203" customFormat="1" ht="21.75" customHeight="1">
      <c r="B18" s="354"/>
      <c r="C18" s="354"/>
      <c r="D18" s="354"/>
      <c r="E18" s="354"/>
      <c r="F18" s="354"/>
      <c r="G18" s="354"/>
      <c r="H18" s="354"/>
      <c r="I18" s="354"/>
      <c r="J18" s="354"/>
      <c r="K18" s="354"/>
      <c r="L18" s="354"/>
      <c r="M18" s="354"/>
      <c r="N18" s="354"/>
      <c r="O18" s="354"/>
      <c r="P18" s="354"/>
      <c r="Q18" s="354"/>
    </row>
    <row r="19" spans="2:17" s="203" customFormat="1" ht="21.75" customHeight="1">
      <c r="B19" s="354"/>
      <c r="C19" s="354"/>
      <c r="D19" s="354"/>
      <c r="E19" s="354"/>
      <c r="F19" s="354"/>
      <c r="G19" s="354"/>
      <c r="H19" s="354"/>
      <c r="I19" s="354"/>
      <c r="J19" s="354"/>
      <c r="K19" s="354"/>
      <c r="L19" s="354"/>
      <c r="M19" s="354"/>
      <c r="N19" s="354"/>
      <c r="O19" s="354"/>
      <c r="P19" s="354"/>
      <c r="Q19" s="354"/>
    </row>
    <row r="20" spans="2:17" s="201" customFormat="1" ht="21.75" customHeight="1">
      <c r="B20" s="354"/>
      <c r="C20" s="354"/>
      <c r="D20" s="354"/>
      <c r="E20" s="354"/>
      <c r="F20" s="354"/>
      <c r="G20" s="354"/>
      <c r="H20" s="354"/>
      <c r="I20" s="354"/>
      <c r="J20" s="354"/>
      <c r="K20" s="354"/>
      <c r="L20" s="354"/>
      <c r="M20" s="354"/>
      <c r="N20" s="354"/>
      <c r="O20" s="354"/>
      <c r="P20" s="354"/>
      <c r="Q20" s="354"/>
    </row>
    <row r="21" spans="2:17" ht="21.75" customHeight="1">
      <c r="B21" s="354"/>
      <c r="C21" s="354"/>
      <c r="D21" s="354"/>
      <c r="E21" s="354"/>
      <c r="F21" s="354"/>
      <c r="G21" s="354"/>
      <c r="H21" s="354"/>
      <c r="I21" s="354"/>
      <c r="J21" s="354"/>
      <c r="K21" s="354"/>
      <c r="L21" s="354"/>
      <c r="M21" s="354"/>
      <c r="N21" s="354"/>
      <c r="O21" s="354"/>
      <c r="P21" s="354"/>
      <c r="Q21" s="354"/>
    </row>
    <row r="22" spans="2:17">
      <c r="B22" s="354"/>
      <c r="C22" s="354"/>
      <c r="D22" s="354"/>
      <c r="E22" s="354"/>
      <c r="F22" s="354"/>
      <c r="G22" s="354"/>
      <c r="H22" s="354"/>
      <c r="I22" s="354"/>
      <c r="J22" s="354"/>
      <c r="K22" s="354"/>
      <c r="L22" s="354"/>
      <c r="M22" s="354"/>
      <c r="N22" s="354"/>
      <c r="O22" s="354"/>
      <c r="P22" s="354"/>
      <c r="Q22" s="354"/>
    </row>
    <row r="23" spans="2:17">
      <c r="B23" s="354"/>
      <c r="C23" s="354"/>
      <c r="D23" s="354"/>
      <c r="E23" s="354"/>
      <c r="F23" s="354"/>
      <c r="G23" s="354"/>
      <c r="H23" s="354"/>
      <c r="I23" s="354"/>
      <c r="J23" s="354"/>
      <c r="K23" s="354"/>
      <c r="L23" s="354"/>
      <c r="M23" s="354"/>
      <c r="N23" s="354"/>
      <c r="O23" s="354"/>
      <c r="P23" s="354"/>
      <c r="Q23" s="354"/>
    </row>
    <row r="24" spans="2:17">
      <c r="B24" s="354"/>
      <c r="C24" s="354"/>
      <c r="D24" s="354"/>
      <c r="E24" s="354"/>
      <c r="F24" s="354"/>
      <c r="G24" s="354"/>
      <c r="H24" s="354"/>
      <c r="I24" s="354"/>
      <c r="J24" s="354"/>
      <c r="K24" s="354"/>
      <c r="L24" s="354"/>
      <c r="M24" s="354"/>
      <c r="N24" s="354"/>
      <c r="O24" s="354"/>
      <c r="P24" s="354"/>
      <c r="Q24" s="354"/>
    </row>
    <row r="25" spans="2:17">
      <c r="B25" s="354"/>
      <c r="C25" s="354"/>
      <c r="D25" s="354"/>
      <c r="E25" s="354"/>
      <c r="F25" s="354"/>
      <c r="G25" s="354"/>
      <c r="H25" s="354"/>
      <c r="I25" s="354"/>
      <c r="J25" s="354"/>
      <c r="K25" s="354"/>
      <c r="L25" s="354"/>
      <c r="M25" s="354"/>
      <c r="N25" s="354"/>
      <c r="O25" s="354"/>
      <c r="P25" s="354"/>
      <c r="Q25" s="354"/>
    </row>
    <row r="26" spans="2:17">
      <c r="B26" s="354"/>
      <c r="C26" s="354"/>
      <c r="D26" s="354"/>
      <c r="E26" s="354"/>
      <c r="F26" s="354"/>
      <c r="G26" s="354"/>
      <c r="H26" s="354"/>
      <c r="I26" s="354"/>
      <c r="J26" s="354"/>
      <c r="K26" s="354"/>
      <c r="L26" s="354"/>
      <c r="M26" s="354"/>
      <c r="N26" s="354"/>
      <c r="O26" s="354"/>
      <c r="P26" s="354"/>
      <c r="Q26" s="354"/>
    </row>
    <row r="27" spans="2:17">
      <c r="B27" s="354"/>
      <c r="C27" s="354"/>
      <c r="D27" s="354"/>
      <c r="E27" s="354"/>
      <c r="F27" s="354"/>
      <c r="G27" s="354"/>
      <c r="H27" s="354"/>
      <c r="I27" s="354"/>
      <c r="J27" s="354"/>
      <c r="K27" s="354"/>
      <c r="L27" s="354"/>
      <c r="M27" s="354"/>
      <c r="N27" s="354"/>
      <c r="O27" s="354"/>
      <c r="P27" s="354"/>
      <c r="Q27" s="354"/>
    </row>
    <row r="28" spans="2:17">
      <c r="B28" s="354"/>
      <c r="C28" s="354"/>
      <c r="D28" s="354"/>
      <c r="E28" s="354"/>
      <c r="F28" s="354"/>
      <c r="G28" s="354"/>
      <c r="H28" s="354"/>
      <c r="I28" s="354"/>
      <c r="J28" s="354"/>
      <c r="K28" s="354"/>
      <c r="L28" s="354"/>
      <c r="M28" s="354"/>
      <c r="N28" s="354"/>
      <c r="O28" s="354"/>
      <c r="P28" s="354"/>
      <c r="Q28" s="354"/>
    </row>
    <row r="29" spans="2:17">
      <c r="B29" s="354"/>
      <c r="C29" s="354"/>
      <c r="D29" s="354"/>
      <c r="E29" s="354"/>
      <c r="F29" s="354"/>
      <c r="G29" s="354"/>
      <c r="H29" s="354"/>
      <c r="I29" s="354"/>
      <c r="J29" s="354"/>
      <c r="K29" s="354"/>
      <c r="L29" s="354"/>
      <c r="M29" s="354"/>
      <c r="N29" s="354"/>
      <c r="O29" s="354"/>
      <c r="P29" s="354"/>
      <c r="Q29" s="354"/>
    </row>
  </sheetData>
  <sheetProtection algorithmName="SHA-512" hashValue="ts1xEo0RDkw/DYALC1vGhNeyDH++5vWQpnnMqafzWx2WV+R90mJm8uK7eTaj2NFyIKSUN3R+hyZXzOo8e9Pa0w==" saltValue="xAJTnoHqND9YYZsYbJE34A==" spinCount="100000" sheet="1" formatColumns="0"/>
  <mergeCells count="6">
    <mergeCell ref="C6:G6"/>
    <mergeCell ref="H6:K6"/>
    <mergeCell ref="B3:K3"/>
    <mergeCell ref="B4:K4"/>
    <mergeCell ref="M6:M7"/>
    <mergeCell ref="B6:B7"/>
  </mergeCells>
  <pageMargins left="0.5" right="0.5" top="0.5" bottom="0.5" header="0.3" footer="0.3"/>
  <pageSetup orientation="portrait" r:id="rId1"/>
  <ignoredErrors>
    <ignoredError sqref="M8:M17 L8:L1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830C-7A71-48B3-93EB-A9B6A579BCCD}">
  <sheetPr>
    <tabColor theme="8" tint="0.59999389629810485"/>
  </sheetPr>
  <dimension ref="A1:Y25"/>
  <sheetViews>
    <sheetView zoomScale="80" zoomScaleNormal="80" workbookViewId="0">
      <selection activeCell="C8" sqref="C8"/>
    </sheetView>
  </sheetViews>
  <sheetFormatPr defaultColWidth="8.75" defaultRowHeight="14.25"/>
  <cols>
    <col min="1" max="1" width="3.625" style="201" customWidth="1"/>
    <col min="2" max="2" width="6.375" style="200" customWidth="1"/>
    <col min="3" max="5" width="18.125" style="200" customWidth="1"/>
    <col min="6" max="6" width="10.875" style="201" customWidth="1"/>
    <col min="7" max="7" width="9.625" style="200" customWidth="1"/>
    <col min="8" max="8" width="28.375" style="200" bestFit="1" customWidth="1"/>
    <col min="9" max="9" width="28.375" style="200" customWidth="1"/>
    <col min="10" max="10" width="0" style="200" hidden="1" customWidth="1"/>
    <col min="11" max="11" width="16.375" style="200" hidden="1" customWidth="1"/>
    <col min="12" max="21" width="0" style="200" hidden="1" customWidth="1"/>
    <col min="22" max="23" width="8.75" style="200"/>
    <col min="24" max="24" width="8.75" style="200" hidden="1" customWidth="1"/>
    <col min="25" max="25" width="10.375" style="200" customWidth="1"/>
    <col min="26" max="16384" width="8.75" style="200"/>
  </cols>
  <sheetData>
    <row r="1" spans="1:25">
      <c r="A1" s="199"/>
      <c r="J1" s="200" t="s">
        <v>100</v>
      </c>
      <c r="K1" s="200" t="s">
        <v>100</v>
      </c>
      <c r="L1" s="200" t="s">
        <v>100</v>
      </c>
      <c r="M1" s="200" t="s">
        <v>100</v>
      </c>
      <c r="N1" s="200" t="s">
        <v>100</v>
      </c>
      <c r="O1" s="200" t="s">
        <v>100</v>
      </c>
      <c r="P1" s="200" t="s">
        <v>100</v>
      </c>
      <c r="Q1" s="200" t="s">
        <v>100</v>
      </c>
      <c r="R1" s="200" t="s">
        <v>100</v>
      </c>
      <c r="S1" s="200" t="s">
        <v>100</v>
      </c>
      <c r="T1" s="200" t="s">
        <v>100</v>
      </c>
      <c r="U1" s="200" t="s">
        <v>100</v>
      </c>
      <c r="X1" s="200" t="s">
        <v>100</v>
      </c>
    </row>
    <row r="2" spans="1:25" s="201" customFormat="1" ht="9.75" customHeight="1"/>
    <row r="3" spans="1:25" ht="34.5" customHeight="1">
      <c r="A3" s="200"/>
      <c r="B3" s="464" t="s">
        <v>150</v>
      </c>
      <c r="C3" s="464"/>
      <c r="D3" s="464"/>
      <c r="E3" s="464"/>
      <c r="F3" s="464"/>
      <c r="G3" s="464"/>
    </row>
    <row r="4" spans="1:25" ht="28.9" customHeight="1">
      <c r="A4" s="200"/>
      <c r="B4" s="491" t="s">
        <v>90</v>
      </c>
      <c r="C4" s="491"/>
      <c r="D4" s="491"/>
      <c r="E4" s="491"/>
      <c r="F4" s="491"/>
      <c r="G4" s="491"/>
    </row>
    <row r="5" spans="1:25" ht="9" customHeight="1" thickBot="1">
      <c r="A5" s="200"/>
      <c r="B5" s="202"/>
      <c r="C5" s="202"/>
      <c r="D5" s="202"/>
      <c r="E5" s="202"/>
    </row>
    <row r="6" spans="1:25" s="203" customFormat="1" ht="21.75" customHeight="1" thickBot="1">
      <c r="B6" s="472" t="s">
        <v>106</v>
      </c>
      <c r="C6" s="303" t="s">
        <v>126</v>
      </c>
      <c r="D6" s="304"/>
      <c r="E6" s="304"/>
      <c r="F6" s="304"/>
      <c r="G6" s="304"/>
      <c r="H6" s="304"/>
      <c r="I6" s="304"/>
      <c r="J6" s="379"/>
      <c r="K6" s="303" t="s">
        <v>127</v>
      </c>
      <c r="L6" s="488" t="s">
        <v>104</v>
      </c>
      <c r="M6" s="490"/>
      <c r="N6" s="490"/>
      <c r="O6" s="490"/>
      <c r="P6" s="490"/>
      <c r="Q6" s="490"/>
      <c r="R6" s="490"/>
      <c r="S6" s="490"/>
      <c r="T6" s="490"/>
      <c r="U6" s="490"/>
      <c r="V6" s="490"/>
      <c r="W6" s="489"/>
      <c r="Y6" s="472" t="s">
        <v>105</v>
      </c>
    </row>
    <row r="7" spans="1:25" s="260" customFormat="1" ht="43.5" thickBot="1">
      <c r="B7" s="500"/>
      <c r="C7" s="207" t="s">
        <v>129</v>
      </c>
      <c r="D7" s="307" t="s">
        <v>110</v>
      </c>
      <c r="E7" s="307" t="s">
        <v>130</v>
      </c>
      <c r="F7" s="208" t="s">
        <v>131</v>
      </c>
      <c r="G7" s="208" t="s">
        <v>120</v>
      </c>
      <c r="H7" s="208" t="s">
        <v>151</v>
      </c>
      <c r="I7" s="265" t="s">
        <v>152</v>
      </c>
      <c r="J7" s="209" t="s">
        <v>134</v>
      </c>
      <c r="K7" s="209" t="s">
        <v>134</v>
      </c>
      <c r="L7" s="308" t="s">
        <v>135</v>
      </c>
      <c r="M7" s="309" t="s">
        <v>136</v>
      </c>
      <c r="N7" s="309" t="s">
        <v>153</v>
      </c>
      <c r="O7" s="309" t="s">
        <v>154</v>
      </c>
      <c r="P7" s="309" t="s">
        <v>155</v>
      </c>
      <c r="Q7" s="309" t="s">
        <v>156</v>
      </c>
      <c r="R7" s="309" t="s">
        <v>157</v>
      </c>
      <c r="S7" s="309" t="s">
        <v>158</v>
      </c>
      <c r="T7" s="309" t="s">
        <v>159</v>
      </c>
      <c r="U7" s="309" t="s">
        <v>160</v>
      </c>
      <c r="V7" s="309" t="s">
        <v>147</v>
      </c>
      <c r="W7" s="310" t="s">
        <v>69</v>
      </c>
      <c r="X7" s="260" t="s">
        <v>93</v>
      </c>
      <c r="Y7" s="500" t="s">
        <v>161</v>
      </c>
    </row>
    <row r="8" spans="1:25" s="203" customFormat="1" ht="21.75" customHeight="1">
      <c r="B8" s="311">
        <v>1</v>
      </c>
      <c r="C8" s="339"/>
      <c r="D8" s="340"/>
      <c r="E8" s="340"/>
      <c r="F8" s="342"/>
      <c r="G8" s="342"/>
      <c r="H8" s="342"/>
      <c r="I8" s="351"/>
      <c r="J8" s="313">
        <f>IFERROR(746*F8/0.85,0)</f>
        <v>0</v>
      </c>
      <c r="K8" s="312">
        <f>IFERROR(J8/0.18,0)</f>
        <v>0</v>
      </c>
      <c r="L8" s="315">
        <v>0.9</v>
      </c>
      <c r="M8" s="316">
        <f>IFERROR(INDEX('Lookup Table'!$C$260:$K$273,MATCH('Project Summary'!$C$12,'Lookup Table'!$B$260:$B$273,0),MATCH('Project Summary'!$C$11,'Lookup Table'!$C$259:$K$259,0)),0)</f>
        <v>0</v>
      </c>
      <c r="N8" s="316" t="str">
        <f>IF(AND(H8='Lookup Table'!$B$294,I8="Continuous"),8760,IF(AND(H8='Lookup Table'!$B$294,I8="Timer or Aquastat"),2190,""))</f>
        <v/>
      </c>
      <c r="O8" s="316" t="str">
        <f>IF(AND(H8='Lookup Table'!$B$294,I8="Continuous"),8760,IF(AND(H8='Lookup Table'!$B$294,I8="Timer or Aquastat"),2190,""))</f>
        <v/>
      </c>
      <c r="P8" s="316" t="str">
        <f>IF(AND(H8='Lookup Table'!$B$294,I8="Continuous"),1,IF(AND(H8='Lookup Table'!$B$294,I8="Timer or Aquastat"),0.25,""))</f>
        <v/>
      </c>
      <c r="Q8" s="316" t="str">
        <f>IF(AND(H8='Lookup Table'!$B$294,I8="Continuous"),1,IF(AND(H8='Lookup Table'!$B$294,I8="Timer or Aquastat"),0.25,""))</f>
        <v/>
      </c>
      <c r="R8" s="319">
        <f>IFERROR(G8*(K8-J8)/1000*M8*L8,"")</f>
        <v>0</v>
      </c>
      <c r="S8" s="316">
        <v>0</v>
      </c>
      <c r="T8" s="319" t="str">
        <f>IFERROR(G8*(K8*N8-J8*O8)/1000*L8,"")</f>
        <v/>
      </c>
      <c r="U8" s="318" t="str">
        <f>IFERROR(G8*(K8*P8-J8*Q8)/1000*L8,"")</f>
        <v/>
      </c>
      <c r="V8" s="319" t="str">
        <f>IFERROR(ROUND(IF(H8='Lookup Table'!$B$293,R8,IF(H8='Lookup Table'!$B$294,T8,"")),2),"")</f>
        <v/>
      </c>
      <c r="W8" s="320" t="str">
        <f>IFERROR(ROUND(IF(H8='Lookup Table'!$B$293,S8,IF(H8='Lookup Table'!$B$294,U8,"")),4),"")</f>
        <v/>
      </c>
      <c r="X8" s="203" t="str">
        <f>IFERROR(ROUND(V8*0.02+W8*200,2),"")</f>
        <v/>
      </c>
      <c r="Y8" s="380" t="str">
        <f>IFERROR('Project Summary'!$F$21*('ECM Circulator Pump'!X8/'Project Summary'!$E$21),"")</f>
        <v/>
      </c>
    </row>
    <row r="9" spans="1:25" s="203" customFormat="1" ht="21.75" customHeight="1">
      <c r="B9" s="322">
        <v>2</v>
      </c>
      <c r="C9" s="343"/>
      <c r="D9" s="344"/>
      <c r="E9" s="344"/>
      <c r="F9" s="346"/>
      <c r="G9" s="346"/>
      <c r="H9" s="346"/>
      <c r="I9" s="352"/>
      <c r="J9" s="324">
        <f t="shared" ref="J9:J17" si="0">IFERROR(746*F9/0.85,0)</f>
        <v>0</v>
      </c>
      <c r="K9" s="323">
        <f t="shared" ref="K9:K17" si="1">IFERROR(J9/0.18,0)</f>
        <v>0</v>
      </c>
      <c r="L9" s="325">
        <v>0.9</v>
      </c>
      <c r="M9" s="275">
        <f>IFERROR(INDEX('Lookup Table'!$C$260:$K$273,MATCH('Project Summary'!$C$12,'Lookup Table'!$B$260:$B$273,0),MATCH('Project Summary'!$C$11,'Lookup Table'!$C$259:$K$259,0)),0)</f>
        <v>0</v>
      </c>
      <c r="N9" s="275" t="str">
        <f>IF(AND(H9='Lookup Table'!$B$294,I9="Continuous"),8760,IF(AND(H9='Lookup Table'!$B$294,I9="Timer or Aquastat"),2190,""))</f>
        <v/>
      </c>
      <c r="O9" s="275" t="str">
        <f>IF(AND(H9='Lookup Table'!$B$294,I9="Continuous"),8760,IF(AND(H9='Lookup Table'!$B$294,I9="Timer or Aquastat"),2190,""))</f>
        <v/>
      </c>
      <c r="P9" s="275" t="str">
        <f>IF(AND(H9='Lookup Table'!$B$294,I9="Continuous"),1,IF(AND(H9='Lookup Table'!$B$294,I9="Timer or Aquastat"),0.25,""))</f>
        <v/>
      </c>
      <c r="Q9" s="275" t="str">
        <f>IF(AND(H9='Lookup Table'!$B$294,I9="Continuous"),1,IF(AND(H9='Lookup Table'!$B$294,I9="Timer or Aquastat"),0.25,""))</f>
        <v/>
      </c>
      <c r="R9" s="328">
        <f t="shared" ref="R9:R17" si="2">IFERROR(G9*(K9-J9)/1000*M9*L9,"")</f>
        <v>0</v>
      </c>
      <c r="S9" s="275">
        <v>0</v>
      </c>
      <c r="T9" s="328" t="str">
        <f t="shared" ref="T9:T17" si="3">IFERROR(G9*(K9*N9-J9*O9)/1000*L9,"")</f>
        <v/>
      </c>
      <c r="U9" s="327" t="str">
        <f t="shared" ref="U9:U17" si="4">IFERROR(G9*(K9*P9-J9*Q9)/1000*L9,"")</f>
        <v/>
      </c>
      <c r="V9" s="328" t="str">
        <f>IFERROR(ROUND(IF(H9='Lookup Table'!$B$293,R9,IF(H9='Lookup Table'!$B$294,T9,"")),2),"")</f>
        <v/>
      </c>
      <c r="W9" s="329" t="str">
        <f>IFERROR(ROUND(IF(H9='Lookup Table'!$B$293,S9,IF(H9='Lookup Table'!$B$294,U9,"")),4),"")</f>
        <v/>
      </c>
      <c r="X9" s="203" t="str">
        <f t="shared" ref="X9:X17" si="5">IFERROR(ROUND(V9*0.02+W9*200,2),"")</f>
        <v/>
      </c>
      <c r="Y9" s="381" t="str">
        <f>IFERROR('Project Summary'!$F$21*('ECM Circulator Pump'!X9/'Project Summary'!$E$21),"")</f>
        <v/>
      </c>
    </row>
    <row r="10" spans="1:25" s="203" customFormat="1" ht="21.75" customHeight="1">
      <c r="B10" s="322">
        <v>3</v>
      </c>
      <c r="C10" s="343"/>
      <c r="D10" s="344"/>
      <c r="E10" s="344"/>
      <c r="F10" s="346"/>
      <c r="G10" s="346"/>
      <c r="H10" s="346"/>
      <c r="I10" s="352"/>
      <c r="J10" s="324">
        <f t="shared" si="0"/>
        <v>0</v>
      </c>
      <c r="K10" s="323">
        <f t="shared" si="1"/>
        <v>0</v>
      </c>
      <c r="L10" s="325">
        <v>0.9</v>
      </c>
      <c r="M10" s="275">
        <f>IFERROR(INDEX('Lookup Table'!$C$260:$K$273,MATCH('Project Summary'!$C$12,'Lookup Table'!$B$260:$B$273,0),MATCH('Project Summary'!$C$11,'Lookup Table'!$C$259:$K$259,0)),0)</f>
        <v>0</v>
      </c>
      <c r="N10" s="275" t="str">
        <f>IF(AND(H10='Lookup Table'!$B$294,I10="Continuous"),8760,IF(AND(H10='Lookup Table'!$B$294,I10="Timer or Aquastat"),2190,""))</f>
        <v/>
      </c>
      <c r="O10" s="275" t="str">
        <f>IF(AND(H10='Lookup Table'!$B$294,I10="Continuous"),8760,IF(AND(H10='Lookup Table'!$B$294,I10="Timer or Aquastat"),2190,""))</f>
        <v/>
      </c>
      <c r="P10" s="275" t="str">
        <f>IF(AND(H10='Lookup Table'!$B$294,I10="Continuous"),1,IF(AND(H10='Lookup Table'!$B$294,I10="Timer or Aquastat"),0.25,""))</f>
        <v/>
      </c>
      <c r="Q10" s="275" t="str">
        <f>IF(AND(H10='Lookup Table'!$B$294,I10="Continuous"),1,IF(AND(H10='Lookup Table'!$B$294,I10="Timer or Aquastat"),0.25,""))</f>
        <v/>
      </c>
      <c r="R10" s="328">
        <f t="shared" si="2"/>
        <v>0</v>
      </c>
      <c r="S10" s="275">
        <v>0</v>
      </c>
      <c r="T10" s="328" t="str">
        <f t="shared" si="3"/>
        <v/>
      </c>
      <c r="U10" s="327" t="str">
        <f t="shared" si="4"/>
        <v/>
      </c>
      <c r="V10" s="328" t="str">
        <f>IFERROR(ROUND(IF(H10='Lookup Table'!$B$293,R10,IF(H10='Lookup Table'!$B$294,T10,"")),2),"")</f>
        <v/>
      </c>
      <c r="W10" s="329" t="str">
        <f>IFERROR(ROUND(IF(H10='Lookup Table'!$B$293,S10,IF(H10='Lookup Table'!$B$294,U10,"")),4),"")</f>
        <v/>
      </c>
      <c r="X10" s="203" t="str">
        <f t="shared" si="5"/>
        <v/>
      </c>
      <c r="Y10" s="381" t="str">
        <f>IFERROR('Project Summary'!$F$21*('ECM Circulator Pump'!X10/'Project Summary'!$E$21),"")</f>
        <v/>
      </c>
    </row>
    <row r="11" spans="1:25" s="203" customFormat="1" ht="21.75" customHeight="1">
      <c r="B11" s="322">
        <v>4</v>
      </c>
      <c r="C11" s="343"/>
      <c r="D11" s="344"/>
      <c r="E11" s="344"/>
      <c r="F11" s="346"/>
      <c r="G11" s="346"/>
      <c r="H11" s="346"/>
      <c r="I11" s="352"/>
      <c r="J11" s="324">
        <f t="shared" si="0"/>
        <v>0</v>
      </c>
      <c r="K11" s="323">
        <f t="shared" si="1"/>
        <v>0</v>
      </c>
      <c r="L11" s="325">
        <v>0.9</v>
      </c>
      <c r="M11" s="275">
        <f>IFERROR(INDEX('Lookup Table'!$C$260:$K$273,MATCH('Project Summary'!$C$12,'Lookup Table'!$B$260:$B$273,0),MATCH('Project Summary'!$C$11,'Lookup Table'!$C$259:$K$259,0)),0)</f>
        <v>0</v>
      </c>
      <c r="N11" s="275" t="str">
        <f>IF(AND(H11='Lookup Table'!$B$294,I11="Continuous"),8760,IF(AND(H11='Lookup Table'!$B$294,I11="Timer or Aquastat"),2190,""))</f>
        <v/>
      </c>
      <c r="O11" s="275" t="str">
        <f>IF(AND(H11='Lookup Table'!$B$294,I11="Continuous"),8760,IF(AND(H11='Lookup Table'!$B$294,I11="Timer or Aquastat"),2190,""))</f>
        <v/>
      </c>
      <c r="P11" s="275" t="str">
        <f>IF(AND(H11='Lookup Table'!$B$294,I11="Continuous"),1,IF(AND(H11='Lookup Table'!$B$294,I11="Timer or Aquastat"),0.25,""))</f>
        <v/>
      </c>
      <c r="Q11" s="275" t="str">
        <f>IF(AND(H11='Lookup Table'!$B$294,I11="Continuous"),1,IF(AND(H11='Lookup Table'!$B$294,I11="Timer or Aquastat"),0.25,""))</f>
        <v/>
      </c>
      <c r="R11" s="328">
        <f t="shared" si="2"/>
        <v>0</v>
      </c>
      <c r="S11" s="275">
        <v>0</v>
      </c>
      <c r="T11" s="328" t="str">
        <f t="shared" si="3"/>
        <v/>
      </c>
      <c r="U11" s="327" t="str">
        <f t="shared" si="4"/>
        <v/>
      </c>
      <c r="V11" s="328" t="str">
        <f>IFERROR(ROUND(IF(H11='Lookup Table'!$B$293,R11,IF(H11='Lookup Table'!$B$294,T11,"")),2),"")</f>
        <v/>
      </c>
      <c r="W11" s="329" t="str">
        <f>IFERROR(ROUND(IF(H11='Lookup Table'!$B$293,S11,IF(H11='Lookup Table'!$B$294,U11,"")),4),"")</f>
        <v/>
      </c>
      <c r="X11" s="203" t="str">
        <f t="shared" si="5"/>
        <v/>
      </c>
      <c r="Y11" s="381" t="str">
        <f>IFERROR('Project Summary'!$F$21*('ECM Circulator Pump'!X11/'Project Summary'!$E$21),"")</f>
        <v/>
      </c>
    </row>
    <row r="12" spans="1:25" s="203" customFormat="1" ht="21.75" customHeight="1">
      <c r="B12" s="322">
        <v>5</v>
      </c>
      <c r="C12" s="343"/>
      <c r="D12" s="344"/>
      <c r="E12" s="344"/>
      <c r="F12" s="346"/>
      <c r="G12" s="346"/>
      <c r="H12" s="346"/>
      <c r="I12" s="352"/>
      <c r="J12" s="324">
        <f t="shared" si="0"/>
        <v>0</v>
      </c>
      <c r="K12" s="323">
        <f t="shared" si="1"/>
        <v>0</v>
      </c>
      <c r="L12" s="325">
        <v>0.9</v>
      </c>
      <c r="M12" s="275">
        <f>IFERROR(INDEX('Lookup Table'!$C$260:$K$273,MATCH('Project Summary'!$C$12,'Lookup Table'!$B$260:$B$273,0),MATCH('Project Summary'!$C$11,'Lookup Table'!$C$259:$K$259,0)),0)</f>
        <v>0</v>
      </c>
      <c r="N12" s="275" t="str">
        <f>IF(AND(H12='Lookup Table'!$B$294,I12="Continuous"),8760,IF(AND(H12='Lookup Table'!$B$294,I12="Timer or Aquastat"),2190,""))</f>
        <v/>
      </c>
      <c r="O12" s="275" t="str">
        <f>IF(AND(H12='Lookup Table'!$B$294,I12="Continuous"),8760,IF(AND(H12='Lookup Table'!$B$294,I12="Timer or Aquastat"),2190,""))</f>
        <v/>
      </c>
      <c r="P12" s="275" t="str">
        <f>IF(AND(H12='Lookup Table'!$B$294,I12="Continuous"),1,IF(AND(H12='Lookup Table'!$B$294,I12="Timer or Aquastat"),0.25,""))</f>
        <v/>
      </c>
      <c r="Q12" s="275" t="str">
        <f>IF(AND(H12='Lookup Table'!$B$294,I12="Continuous"),1,IF(AND(H12='Lookup Table'!$B$294,I12="Timer or Aquastat"),0.25,""))</f>
        <v/>
      </c>
      <c r="R12" s="328">
        <f t="shared" si="2"/>
        <v>0</v>
      </c>
      <c r="S12" s="275">
        <v>0</v>
      </c>
      <c r="T12" s="328" t="str">
        <f t="shared" si="3"/>
        <v/>
      </c>
      <c r="U12" s="327" t="str">
        <f t="shared" si="4"/>
        <v/>
      </c>
      <c r="V12" s="328" t="str">
        <f>IFERROR(ROUND(IF(H12='Lookup Table'!$B$293,R12,IF(H12='Lookup Table'!$B$294,T12,"")),2),"")</f>
        <v/>
      </c>
      <c r="W12" s="329" t="str">
        <f>IFERROR(ROUND(IF(H12='Lookup Table'!$B$293,S12,IF(H12='Lookup Table'!$B$294,U12,"")),4),"")</f>
        <v/>
      </c>
      <c r="X12" s="203" t="str">
        <f t="shared" si="5"/>
        <v/>
      </c>
      <c r="Y12" s="381" t="str">
        <f>IFERROR('Project Summary'!$F$21*('ECM Circulator Pump'!X12/'Project Summary'!$E$21),"")</f>
        <v/>
      </c>
    </row>
    <row r="13" spans="1:25" s="203" customFormat="1" ht="21.75" customHeight="1">
      <c r="B13" s="322">
        <v>6</v>
      </c>
      <c r="C13" s="343"/>
      <c r="D13" s="344"/>
      <c r="E13" s="344"/>
      <c r="F13" s="346"/>
      <c r="G13" s="346"/>
      <c r="H13" s="346"/>
      <c r="I13" s="352"/>
      <c r="J13" s="324">
        <f t="shared" si="0"/>
        <v>0</v>
      </c>
      <c r="K13" s="323">
        <f t="shared" si="1"/>
        <v>0</v>
      </c>
      <c r="L13" s="325">
        <v>0.9</v>
      </c>
      <c r="M13" s="275">
        <f>IFERROR(INDEX('Lookup Table'!$C$260:$K$273,MATCH('Project Summary'!$C$12,'Lookup Table'!$B$260:$B$273,0),MATCH('Project Summary'!$C$11,'Lookup Table'!$C$259:$K$259,0)),0)</f>
        <v>0</v>
      </c>
      <c r="N13" s="275" t="str">
        <f>IF(AND(H13='Lookup Table'!$B$294,I13="Continuous"),8760,IF(AND(H13='Lookup Table'!$B$294,I13="Timer or Aquastat"),2190,""))</f>
        <v/>
      </c>
      <c r="O13" s="275" t="str">
        <f>IF(AND(H13='Lookup Table'!$B$294,I13="Continuous"),8760,IF(AND(H13='Lookup Table'!$B$294,I13="Timer or Aquastat"),2190,""))</f>
        <v/>
      </c>
      <c r="P13" s="275" t="str">
        <f>IF(AND(H13='Lookup Table'!$B$294,I13="Continuous"),1,IF(AND(H13='Lookup Table'!$B$294,I13="Timer or Aquastat"),0.25,""))</f>
        <v/>
      </c>
      <c r="Q13" s="275" t="str">
        <f>IF(AND(H13='Lookup Table'!$B$294,I13="Continuous"),1,IF(AND(H13='Lookup Table'!$B$294,I13="Timer or Aquastat"),0.25,""))</f>
        <v/>
      </c>
      <c r="R13" s="328">
        <f t="shared" si="2"/>
        <v>0</v>
      </c>
      <c r="S13" s="275">
        <v>0</v>
      </c>
      <c r="T13" s="328" t="str">
        <f t="shared" si="3"/>
        <v/>
      </c>
      <c r="U13" s="327" t="str">
        <f t="shared" si="4"/>
        <v/>
      </c>
      <c r="V13" s="328" t="str">
        <f>IFERROR(ROUND(IF(H13='Lookup Table'!$B$293,R13,IF(H13='Lookup Table'!$B$294,T13,"")),2),"")</f>
        <v/>
      </c>
      <c r="W13" s="329" t="str">
        <f>IFERROR(ROUND(IF(H13='Lookup Table'!$B$293,S13,IF(H13='Lookup Table'!$B$294,U13,"")),4),"")</f>
        <v/>
      </c>
      <c r="X13" s="203" t="str">
        <f t="shared" si="5"/>
        <v/>
      </c>
      <c r="Y13" s="381" t="str">
        <f>IFERROR('Project Summary'!$F$21*('ECM Circulator Pump'!X13/'Project Summary'!$E$21),"")</f>
        <v/>
      </c>
    </row>
    <row r="14" spans="1:25" s="203" customFormat="1" ht="21.75" customHeight="1">
      <c r="B14" s="322">
        <v>7</v>
      </c>
      <c r="C14" s="343"/>
      <c r="D14" s="344"/>
      <c r="E14" s="344"/>
      <c r="F14" s="346"/>
      <c r="G14" s="346"/>
      <c r="H14" s="346"/>
      <c r="I14" s="352"/>
      <c r="J14" s="324">
        <f t="shared" si="0"/>
        <v>0</v>
      </c>
      <c r="K14" s="323">
        <f t="shared" si="1"/>
        <v>0</v>
      </c>
      <c r="L14" s="325">
        <v>0.9</v>
      </c>
      <c r="M14" s="275">
        <f>IFERROR(INDEX('Lookup Table'!$C$260:$K$273,MATCH('Project Summary'!$C$12,'Lookup Table'!$B$260:$B$273,0),MATCH('Project Summary'!$C$11,'Lookup Table'!$C$259:$K$259,0)),0)</f>
        <v>0</v>
      </c>
      <c r="N14" s="275" t="str">
        <f>IF(AND(H14='Lookup Table'!$B$294,I14="Continuous"),8760,IF(AND(H14='Lookup Table'!$B$294,I14="Timer or Aquastat"),2190,""))</f>
        <v/>
      </c>
      <c r="O14" s="275" t="str">
        <f>IF(AND(H14='Lookup Table'!$B$294,I14="Continuous"),8760,IF(AND(H14='Lookup Table'!$B$294,I14="Timer or Aquastat"),2190,""))</f>
        <v/>
      </c>
      <c r="P14" s="275" t="str">
        <f>IF(AND(H14='Lookup Table'!$B$294,I14="Continuous"),1,IF(AND(H14='Lookup Table'!$B$294,I14="Timer or Aquastat"),0.25,""))</f>
        <v/>
      </c>
      <c r="Q14" s="275" t="str">
        <f>IF(AND(H14='Lookup Table'!$B$294,I14="Continuous"),1,IF(AND(H14='Lookup Table'!$B$294,I14="Timer or Aquastat"),0.25,""))</f>
        <v/>
      </c>
      <c r="R14" s="328">
        <f t="shared" si="2"/>
        <v>0</v>
      </c>
      <c r="S14" s="275">
        <v>0</v>
      </c>
      <c r="T14" s="328" t="str">
        <f t="shared" si="3"/>
        <v/>
      </c>
      <c r="U14" s="327" t="str">
        <f t="shared" si="4"/>
        <v/>
      </c>
      <c r="V14" s="328" t="str">
        <f>IFERROR(ROUND(IF(H14='Lookup Table'!$B$293,R14,IF(H14='Lookup Table'!$B$294,T14,"")),2),"")</f>
        <v/>
      </c>
      <c r="W14" s="329" t="str">
        <f>IFERROR(ROUND(IF(H14='Lookup Table'!$B$293,S14,IF(H14='Lookup Table'!$B$294,U14,"")),4),"")</f>
        <v/>
      </c>
      <c r="X14" s="203" t="str">
        <f t="shared" si="5"/>
        <v/>
      </c>
      <c r="Y14" s="381" t="str">
        <f>IFERROR('Project Summary'!$F$21*('ECM Circulator Pump'!X14/'Project Summary'!$E$21),"")</f>
        <v/>
      </c>
    </row>
    <row r="15" spans="1:25" s="203" customFormat="1" ht="21.75" customHeight="1">
      <c r="B15" s="322">
        <v>8</v>
      </c>
      <c r="C15" s="343"/>
      <c r="D15" s="344"/>
      <c r="E15" s="344"/>
      <c r="F15" s="346"/>
      <c r="G15" s="346"/>
      <c r="H15" s="346"/>
      <c r="I15" s="352"/>
      <c r="J15" s="324">
        <f t="shared" si="0"/>
        <v>0</v>
      </c>
      <c r="K15" s="323">
        <f t="shared" si="1"/>
        <v>0</v>
      </c>
      <c r="L15" s="325">
        <v>0.9</v>
      </c>
      <c r="M15" s="275">
        <f>IFERROR(INDEX('Lookup Table'!$C$260:$K$273,MATCH('Project Summary'!$C$12,'Lookup Table'!$B$260:$B$273,0),MATCH('Project Summary'!$C$11,'Lookup Table'!$C$259:$K$259,0)),0)</f>
        <v>0</v>
      </c>
      <c r="N15" s="275" t="str">
        <f>IF(AND(H15='Lookup Table'!$B$294,I15="Continuous"),8760,IF(AND(H15='Lookup Table'!$B$294,I15="Timer or Aquastat"),2190,""))</f>
        <v/>
      </c>
      <c r="O15" s="275" t="str">
        <f>IF(AND(H15='Lookup Table'!$B$294,I15="Continuous"),8760,IF(AND(H15='Lookup Table'!$B$294,I15="Timer or Aquastat"),2190,""))</f>
        <v/>
      </c>
      <c r="P15" s="275" t="str">
        <f>IF(AND(H15='Lookup Table'!$B$294,I15="Continuous"),1,IF(AND(H15='Lookup Table'!$B$294,I15="Timer or Aquastat"),0.25,""))</f>
        <v/>
      </c>
      <c r="Q15" s="275" t="str">
        <f>IF(AND(H15='Lookup Table'!$B$294,I15="Continuous"),1,IF(AND(H15='Lookup Table'!$B$294,I15="Timer or Aquastat"),0.25,""))</f>
        <v/>
      </c>
      <c r="R15" s="328">
        <f t="shared" si="2"/>
        <v>0</v>
      </c>
      <c r="S15" s="275">
        <v>0</v>
      </c>
      <c r="T15" s="328" t="str">
        <f t="shared" si="3"/>
        <v/>
      </c>
      <c r="U15" s="327" t="str">
        <f t="shared" si="4"/>
        <v/>
      </c>
      <c r="V15" s="328" t="str">
        <f>IFERROR(ROUND(IF(H15='Lookup Table'!$B$293,R15,IF(H15='Lookup Table'!$B$294,T15,"")),2),"")</f>
        <v/>
      </c>
      <c r="W15" s="329" t="str">
        <f>IFERROR(ROUND(IF(H15='Lookup Table'!$B$293,S15,IF(H15='Lookup Table'!$B$294,U15,"")),4),"")</f>
        <v/>
      </c>
      <c r="X15" s="203" t="str">
        <f t="shared" si="5"/>
        <v/>
      </c>
      <c r="Y15" s="381" t="str">
        <f>IFERROR('Project Summary'!$F$21*('ECM Circulator Pump'!X15/'Project Summary'!$E$21),"")</f>
        <v/>
      </c>
    </row>
    <row r="16" spans="1:25" s="203" customFormat="1" ht="21.75" customHeight="1">
      <c r="B16" s="322">
        <v>9</v>
      </c>
      <c r="C16" s="343"/>
      <c r="D16" s="344"/>
      <c r="E16" s="344"/>
      <c r="F16" s="346"/>
      <c r="G16" s="346"/>
      <c r="H16" s="346"/>
      <c r="I16" s="352"/>
      <c r="J16" s="324">
        <f t="shared" si="0"/>
        <v>0</v>
      </c>
      <c r="K16" s="323">
        <f t="shared" si="1"/>
        <v>0</v>
      </c>
      <c r="L16" s="325">
        <v>0.9</v>
      </c>
      <c r="M16" s="275">
        <f>IFERROR(INDEX('Lookup Table'!$C$260:$K$273,MATCH('Project Summary'!$C$12,'Lookup Table'!$B$260:$B$273,0),MATCH('Project Summary'!$C$11,'Lookup Table'!$C$259:$K$259,0)),0)</f>
        <v>0</v>
      </c>
      <c r="N16" s="275" t="str">
        <f>IF(AND(H16='Lookup Table'!$B$294,I16="Continuous"),8760,IF(AND(H16='Lookup Table'!$B$294,I16="Timer or Aquastat"),2190,""))</f>
        <v/>
      </c>
      <c r="O16" s="275" t="str">
        <f>IF(AND(H16='Lookup Table'!$B$294,I16="Continuous"),8760,IF(AND(H16='Lookup Table'!$B$294,I16="Timer or Aquastat"),2190,""))</f>
        <v/>
      </c>
      <c r="P16" s="275" t="str">
        <f>IF(AND(H16='Lookup Table'!$B$294,I16="Continuous"),1,IF(AND(H16='Lookup Table'!$B$294,I16="Timer or Aquastat"),0.25,""))</f>
        <v/>
      </c>
      <c r="Q16" s="275" t="str">
        <f>IF(AND(H16='Lookup Table'!$B$294,I16="Continuous"),1,IF(AND(H16='Lookup Table'!$B$294,I16="Timer or Aquastat"),0.25,""))</f>
        <v/>
      </c>
      <c r="R16" s="328">
        <f t="shared" si="2"/>
        <v>0</v>
      </c>
      <c r="S16" s="275">
        <v>0</v>
      </c>
      <c r="T16" s="328" t="str">
        <f t="shared" si="3"/>
        <v/>
      </c>
      <c r="U16" s="327" t="str">
        <f t="shared" si="4"/>
        <v/>
      </c>
      <c r="V16" s="328" t="str">
        <f>IFERROR(ROUND(IF(H16='Lookup Table'!$B$293,R16,IF(H16='Lookup Table'!$B$294,T16,"")),2),"")</f>
        <v/>
      </c>
      <c r="W16" s="329" t="str">
        <f>IFERROR(ROUND(IF(H16='Lookup Table'!$B$293,S16,IF(H16='Lookup Table'!$B$294,U16,"")),4),"")</f>
        <v/>
      </c>
      <c r="X16" s="203" t="str">
        <f t="shared" si="5"/>
        <v/>
      </c>
      <c r="Y16" s="381" t="str">
        <f>IFERROR('Project Summary'!$F$21*('ECM Circulator Pump'!X16/'Project Summary'!$E$21),"")</f>
        <v/>
      </c>
    </row>
    <row r="17" spans="2:25" s="203" customFormat="1" ht="21.75" customHeight="1" thickBot="1">
      <c r="B17" s="330">
        <v>10</v>
      </c>
      <c r="C17" s="347"/>
      <c r="D17" s="348"/>
      <c r="E17" s="348"/>
      <c r="F17" s="350"/>
      <c r="G17" s="350"/>
      <c r="H17" s="350"/>
      <c r="I17" s="353"/>
      <c r="J17" s="332">
        <f t="shared" si="0"/>
        <v>0</v>
      </c>
      <c r="K17" s="331">
        <f t="shared" si="1"/>
        <v>0</v>
      </c>
      <c r="L17" s="333">
        <v>0.9</v>
      </c>
      <c r="M17" s="281">
        <f>IFERROR(INDEX('Lookup Table'!$C$260:$K$273,MATCH('Project Summary'!$C$12,'Lookup Table'!$B$260:$B$273,0),MATCH('Project Summary'!$C$11,'Lookup Table'!$C$259:$K$259,0)),0)</f>
        <v>0</v>
      </c>
      <c r="N17" s="281" t="str">
        <f>IF(AND(H17='Lookup Table'!$B$294,I17="Continuous"),8760,IF(AND(H17='Lookup Table'!$B$294,I17="Timer or Aquastat"),2190,""))</f>
        <v/>
      </c>
      <c r="O17" s="281" t="str">
        <f>IF(AND(H17='Lookup Table'!$B$294,I17="Continuous"),8760,IF(AND(H17='Lookup Table'!$B$294,I17="Timer or Aquastat"),2190,""))</f>
        <v/>
      </c>
      <c r="P17" s="281" t="str">
        <f>IF(AND(H17='Lookup Table'!$B$294,I17="Continuous"),1,IF(AND(H17='Lookup Table'!$B$294,I17="Timer or Aquastat"),0.25,""))</f>
        <v/>
      </c>
      <c r="Q17" s="281" t="str">
        <f>IF(AND(H17='Lookup Table'!$B$294,I17="Continuous"),1,IF(AND(H17='Lookup Table'!$B$294,I17="Timer or Aquastat"),0.25,""))</f>
        <v/>
      </c>
      <c r="R17" s="336">
        <f t="shared" si="2"/>
        <v>0</v>
      </c>
      <c r="S17" s="281">
        <v>0</v>
      </c>
      <c r="T17" s="336" t="str">
        <f t="shared" si="3"/>
        <v/>
      </c>
      <c r="U17" s="335" t="str">
        <f t="shared" si="4"/>
        <v/>
      </c>
      <c r="V17" s="336" t="str">
        <f>IFERROR(ROUND(IF(H17='Lookup Table'!$B$293,R17,IF(H17='Lookup Table'!$B$294,T17,"")),2),"")</f>
        <v/>
      </c>
      <c r="W17" s="337" t="str">
        <f>IFERROR(ROUND(IF(H17='Lookup Table'!$B$293,S17,IF(H17='Lookup Table'!$B$294,U17,"")),4),"")</f>
        <v/>
      </c>
      <c r="X17" s="203" t="str">
        <f t="shared" si="5"/>
        <v/>
      </c>
      <c r="Y17" s="382" t="str">
        <f>IFERROR('Project Summary'!$F$21*('ECM Circulator Pump'!X17/'Project Summary'!$E$21),"")</f>
        <v/>
      </c>
    </row>
    <row r="18" spans="2:25" s="203" customFormat="1" ht="21.75" customHeight="1">
      <c r="B18" s="338"/>
      <c r="C18" s="338"/>
      <c r="D18" s="338"/>
      <c r="E18" s="338"/>
      <c r="F18" s="241"/>
    </row>
    <row r="19" spans="2:25" s="203" customFormat="1" ht="21.75" customHeight="1">
      <c r="B19" s="338"/>
      <c r="C19" s="338"/>
      <c r="D19" s="338"/>
      <c r="E19" s="338"/>
      <c r="F19" s="241"/>
    </row>
    <row r="20" spans="2:25" s="201" customFormat="1" ht="21.75" customHeight="1"/>
    <row r="21" spans="2:25" ht="21.75" customHeight="1">
      <c r="B21" s="242"/>
    </row>
    <row r="22" spans="2:25" ht="21.75" customHeight="1"/>
    <row r="23" spans="2:25" ht="21.75" customHeight="1"/>
    <row r="24" spans="2:25" ht="21.75" customHeight="1"/>
    <row r="25" spans="2:25" ht="21.75" customHeight="1"/>
  </sheetData>
  <sheetProtection algorithmName="SHA-512" hashValue="QxfHaUIgtjLRmgaTWNC+YeFBlIeYUS3/CIzt3ggSlewT4LPbyIGXxtcJniaJttUsoBFx3NbN1KInVyMie71umA==" saltValue="6dz6ZsTg+nagG3B6f9qzKA==" spinCount="100000" sheet="1" objects="1" scenarios="1"/>
  <mergeCells count="5">
    <mergeCell ref="B3:G3"/>
    <mergeCell ref="B4:G4"/>
    <mergeCell ref="L6:W6"/>
    <mergeCell ref="B6:B7"/>
    <mergeCell ref="Y6:Y7"/>
  </mergeCells>
  <conditionalFormatting sqref="I8:I17">
    <cfRule type="expression" dxfId="0" priority="1">
      <formula>H8="Heating Circulation"</formula>
    </cfRule>
  </conditionalFormatting>
  <dataValidations count="2">
    <dataValidation operator="lessThanOrEqual" allowBlank="1" showInputMessage="1" showErrorMessage="1" sqref="F8:F17" xr:uid="{3C8468BF-3C09-461B-AC74-F4CAAF5FD351}"/>
    <dataValidation type="list" allowBlank="1" showInputMessage="1" showErrorMessage="1" sqref="I8:I17" xr:uid="{29E8A269-976D-4EF0-A117-11DF402C0785}">
      <formula1>"Continuous,Timer or Aquastat"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D47E7B5-711F-42E2-96A6-31A8EE495AF3}">
          <x14:formula1>
            <xm:f>'Lookup Table'!$B$293:$B$294</xm:f>
          </x14:formula1>
          <xm:sqref>H8:H17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474C-4793-4A21-9794-693B3B696006}">
  <sheetPr>
    <tabColor theme="8" tint="0.59999389629810485"/>
  </sheetPr>
  <dimension ref="A1:X21"/>
  <sheetViews>
    <sheetView zoomScale="80" zoomScaleNormal="80" workbookViewId="0">
      <selection activeCell="O10" sqref="O10"/>
    </sheetView>
  </sheetViews>
  <sheetFormatPr defaultColWidth="8.75" defaultRowHeight="14.25"/>
  <cols>
    <col min="1" max="1" width="3.625" style="201" customWidth="1"/>
    <col min="2" max="2" width="6.125" style="200" customWidth="1"/>
    <col min="3" max="3" width="8" style="200" customWidth="1"/>
    <col min="4" max="6" width="22.375" style="200" customWidth="1"/>
    <col min="7" max="7" width="8.75" style="201"/>
    <col min="8" max="8" width="7.5" style="200" hidden="1" customWidth="1"/>
    <col min="9" max="9" width="20.125" style="200" customWidth="1"/>
    <col min="10" max="10" width="14.75" style="200" customWidth="1"/>
    <col min="11" max="11" width="7" style="200" hidden="1" customWidth="1"/>
    <col min="12" max="12" width="6.75" style="200" hidden="1" customWidth="1"/>
    <col min="13" max="13" width="19" style="200" customWidth="1"/>
    <col min="14" max="15" width="15.5" style="200" customWidth="1"/>
    <col min="16" max="16" width="15.5" style="200" hidden="1" customWidth="1"/>
    <col min="17" max="20" width="0" style="200" hidden="1" customWidth="1"/>
    <col min="21" max="22" width="8.75" style="200"/>
    <col min="23" max="23" width="8.75" style="200" hidden="1" customWidth="1"/>
    <col min="24" max="24" width="10.625" style="200" customWidth="1"/>
    <col min="25" max="16384" width="8.75" style="200"/>
  </cols>
  <sheetData>
    <row r="1" spans="1:24">
      <c r="A1" s="199"/>
      <c r="H1" s="200" t="s">
        <v>100</v>
      </c>
      <c r="K1" s="200" t="s">
        <v>100</v>
      </c>
      <c r="L1" s="200" t="s">
        <v>100</v>
      </c>
      <c r="P1" s="200" t="s">
        <v>100</v>
      </c>
      <c r="Q1" s="200" t="s">
        <v>100</v>
      </c>
      <c r="R1" s="200" t="s">
        <v>100</v>
      </c>
      <c r="S1" s="200" t="s">
        <v>100</v>
      </c>
      <c r="T1" s="200" t="s">
        <v>100</v>
      </c>
      <c r="W1" s="200" t="s">
        <v>100</v>
      </c>
    </row>
    <row r="2" spans="1:24" s="201" customFormat="1" ht="9.75" customHeight="1"/>
    <row r="3" spans="1:24" ht="34.5" customHeight="1">
      <c r="A3" s="200"/>
      <c r="B3" s="464" t="s">
        <v>98</v>
      </c>
      <c r="C3" s="464"/>
      <c r="D3" s="464"/>
      <c r="E3" s="464"/>
      <c r="F3" s="464"/>
      <c r="G3" s="464"/>
      <c r="H3" s="464"/>
    </row>
    <row r="4" spans="1:24" ht="28.9" customHeight="1">
      <c r="A4" s="200"/>
      <c r="B4" s="465" t="s">
        <v>90</v>
      </c>
      <c r="C4" s="465"/>
      <c r="D4" s="465"/>
      <c r="E4" s="465"/>
      <c r="F4" s="465"/>
      <c r="G4" s="465"/>
      <c r="H4" s="465"/>
    </row>
    <row r="5" spans="1:24" ht="9" customHeight="1" thickBot="1">
      <c r="A5" s="200"/>
      <c r="B5" s="202"/>
      <c r="C5" s="202"/>
      <c r="D5" s="201"/>
      <c r="E5" s="201"/>
      <c r="F5" s="201"/>
    </row>
    <row r="6" spans="1:24" s="203" customFormat="1" ht="24.75" customHeight="1" thickBot="1">
      <c r="B6" s="472" t="s">
        <v>106</v>
      </c>
      <c r="C6" s="495" t="s">
        <v>162</v>
      </c>
      <c r="D6" s="496"/>
      <c r="E6" s="496"/>
      <c r="F6" s="496"/>
      <c r="G6" s="496"/>
      <c r="H6" s="496"/>
      <c r="I6" s="496"/>
      <c r="J6" s="496"/>
      <c r="K6" s="496"/>
      <c r="L6" s="496"/>
      <c r="M6" s="496"/>
      <c r="N6" s="496"/>
      <c r="O6" s="497"/>
      <c r="P6" s="483" t="s">
        <v>104</v>
      </c>
      <c r="Q6" s="484"/>
      <c r="R6" s="484"/>
      <c r="S6" s="484"/>
      <c r="T6" s="484"/>
      <c r="U6" s="484"/>
      <c r="V6" s="485"/>
      <c r="X6" s="472" t="s">
        <v>105</v>
      </c>
    </row>
    <row r="7" spans="1:24" s="203" customFormat="1" ht="39.75" customHeight="1" thickBot="1">
      <c r="B7" s="500"/>
      <c r="C7" s="207" t="s">
        <v>35</v>
      </c>
      <c r="D7" s="208" t="s">
        <v>163</v>
      </c>
      <c r="E7" s="208" t="s">
        <v>164</v>
      </c>
      <c r="F7" s="208" t="s">
        <v>165</v>
      </c>
      <c r="G7" s="208" t="s">
        <v>166</v>
      </c>
      <c r="H7" s="208" t="s">
        <v>107</v>
      </c>
      <c r="I7" s="207" t="s">
        <v>112</v>
      </c>
      <c r="J7" s="208" t="s">
        <v>108</v>
      </c>
      <c r="K7" s="208" t="s">
        <v>73</v>
      </c>
      <c r="L7" s="209" t="s">
        <v>109</v>
      </c>
      <c r="M7" s="207" t="s">
        <v>110</v>
      </c>
      <c r="N7" s="208" t="s">
        <v>111</v>
      </c>
      <c r="O7" s="307" t="s">
        <v>167</v>
      </c>
      <c r="P7" s="207" t="s">
        <v>168</v>
      </c>
      <c r="Q7" s="207" t="s">
        <v>113</v>
      </c>
      <c r="R7" s="208" t="s">
        <v>114</v>
      </c>
      <c r="S7" s="208" t="s">
        <v>115</v>
      </c>
      <c r="T7" s="208" t="s">
        <v>116</v>
      </c>
      <c r="U7" s="208" t="s">
        <v>66</v>
      </c>
      <c r="V7" s="209" t="s">
        <v>92</v>
      </c>
      <c r="W7" s="203" t="s">
        <v>93</v>
      </c>
      <c r="X7" s="500" t="s">
        <v>161</v>
      </c>
    </row>
    <row r="8" spans="1:24" s="203" customFormat="1" ht="22.15" customHeight="1">
      <c r="B8" s="211">
        <v>1</v>
      </c>
      <c r="C8" s="170"/>
      <c r="D8" s="121"/>
      <c r="E8" s="121"/>
      <c r="F8" s="121"/>
      <c r="G8" s="243"/>
      <c r="H8" s="212">
        <v>0.79</v>
      </c>
      <c r="I8" s="248"/>
      <c r="J8" s="389"/>
      <c r="K8" s="213">
        <f>IFERROR('Lookup Table'!H299,0)</f>
        <v>0</v>
      </c>
      <c r="L8" s="214">
        <f>IFERROR('Lookup Table'!I299,0)</f>
        <v>0</v>
      </c>
      <c r="M8" s="248"/>
      <c r="N8" s="253"/>
      <c r="O8" s="392"/>
      <c r="P8" s="383" t="e">
        <f>INDEX('Lookup Table'!$L$299:$M$305,MATCH('High Efficiency Pumps'!E8,'Lookup Table'!$K$299:$K$305,0),MATCH('High Efficiency Pumps'!F8,'Lookup Table'!$L$298:$M$298,0))</f>
        <v>#N/A</v>
      </c>
      <c r="Q8" s="215" t="str">
        <f>IFERROR(G8*0.746*I8*H8/J8*P8*K8,"")</f>
        <v/>
      </c>
      <c r="R8" s="216" t="str">
        <f>IFERROR(G8*0.746*I8*H8/J8*P8*L8,"")</f>
        <v/>
      </c>
      <c r="S8" s="213" t="str">
        <f>IFERROR(G8*0.746*I8*H8/J8*O8*K8,"")</f>
        <v/>
      </c>
      <c r="T8" s="217" t="str">
        <f>IFERROR(G8*0.746*I8*H8/J8*O8*L8,"")</f>
        <v/>
      </c>
      <c r="U8" s="213" t="str">
        <f>IFERROR(ROUND(Q8-S8,2),"")</f>
        <v/>
      </c>
      <c r="V8" s="218" t="str">
        <f>IFERROR(ROUND(R8-T8,4),"")</f>
        <v/>
      </c>
      <c r="W8" s="203" t="str">
        <f>IFERROR(ROUND(U8*0.02+V8*200,2),"")</f>
        <v/>
      </c>
      <c r="X8" s="384" t="str">
        <f>IFERROR('Project Summary'!$F$21*('High Efficiency Pumps'!W8/'Project Summary'!$E$21),"")</f>
        <v/>
      </c>
    </row>
    <row r="9" spans="1:24" s="203" customFormat="1" ht="22.15" customHeight="1">
      <c r="B9" s="221">
        <v>2</v>
      </c>
      <c r="C9" s="171"/>
      <c r="D9" s="108"/>
      <c r="E9" s="108"/>
      <c r="F9" s="108"/>
      <c r="G9" s="244"/>
      <c r="H9" s="222">
        <v>0.79</v>
      </c>
      <c r="I9" s="250"/>
      <c r="J9" s="390"/>
      <c r="K9" s="223">
        <f>IFERROR('Lookup Table'!H300,0)</f>
        <v>0</v>
      </c>
      <c r="L9" s="224">
        <f>IFERROR('Lookup Table'!I300,0)</f>
        <v>0</v>
      </c>
      <c r="M9" s="250"/>
      <c r="N9" s="254"/>
      <c r="O9" s="393"/>
      <c r="P9" s="385" t="e">
        <f>INDEX('Lookup Table'!$L$299:$M$305,MATCH('High Efficiency Pumps'!E9,'Lookup Table'!$K$299:$K$305,0),MATCH('High Efficiency Pumps'!F9,'Lookup Table'!$L$298:$M$298,0))</f>
        <v>#N/A</v>
      </c>
      <c r="Q9" s="225" t="str">
        <f t="shared" ref="Q9:Q17" si="0">IFERROR(G9*0.746*I9*H9/J9*P9*K9,"")</f>
        <v/>
      </c>
      <c r="R9" s="226" t="str">
        <f t="shared" ref="R9:R17" si="1">IFERROR(G9*0.746*I9*H9/J9*P9*L9,"")</f>
        <v/>
      </c>
      <c r="S9" s="223" t="str">
        <f t="shared" ref="S9:S17" si="2">IFERROR(G9*0.746*I9*H9/J9*O9*K9,"")</f>
        <v/>
      </c>
      <c r="T9" s="227" t="str">
        <f t="shared" ref="T9:T17" si="3">IFERROR(G9*0.746*I9*H9/J9*O9*L9,"")</f>
        <v/>
      </c>
      <c r="U9" s="223" t="str">
        <f t="shared" ref="U9:U17" si="4">IFERROR(ROUND(Q9-S9,2),"")</f>
        <v/>
      </c>
      <c r="V9" s="228" t="str">
        <f t="shared" ref="V9:V17" si="5">IFERROR(ROUND(R9-T9,4),"")</f>
        <v/>
      </c>
      <c r="W9" s="203" t="str">
        <f t="shared" ref="W9:W17" si="6">IFERROR(ROUND(U9*0.02+V9*200,2),"")</f>
        <v/>
      </c>
      <c r="X9" s="386" t="str">
        <f>IFERROR('Project Summary'!$F$21*('High Efficiency Pumps'!W9/'Project Summary'!$E$21),"")</f>
        <v/>
      </c>
    </row>
    <row r="10" spans="1:24" s="203" customFormat="1" ht="22.15" customHeight="1">
      <c r="B10" s="221">
        <v>3</v>
      </c>
      <c r="C10" s="171"/>
      <c r="D10" s="108"/>
      <c r="E10" s="108"/>
      <c r="F10" s="108"/>
      <c r="G10" s="244"/>
      <c r="H10" s="222">
        <v>0.79</v>
      </c>
      <c r="I10" s="250"/>
      <c r="J10" s="390"/>
      <c r="K10" s="223">
        <f>IFERROR('Lookup Table'!H301,0)</f>
        <v>0</v>
      </c>
      <c r="L10" s="224">
        <f>IFERROR('Lookup Table'!I301,0)</f>
        <v>0</v>
      </c>
      <c r="M10" s="250"/>
      <c r="N10" s="254"/>
      <c r="O10" s="393"/>
      <c r="P10" s="385" t="e">
        <f>INDEX('Lookup Table'!$L$299:$M$305,MATCH('High Efficiency Pumps'!E10,'Lookup Table'!$K$299:$K$305,0),MATCH('High Efficiency Pumps'!F10,'Lookup Table'!$L$298:$M$298,0))</f>
        <v>#N/A</v>
      </c>
      <c r="Q10" s="225" t="str">
        <f t="shared" si="0"/>
        <v/>
      </c>
      <c r="R10" s="226" t="str">
        <f t="shared" si="1"/>
        <v/>
      </c>
      <c r="S10" s="223" t="str">
        <f t="shared" si="2"/>
        <v/>
      </c>
      <c r="T10" s="227" t="str">
        <f t="shared" si="3"/>
        <v/>
      </c>
      <c r="U10" s="223" t="str">
        <f t="shared" si="4"/>
        <v/>
      </c>
      <c r="V10" s="228" t="str">
        <f t="shared" si="5"/>
        <v/>
      </c>
      <c r="W10" s="203" t="str">
        <f t="shared" si="6"/>
        <v/>
      </c>
      <c r="X10" s="386" t="str">
        <f>IFERROR('Project Summary'!$F$21*('High Efficiency Pumps'!W10/'Project Summary'!$E$21),"")</f>
        <v/>
      </c>
    </row>
    <row r="11" spans="1:24" s="203" customFormat="1" ht="22.15" customHeight="1">
      <c r="B11" s="221">
        <v>4</v>
      </c>
      <c r="C11" s="172"/>
      <c r="D11" s="108"/>
      <c r="E11" s="108"/>
      <c r="F11" s="108"/>
      <c r="G11" s="244"/>
      <c r="H11" s="222">
        <v>0.79</v>
      </c>
      <c r="I11" s="250"/>
      <c r="J11" s="390"/>
      <c r="K11" s="223">
        <f>IFERROR('Lookup Table'!H302,0)</f>
        <v>0</v>
      </c>
      <c r="L11" s="224">
        <f>IFERROR('Lookup Table'!I302,0)</f>
        <v>0</v>
      </c>
      <c r="M11" s="250"/>
      <c r="N11" s="254"/>
      <c r="O11" s="393"/>
      <c r="P11" s="385" t="e">
        <f>INDEX('Lookup Table'!$L$299:$M$305,MATCH('High Efficiency Pumps'!E11,'Lookup Table'!$K$299:$K$305,0),MATCH('High Efficiency Pumps'!F11,'Lookup Table'!$L$298:$M$298,0))</f>
        <v>#N/A</v>
      </c>
      <c r="Q11" s="225" t="str">
        <f t="shared" si="0"/>
        <v/>
      </c>
      <c r="R11" s="226" t="str">
        <f t="shared" si="1"/>
        <v/>
      </c>
      <c r="S11" s="223" t="str">
        <f t="shared" si="2"/>
        <v/>
      </c>
      <c r="T11" s="227" t="str">
        <f t="shared" si="3"/>
        <v/>
      </c>
      <c r="U11" s="223" t="str">
        <f t="shared" si="4"/>
        <v/>
      </c>
      <c r="V11" s="228" t="str">
        <f t="shared" si="5"/>
        <v/>
      </c>
      <c r="W11" s="203" t="str">
        <f t="shared" si="6"/>
        <v/>
      </c>
      <c r="X11" s="386" t="str">
        <f>IFERROR('Project Summary'!$F$21*('High Efficiency Pumps'!W11/'Project Summary'!$E$21),"")</f>
        <v/>
      </c>
    </row>
    <row r="12" spans="1:24" s="203" customFormat="1" ht="22.15" customHeight="1">
      <c r="B12" s="221">
        <v>5</v>
      </c>
      <c r="C12" s="172"/>
      <c r="D12" s="108"/>
      <c r="E12" s="108"/>
      <c r="F12" s="108"/>
      <c r="G12" s="244"/>
      <c r="H12" s="222">
        <v>0.79</v>
      </c>
      <c r="I12" s="250"/>
      <c r="J12" s="390"/>
      <c r="K12" s="223">
        <f>IFERROR('Lookup Table'!H303,0)</f>
        <v>0</v>
      </c>
      <c r="L12" s="224">
        <f>IFERROR('Lookup Table'!I303,0)</f>
        <v>0</v>
      </c>
      <c r="M12" s="250"/>
      <c r="N12" s="254"/>
      <c r="O12" s="393"/>
      <c r="P12" s="385" t="e">
        <f>INDEX('Lookup Table'!$L$299:$M$305,MATCH('High Efficiency Pumps'!E12,'Lookup Table'!$K$299:$K$305,0),MATCH('High Efficiency Pumps'!F12,'Lookup Table'!$L$298:$M$298,0))</f>
        <v>#N/A</v>
      </c>
      <c r="Q12" s="225" t="str">
        <f t="shared" si="0"/>
        <v/>
      </c>
      <c r="R12" s="226" t="str">
        <f t="shared" si="1"/>
        <v/>
      </c>
      <c r="S12" s="223" t="str">
        <f t="shared" si="2"/>
        <v/>
      </c>
      <c r="T12" s="227" t="str">
        <f t="shared" si="3"/>
        <v/>
      </c>
      <c r="U12" s="223" t="str">
        <f t="shared" si="4"/>
        <v/>
      </c>
      <c r="V12" s="228" t="str">
        <f t="shared" si="5"/>
        <v/>
      </c>
      <c r="W12" s="203" t="str">
        <f t="shared" si="6"/>
        <v/>
      </c>
      <c r="X12" s="386" t="str">
        <f>IFERROR('Project Summary'!$F$21*('High Efficiency Pumps'!W12/'Project Summary'!$E$21),"")</f>
        <v/>
      </c>
    </row>
    <row r="13" spans="1:24" s="203" customFormat="1" ht="22.15" customHeight="1">
      <c r="B13" s="221">
        <v>6</v>
      </c>
      <c r="C13" s="172"/>
      <c r="D13" s="108"/>
      <c r="E13" s="108"/>
      <c r="F13" s="108"/>
      <c r="G13" s="244"/>
      <c r="H13" s="222">
        <v>0.79</v>
      </c>
      <c r="I13" s="250"/>
      <c r="J13" s="390"/>
      <c r="K13" s="223">
        <f>IFERROR('Lookup Table'!H304,0)</f>
        <v>0</v>
      </c>
      <c r="L13" s="224">
        <f>IFERROR('Lookup Table'!I304,0)</f>
        <v>0</v>
      </c>
      <c r="M13" s="250"/>
      <c r="N13" s="254"/>
      <c r="O13" s="393"/>
      <c r="P13" s="385" t="e">
        <f>INDEX('Lookup Table'!$L$299:$M$305,MATCH('High Efficiency Pumps'!E13,'Lookup Table'!$K$299:$K$305,0),MATCH('High Efficiency Pumps'!F13,'Lookup Table'!$L$298:$M$298,0))</f>
        <v>#N/A</v>
      </c>
      <c r="Q13" s="225" t="str">
        <f t="shared" si="0"/>
        <v/>
      </c>
      <c r="R13" s="226" t="str">
        <f t="shared" si="1"/>
        <v/>
      </c>
      <c r="S13" s="223" t="str">
        <f t="shared" si="2"/>
        <v/>
      </c>
      <c r="T13" s="227" t="str">
        <f t="shared" si="3"/>
        <v/>
      </c>
      <c r="U13" s="223" t="str">
        <f t="shared" si="4"/>
        <v/>
      </c>
      <c r="V13" s="228" t="str">
        <f t="shared" si="5"/>
        <v/>
      </c>
      <c r="W13" s="203" t="str">
        <f t="shared" si="6"/>
        <v/>
      </c>
      <c r="X13" s="386" t="str">
        <f>IFERROR('Project Summary'!$F$21*('High Efficiency Pumps'!W13/'Project Summary'!$E$21),"")</f>
        <v/>
      </c>
    </row>
    <row r="14" spans="1:24" s="203" customFormat="1" ht="22.15" customHeight="1">
      <c r="B14" s="221">
        <v>7</v>
      </c>
      <c r="C14" s="172"/>
      <c r="D14" s="108"/>
      <c r="E14" s="108"/>
      <c r="F14" s="108"/>
      <c r="G14" s="244"/>
      <c r="H14" s="222">
        <v>0.79</v>
      </c>
      <c r="I14" s="250"/>
      <c r="J14" s="390"/>
      <c r="K14" s="223">
        <f>IFERROR('Lookup Table'!H305,0)</f>
        <v>0</v>
      </c>
      <c r="L14" s="224">
        <f>IFERROR('Lookup Table'!I305,0)</f>
        <v>0</v>
      </c>
      <c r="M14" s="250"/>
      <c r="N14" s="254"/>
      <c r="O14" s="393"/>
      <c r="P14" s="385" t="e">
        <f>INDEX('Lookup Table'!$L$299:$M$305,MATCH('High Efficiency Pumps'!E14,'Lookup Table'!$K$299:$K$305,0),MATCH('High Efficiency Pumps'!F14,'Lookup Table'!$L$298:$M$298,0))</f>
        <v>#N/A</v>
      </c>
      <c r="Q14" s="225" t="str">
        <f t="shared" si="0"/>
        <v/>
      </c>
      <c r="R14" s="226" t="str">
        <f t="shared" si="1"/>
        <v/>
      </c>
      <c r="S14" s="223" t="str">
        <f t="shared" si="2"/>
        <v/>
      </c>
      <c r="T14" s="227" t="str">
        <f t="shared" si="3"/>
        <v/>
      </c>
      <c r="U14" s="223" t="str">
        <f t="shared" si="4"/>
        <v/>
      </c>
      <c r="V14" s="228" t="str">
        <f t="shared" si="5"/>
        <v/>
      </c>
      <c r="W14" s="203" t="str">
        <f t="shared" si="6"/>
        <v/>
      </c>
      <c r="X14" s="386" t="str">
        <f>IFERROR('Project Summary'!$F$21*('High Efficiency Pumps'!W14/'Project Summary'!$E$21),"")</f>
        <v/>
      </c>
    </row>
    <row r="15" spans="1:24" s="203" customFormat="1" ht="22.15" customHeight="1">
      <c r="B15" s="221">
        <v>8</v>
      </c>
      <c r="C15" s="172"/>
      <c r="D15" s="108"/>
      <c r="E15" s="108"/>
      <c r="F15" s="108"/>
      <c r="G15" s="244"/>
      <c r="H15" s="222">
        <v>0.79</v>
      </c>
      <c r="I15" s="250"/>
      <c r="J15" s="390"/>
      <c r="K15" s="223">
        <f>IFERROR('Lookup Table'!H306,0)</f>
        <v>0</v>
      </c>
      <c r="L15" s="224">
        <f>IFERROR('Lookup Table'!I306,0)</f>
        <v>0</v>
      </c>
      <c r="M15" s="250"/>
      <c r="N15" s="254"/>
      <c r="O15" s="393"/>
      <c r="P15" s="385" t="e">
        <f>INDEX('Lookup Table'!$L$299:$M$305,MATCH('High Efficiency Pumps'!E15,'Lookup Table'!$K$299:$K$305,0),MATCH('High Efficiency Pumps'!F15,'Lookup Table'!$L$298:$M$298,0))</f>
        <v>#N/A</v>
      </c>
      <c r="Q15" s="225" t="str">
        <f t="shared" si="0"/>
        <v/>
      </c>
      <c r="R15" s="226" t="str">
        <f t="shared" si="1"/>
        <v/>
      </c>
      <c r="S15" s="223" t="str">
        <f t="shared" si="2"/>
        <v/>
      </c>
      <c r="T15" s="227" t="str">
        <f t="shared" si="3"/>
        <v/>
      </c>
      <c r="U15" s="223" t="str">
        <f t="shared" si="4"/>
        <v/>
      </c>
      <c r="V15" s="228" t="str">
        <f t="shared" si="5"/>
        <v/>
      </c>
      <c r="W15" s="203" t="str">
        <f t="shared" si="6"/>
        <v/>
      </c>
      <c r="X15" s="386" t="str">
        <f>IFERROR('Project Summary'!$F$21*('High Efficiency Pumps'!W15/'Project Summary'!$E$21),"")</f>
        <v/>
      </c>
    </row>
    <row r="16" spans="1:24" s="203" customFormat="1" ht="21.75" customHeight="1">
      <c r="B16" s="221">
        <v>9</v>
      </c>
      <c r="C16" s="171"/>
      <c r="D16" s="108"/>
      <c r="E16" s="108"/>
      <c r="F16" s="108"/>
      <c r="G16" s="244"/>
      <c r="H16" s="222">
        <v>0.79</v>
      </c>
      <c r="I16" s="250"/>
      <c r="J16" s="390"/>
      <c r="K16" s="223">
        <f>IFERROR('Lookup Table'!H307,0)</f>
        <v>0</v>
      </c>
      <c r="L16" s="224">
        <f>IFERROR('Lookup Table'!I307,0)</f>
        <v>0</v>
      </c>
      <c r="M16" s="250"/>
      <c r="N16" s="254"/>
      <c r="O16" s="393"/>
      <c r="P16" s="385" t="e">
        <f>INDEX('Lookup Table'!$L$299:$M$305,MATCH('High Efficiency Pumps'!E16,'Lookup Table'!$K$299:$K$305,0),MATCH('High Efficiency Pumps'!F16,'Lookup Table'!$L$298:$M$298,0))</f>
        <v>#N/A</v>
      </c>
      <c r="Q16" s="225" t="str">
        <f t="shared" si="0"/>
        <v/>
      </c>
      <c r="R16" s="226" t="str">
        <f t="shared" si="1"/>
        <v/>
      </c>
      <c r="S16" s="223" t="str">
        <f t="shared" si="2"/>
        <v/>
      </c>
      <c r="T16" s="227" t="str">
        <f t="shared" si="3"/>
        <v/>
      </c>
      <c r="U16" s="223" t="str">
        <f t="shared" si="4"/>
        <v/>
      </c>
      <c r="V16" s="228" t="str">
        <f t="shared" si="5"/>
        <v/>
      </c>
      <c r="W16" s="203" t="str">
        <f t="shared" si="6"/>
        <v/>
      </c>
      <c r="X16" s="386" t="str">
        <f>IFERROR('Project Summary'!$F$21*('High Efficiency Pumps'!W16/'Project Summary'!$E$21),"")</f>
        <v/>
      </c>
    </row>
    <row r="17" spans="2:24" s="203" customFormat="1" ht="21.75" customHeight="1" thickBot="1">
      <c r="B17" s="230">
        <v>10</v>
      </c>
      <c r="C17" s="173"/>
      <c r="D17" s="245"/>
      <c r="E17" s="245"/>
      <c r="F17" s="245"/>
      <c r="G17" s="246"/>
      <c r="H17" s="231">
        <v>0.79</v>
      </c>
      <c r="I17" s="252"/>
      <c r="J17" s="391"/>
      <c r="K17" s="232">
        <f>IFERROR('Lookup Table'!H308,0)</f>
        <v>0</v>
      </c>
      <c r="L17" s="233">
        <f>IFERROR('Lookup Table'!I308,0)</f>
        <v>0</v>
      </c>
      <c r="M17" s="252"/>
      <c r="N17" s="255"/>
      <c r="O17" s="394"/>
      <c r="P17" s="387" t="e">
        <f>INDEX('Lookup Table'!$L$299:$M$305,MATCH('High Efficiency Pumps'!E17,'Lookup Table'!$K$299:$K$305,0),MATCH('High Efficiency Pumps'!F17,'Lookup Table'!$L$298:$M$298,0))</f>
        <v>#N/A</v>
      </c>
      <c r="Q17" s="234" t="str">
        <f t="shared" si="0"/>
        <v/>
      </c>
      <c r="R17" s="235" t="str">
        <f t="shared" si="1"/>
        <v/>
      </c>
      <c r="S17" s="232" t="str">
        <f t="shared" si="2"/>
        <v/>
      </c>
      <c r="T17" s="236" t="str">
        <f t="shared" si="3"/>
        <v/>
      </c>
      <c r="U17" s="232" t="str">
        <f t="shared" si="4"/>
        <v/>
      </c>
      <c r="V17" s="237" t="str">
        <f t="shared" si="5"/>
        <v/>
      </c>
      <c r="W17" s="203" t="str">
        <f t="shared" si="6"/>
        <v/>
      </c>
      <c r="X17" s="388" t="str">
        <f>IFERROR('Project Summary'!$F$21*('High Efficiency Pumps'!W17/'Project Summary'!$E$21),"")</f>
        <v/>
      </c>
    </row>
    <row r="18" spans="2:24" s="203" customFormat="1" ht="22.15" customHeight="1">
      <c r="B18" s="239"/>
      <c r="C18" s="240"/>
      <c r="D18" s="239"/>
      <c r="E18" s="239"/>
      <c r="F18" s="239"/>
      <c r="G18" s="241"/>
    </row>
    <row r="19" spans="2:24" s="203" customFormat="1" ht="22.15" customHeight="1">
      <c r="B19" s="239"/>
      <c r="C19" s="240"/>
      <c r="D19" s="239"/>
      <c r="E19" s="239"/>
      <c r="F19" s="239"/>
      <c r="G19" s="241"/>
    </row>
    <row r="20" spans="2:24" s="201" customFormat="1" ht="9" customHeight="1"/>
    <row r="21" spans="2:24">
      <c r="B21" s="242"/>
    </row>
  </sheetData>
  <sheetProtection algorithmName="SHA-512" hashValue="ox5BAnX2AkROzmwKvDTW75jbI2LJUFekZb1RLD2sAeRSn16fITqUD6bIozSMuGISctiYkUBhtcFuAv+Gs2ndOQ==" saltValue="s1WMYSOv93g3l3o2Mbq5vQ==" spinCount="100000" sheet="1" objects="1" scenarios="1"/>
  <mergeCells count="6">
    <mergeCell ref="X6:X7"/>
    <mergeCell ref="P6:V6"/>
    <mergeCell ref="B3:H3"/>
    <mergeCell ref="B4:H4"/>
    <mergeCell ref="C6:O6"/>
    <mergeCell ref="B6:B7"/>
  </mergeCells>
  <dataValidations count="1">
    <dataValidation type="list" allowBlank="1" showInputMessage="1" showErrorMessage="1" sqref="D8:D17" xr:uid="{034CF23F-63E9-41BA-B11F-EFC99C40226F}">
      <formula1>HVAC_Pump_Motor_Function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AFC15B7-C2B4-49B1-AC18-086C01C2B0E3}">
          <x14:formula1>
            <xm:f>'Lookup Table'!$K$299:$K$305</xm:f>
          </x14:formula1>
          <xm:sqref>E8:E17</xm:sqref>
        </x14:dataValidation>
        <x14:dataValidation type="list" allowBlank="1" showInputMessage="1" showErrorMessage="1" xr:uid="{99B2A8BA-263F-4E98-A257-68991FB780D8}">
          <x14:formula1>
            <xm:f>'Lookup Table'!$L$298:$M$298</xm:f>
          </x14:formula1>
          <xm:sqref>F8:F17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F96E70731EB54292983A8187A83857" ma:contentTypeVersion="6" ma:contentTypeDescription="Create a new document." ma:contentTypeScope="" ma:versionID="b1420095b0bcaeeab26cc652c695f2d8">
  <xsd:schema xmlns:xsd="http://www.w3.org/2001/XMLSchema" xmlns:xs="http://www.w3.org/2001/XMLSchema" xmlns:p="http://schemas.microsoft.com/office/2006/metadata/properties" xmlns:ns2="98788742-c24c-455f-83e9-59d89e3de440" xmlns:ns3="52741100-c965-4fd4-8aa7-2d9d842b1c91" targetNamespace="http://schemas.microsoft.com/office/2006/metadata/properties" ma:root="true" ma:fieldsID="bce1ad730e4d7fb850dbe75b7bc13368" ns2:_="" ns3:_="">
    <xsd:import namespace="98788742-c24c-455f-83e9-59d89e3de440"/>
    <xsd:import namespace="52741100-c965-4fd4-8aa7-2d9d842b1c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88742-c24c-455f-83e9-59d89e3de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741100-c965-4fd4-8aa7-2d9d842b1c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C32CC0-CAA8-4468-AF74-EDA0AD900D2F}"/>
</file>

<file path=customXml/itemProps2.xml><?xml version="1.0" encoding="utf-8"?>
<ds:datastoreItem xmlns:ds="http://schemas.openxmlformats.org/officeDocument/2006/customXml" ds:itemID="{37399D27-9BFE-4155-AE52-51AF6A72D0EF}"/>
</file>

<file path=customXml/itemProps3.xml><?xml version="1.0" encoding="utf-8"?>
<ds:datastoreItem xmlns:ds="http://schemas.openxmlformats.org/officeDocument/2006/customXml" ds:itemID="{100B3BCE-C7AB-4CCB-B8FC-4E0C0BDAFD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Janine Morency</dc:creator>
  <cp:keywords/>
  <dc:description/>
  <cp:lastModifiedBy>Angelique Quinn</cp:lastModifiedBy>
  <cp:revision/>
  <dcterms:created xsi:type="dcterms:W3CDTF">2014-05-06T17:45:34Z</dcterms:created>
  <dcterms:modified xsi:type="dcterms:W3CDTF">2021-06-07T15:09:06Z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a4cae1f8-bc12-446a-99ab-1e69d7b1254e</vt:lpwstr>
  </property>
  <property fmtid="{D5CDD505-2E9C-101B-9397-08002B2CF9AE}" pid="4" name="ContentTypeId">
    <vt:lpwstr>0x0101001BF96E70731EB54292983A8187A83857</vt:lpwstr>
  </property>
  <property fmtid="{D5CDD505-2E9C-101B-9397-08002B2CF9AE}" pid="5" name="TaxKeyword">
    <vt:lpwstr/>
  </property>
</Properties>
</file>