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mc:AlternateContent xmlns:mc="http://schemas.openxmlformats.org/markup-compatibility/2006">
    <mc:Choice Requires="x15">
      <x15ac:absPath xmlns:x15ac="http://schemas.microsoft.com/office/spreadsheetml/2010/11/ac" url="https://clearesult5-my.sharepoint.com/personal/liam_kane_clearesult_com/Documents/Documents/Special Projects/PPL Phase 4 Measure Testing/Completed CALCs/"/>
    </mc:Choice>
  </mc:AlternateContent>
  <xr:revisionPtr revIDLastSave="0" documentId="8_{7A00B53C-6688-49AB-BBA9-E50910909D46}" xr6:coauthVersionLast="47" xr6:coauthVersionMax="47" xr10:uidLastSave="{00000000-0000-0000-0000-000000000000}"/>
  <workbookProtection workbookAlgorithmName="SHA-512" workbookHashValue="VWz6djtdpQjJDidBU90voZH4iUpCg3HnxlTwFiR5JvBySfa02wtvfpfe7PF1WVuz3le9SZ9yMPAlJQIupGerkQ==" workbookSaltValue="B4AiKXH4hl+AXed9FOjXwg==" workbookSpinCount="100000" lockStructure="1"/>
  <bookViews>
    <workbookView xWindow="20370" yWindow="1725" windowWidth="29040" windowHeight="15840" tabRatio="848" firstSheet="2" activeTab="2" xr2:uid="{00000000-000D-0000-FFFF-FFFF00000000}"/>
  </bookViews>
  <sheets>
    <sheet name="Instructions" sheetId="16" r:id="rId1"/>
    <sheet name="Methodology" sheetId="21" state="hidden" r:id="rId2"/>
    <sheet name="Summary" sheetId="35" r:id="rId3"/>
    <sheet name="Auto Milker Takeoff Calculator" sheetId="4" r:id="rId4"/>
    <sheet name="Dairy Scroll Comp Calculator" sheetId="30" r:id="rId5"/>
    <sheet name="Livestock Waterer Calculator" sheetId="31" r:id="rId6"/>
    <sheet name="VSD Controller" sheetId="32" r:id="rId7"/>
    <sheet name="Hi Eff Vent Fans" sheetId="33" r:id="rId8"/>
    <sheet name="Hi Vol Low Speed Fans" sheetId="34" r:id="rId9"/>
    <sheet name="Heat Reclaimers" sheetId="36" r:id="rId10"/>
    <sheet name="Low Pressure Irrigation System" sheetId="37" r:id="rId11"/>
    <sheet name="Data Export" sheetId="39" state="hidden" r:id="rId12"/>
    <sheet name="Ag Measures Calcs" sheetId="38" state="hidden" r:id="rId13"/>
    <sheet name="Ag Measure" sheetId="5" state="hidden" r:id="rId14"/>
    <sheet name="Version Log" sheetId="29" state="hidden" r:id="rId15"/>
  </sheets>
  <definedNames>
    <definedName name="_xlnm.Print_Area" localSheetId="3">'Auto Milker Takeoff Calculator'!$B$3:$D$18</definedName>
    <definedName name="_xlnm.Print_Area" localSheetId="4">'Dairy Scroll Comp Calculator'!$B$3:$D$20</definedName>
    <definedName name="_xlnm.Print_Area" localSheetId="9">'Heat Reclaimers'!$B$3:$D$22</definedName>
    <definedName name="_xlnm.Print_Area" localSheetId="7">'Hi Eff Vent Fans'!$B$3:$D$23</definedName>
    <definedName name="_xlnm.Print_Area" localSheetId="8">'Hi Vol Low Speed Fans'!$B$3:$D$21</definedName>
    <definedName name="_xlnm.Print_Area" localSheetId="5">'Livestock Waterer Calculator'!$B$3:$D$19</definedName>
    <definedName name="_xlnm.Print_Area" localSheetId="10">'Low Pressure Irrigation System'!$B$3:$D$23</definedName>
    <definedName name="_xlnm.Print_Area" localSheetId="6">'VSD Controller'!$B$3:$D$20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35" l="1"/>
  <c r="H12" i="35"/>
  <c r="H11" i="35"/>
  <c r="H10" i="35"/>
  <c r="H9" i="35"/>
  <c r="H8" i="35"/>
  <c r="G13" i="35"/>
  <c r="G12" i="35"/>
  <c r="G11" i="35"/>
  <c r="G10" i="35"/>
  <c r="G9" i="35"/>
  <c r="G8" i="35"/>
  <c r="C18" i="34"/>
  <c r="G67" i="38"/>
  <c r="D67" i="38"/>
  <c r="AG6" i="39"/>
  <c r="AF6" i="39"/>
  <c r="AE6" i="39"/>
  <c r="AC9" i="39"/>
  <c r="AB9" i="39"/>
  <c r="AA9" i="39"/>
  <c r="Z9" i="39"/>
  <c r="Y9" i="39"/>
  <c r="X6" i="39"/>
  <c r="U8" i="39"/>
  <c r="T8" i="39"/>
  <c r="S9" i="39"/>
  <c r="R4" i="39"/>
  <c r="Q8" i="39"/>
  <c r="Q3" i="39"/>
  <c r="P2" i="39"/>
  <c r="O5" i="39"/>
  <c r="N9" i="39"/>
  <c r="M3" i="39"/>
  <c r="L3" i="39"/>
  <c r="K6" i="39"/>
  <c r="K7" i="39"/>
  <c r="J5" i="39"/>
  <c r="I3" i="39"/>
  <c r="I4" i="39"/>
  <c r="I5" i="39"/>
  <c r="I6" i="39"/>
  <c r="I7" i="39"/>
  <c r="I8" i="39"/>
  <c r="I9" i="39"/>
  <c r="I2" i="39"/>
  <c r="C6" i="39"/>
  <c r="F6" i="39"/>
  <c r="F9" i="39"/>
  <c r="F3" i="39"/>
  <c r="F8" i="39"/>
  <c r="F7" i="39"/>
  <c r="F4" i="39"/>
  <c r="F5" i="39"/>
  <c r="F2" i="39"/>
  <c r="H7" i="35"/>
  <c r="G2" i="39" s="1"/>
  <c r="C3" i="39"/>
  <c r="C4" i="39"/>
  <c r="C7" i="39"/>
  <c r="C17" i="32"/>
  <c r="I10" i="35" s="1"/>
  <c r="E5" i="39" s="1"/>
  <c r="C9" i="31"/>
  <c r="D61" i="38" s="1"/>
  <c r="B9" i="31"/>
  <c r="C8" i="38"/>
  <c r="C17" i="30"/>
  <c r="I8" i="35" s="1"/>
  <c r="E3" i="39" s="1"/>
  <c r="AL49" i="38"/>
  <c r="AL50" i="38"/>
  <c r="AL51" i="38"/>
  <c r="AL48" i="38"/>
  <c r="G74" i="38"/>
  <c r="F74" i="38"/>
  <c r="E74" i="38"/>
  <c r="D74" i="38"/>
  <c r="C74" i="38"/>
  <c r="C17" i="38"/>
  <c r="C19" i="38"/>
  <c r="C18" i="38"/>
  <c r="C18" i="33"/>
  <c r="C24" i="38"/>
  <c r="H71" i="38" s="1"/>
  <c r="C9" i="33"/>
  <c r="C11" i="38"/>
  <c r="H64" i="38" s="1"/>
  <c r="G64" i="38"/>
  <c r="E64" i="38"/>
  <c r="D64" i="38"/>
  <c r="C7" i="38"/>
  <c r="I61" i="38" s="1"/>
  <c r="C16" i="31" s="1"/>
  <c r="I9" i="35" s="1"/>
  <c r="E4" i="39" s="1"/>
  <c r="F61" i="38"/>
  <c r="E61" i="38"/>
  <c r="AK51" i="38"/>
  <c r="AK50" i="38"/>
  <c r="AK49" i="38"/>
  <c r="AK48" i="38"/>
  <c r="C31" i="38"/>
  <c r="C23" i="38"/>
  <c r="F71" i="38" s="1"/>
  <c r="C22" i="38"/>
  <c r="E71" i="38" s="1"/>
  <c r="C21" i="38"/>
  <c r="K71" i="38" s="1"/>
  <c r="C20" i="38"/>
  <c r="C71" i="38" s="1"/>
  <c r="C16" i="38"/>
  <c r="I67" i="38" s="1"/>
  <c r="C15" i="38"/>
  <c r="M67" i="38"/>
  <c r="C14" i="38"/>
  <c r="E67" i="38" s="1"/>
  <c r="C13" i="38"/>
  <c r="C67" i="38"/>
  <c r="C12" i="38"/>
  <c r="I64" i="38" s="1"/>
  <c r="C10" i="38"/>
  <c r="F64" i="38"/>
  <c r="C9" i="38"/>
  <c r="C64" i="38"/>
  <c r="C6" i="38"/>
  <c r="C58" i="38"/>
  <c r="C5" i="38"/>
  <c r="C4" i="38"/>
  <c r="H58" i="38" s="1"/>
  <c r="C3" i="38"/>
  <c r="C13" i="4"/>
  <c r="C14" i="4" s="1"/>
  <c r="G7" i="35" s="1"/>
  <c r="H2" i="39" s="1"/>
  <c r="C15" i="4"/>
  <c r="I7" i="35" s="1"/>
  <c r="C20" i="37"/>
  <c r="I14" i="35" s="1"/>
  <c r="E9" i="39" s="1"/>
  <c r="F14" i="35"/>
  <c r="C18" i="37"/>
  <c r="H14" i="35" s="1"/>
  <c r="C8" i="37"/>
  <c r="C7" i="37"/>
  <c r="C6" i="37"/>
  <c r="H67" i="38"/>
  <c r="F13" i="35"/>
  <c r="C8" i="36"/>
  <c r="C7" i="36"/>
  <c r="C6" i="36"/>
  <c r="C14" i="5"/>
  <c r="E67" i="5" s="1"/>
  <c r="E68" i="5" s="1"/>
  <c r="C17" i="5"/>
  <c r="C22" i="5"/>
  <c r="E71" i="5" s="1"/>
  <c r="C20" i="5"/>
  <c r="C71" i="5" s="1"/>
  <c r="C8" i="34"/>
  <c r="C7" i="34"/>
  <c r="C6" i="34"/>
  <c r="C8" i="33"/>
  <c r="C7" i="33"/>
  <c r="C6" i="33"/>
  <c r="C8" i="32"/>
  <c r="C7" i="32"/>
  <c r="C6" i="32"/>
  <c r="C8" i="31"/>
  <c r="C7" i="31"/>
  <c r="C6" i="31"/>
  <c r="C8" i="30"/>
  <c r="C7" i="30"/>
  <c r="C6" i="30"/>
  <c r="C8" i="4"/>
  <c r="C7" i="4"/>
  <c r="C6" i="4"/>
  <c r="F12" i="35"/>
  <c r="F11" i="35"/>
  <c r="F10" i="35"/>
  <c r="F9" i="35"/>
  <c r="F8" i="35"/>
  <c r="F7" i="35"/>
  <c r="C31" i="5"/>
  <c r="C24" i="5"/>
  <c r="H71" i="5" s="1"/>
  <c r="C23" i="5"/>
  <c r="F71" i="5" s="1"/>
  <c r="C21" i="5"/>
  <c r="K71" i="5" s="1"/>
  <c r="AK49" i="5"/>
  <c r="AK50" i="5"/>
  <c r="AK51" i="5"/>
  <c r="AK48" i="5"/>
  <c r="C19" i="5"/>
  <c r="M48" i="5"/>
  <c r="M52" i="5"/>
  <c r="C18" i="5"/>
  <c r="C16" i="5"/>
  <c r="I67" i="5" s="1"/>
  <c r="I68" i="5" s="1"/>
  <c r="C13" i="5"/>
  <c r="C67" i="5"/>
  <c r="T48" i="5"/>
  <c r="AD48" i="5"/>
  <c r="AC48" i="5"/>
  <c r="U48" i="5"/>
  <c r="C15" i="5"/>
  <c r="G64" i="5"/>
  <c r="E64" i="5"/>
  <c r="D64" i="5"/>
  <c r="C12" i="5"/>
  <c r="I64" i="5" s="1"/>
  <c r="C11" i="5"/>
  <c r="H64" i="5" s="1"/>
  <c r="C10" i="5"/>
  <c r="F64" i="5" s="1"/>
  <c r="C9" i="5"/>
  <c r="C64" i="5" s="1"/>
  <c r="F61" i="5"/>
  <c r="E61" i="5"/>
  <c r="C8" i="5"/>
  <c r="D61" i="5" s="1"/>
  <c r="C7" i="5"/>
  <c r="I61" i="5" s="1"/>
  <c r="C3" i="5"/>
  <c r="C6" i="5"/>
  <c r="C58" i="5" s="1"/>
  <c r="C4" i="5"/>
  <c r="C5" i="5"/>
  <c r="C23" i="4"/>
  <c r="C22" i="4"/>
  <c r="C68" i="5"/>
  <c r="H67" i="5"/>
  <c r="H68" i="5" s="1"/>
  <c r="M67" i="5"/>
  <c r="Q52" i="5"/>
  <c r="P52" i="5"/>
  <c r="O52" i="5"/>
  <c r="N52" i="5"/>
  <c r="Q48" i="5"/>
  <c r="P48" i="5"/>
  <c r="N48" i="5"/>
  <c r="O48" i="5"/>
  <c r="F67" i="5"/>
  <c r="F68" i="5" s="1"/>
  <c r="H58" i="5"/>
  <c r="J67" i="5"/>
  <c r="J68" i="5" s="1"/>
  <c r="G67" i="5"/>
  <c r="G68" i="5" s="1"/>
  <c r="K68" i="5"/>
  <c r="G6" i="39" l="1"/>
  <c r="G71" i="38"/>
  <c r="C2" i="39"/>
  <c r="E58" i="38"/>
  <c r="E58" i="5"/>
  <c r="J64" i="38"/>
  <c r="C15" i="32" s="1"/>
  <c r="C61" i="38"/>
  <c r="G61" i="38" s="1"/>
  <c r="I12" i="35"/>
  <c r="E7" i="39" s="1"/>
  <c r="I71" i="38"/>
  <c r="W7" i="39"/>
  <c r="J64" i="5"/>
  <c r="K64" i="38"/>
  <c r="C16" i="32" s="1"/>
  <c r="H5" i="39" s="1"/>
  <c r="D67" i="5"/>
  <c r="F67" i="38"/>
  <c r="K67" i="38" s="1"/>
  <c r="L67" i="38" s="1"/>
  <c r="C19" i="33" s="1"/>
  <c r="H6" i="39" s="1"/>
  <c r="C20" i="33"/>
  <c r="I11" i="35" s="1"/>
  <c r="E6" i="39" s="1"/>
  <c r="D71" i="5"/>
  <c r="D71" i="38"/>
  <c r="J71" i="38" s="1"/>
  <c r="G71" i="5"/>
  <c r="H74" i="38"/>
  <c r="G9" i="39"/>
  <c r="C9" i="39"/>
  <c r="C19" i="37"/>
  <c r="G14" i="35" s="1"/>
  <c r="H9" i="39" s="1"/>
  <c r="C17" i="36"/>
  <c r="I74" i="38"/>
  <c r="C18" i="36" s="1"/>
  <c r="H8" i="39" s="1"/>
  <c r="F15" i="35"/>
  <c r="C61" i="5"/>
  <c r="G61" i="5" s="1"/>
  <c r="H61" i="5" s="1"/>
  <c r="D58" i="38"/>
  <c r="D58" i="5"/>
  <c r="E2" i="39"/>
  <c r="C17" i="34" l="1"/>
  <c r="H7" i="39" s="1"/>
  <c r="F58" i="5"/>
  <c r="G58" i="5" s="1"/>
  <c r="C16" i="30" s="1"/>
  <c r="H3" i="39" s="1"/>
  <c r="F58" i="38"/>
  <c r="C16" i="34"/>
  <c r="G7" i="39" s="1"/>
  <c r="V7" i="39"/>
  <c r="I71" i="5"/>
  <c r="C14" i="31"/>
  <c r="G4" i="39" s="1"/>
  <c r="H61" i="38"/>
  <c r="C15" i="31" s="1"/>
  <c r="H4" i="39" s="1"/>
  <c r="L64" i="38"/>
  <c r="C5" i="39"/>
  <c r="G5" i="39"/>
  <c r="L64" i="5"/>
  <c r="K64" i="5"/>
  <c r="K67" i="5"/>
  <c r="L67" i="5" s="1"/>
  <c r="D68" i="5"/>
  <c r="J71" i="5"/>
  <c r="C19" i="36"/>
  <c r="I13" i="35" s="1"/>
  <c r="G8" i="39"/>
  <c r="C15" i="30" l="1"/>
  <c r="G58" i="38"/>
  <c r="G15" i="35"/>
  <c r="E8" i="39"/>
  <c r="I15" i="35"/>
  <c r="G3" i="39" l="1"/>
  <c r="H15"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Anreise</author>
  </authors>
  <commentList>
    <comment ref="P48" authorId="0" shapeId="0" xr:uid="{00000000-0006-0000-0800-000002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 ref="P52" authorId="0" shapeId="0" xr:uid="{00000000-0006-0000-0800-000005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List>
</comments>
</file>

<file path=xl/sharedStrings.xml><?xml version="1.0" encoding="utf-8"?>
<sst xmlns="http://schemas.openxmlformats.org/spreadsheetml/2006/main" count="878" uniqueCount="406">
  <si>
    <t>Date</t>
  </si>
  <si>
    <t>kWh</t>
  </si>
  <si>
    <t>$/year</t>
  </si>
  <si>
    <t xml:space="preserve">Grey cells are calculated values. </t>
  </si>
  <si>
    <t>Glossary of Inputs</t>
  </si>
  <si>
    <t>Calculations</t>
  </si>
  <si>
    <t>Yellow cells indicate that user input is required. Cells with a * are required.</t>
  </si>
  <si>
    <t>Methodology</t>
  </si>
  <si>
    <t>Instructions: Enter the project information in the yellow cells below. Cells with a * are required. See Instructions Worksheet for more information.</t>
  </si>
  <si>
    <t>Constants</t>
  </si>
  <si>
    <t>User Inputs</t>
  </si>
  <si>
    <t>Version</t>
  </si>
  <si>
    <t>Contact, Department</t>
  </si>
  <si>
    <t>Version Log</t>
  </si>
  <si>
    <t>The Version Log Worksheet tracks updates and changes made to the workbook.</t>
  </si>
  <si>
    <t>Calculator Methodology</t>
  </si>
  <si>
    <t>Worksheet Summary</t>
  </si>
  <si>
    <t>Reason for Change</t>
  </si>
  <si>
    <t>Change Description</t>
  </si>
  <si>
    <t>QA/QC Engineer(s):</t>
  </si>
  <si>
    <t>Original Author:</t>
  </si>
  <si>
    <t>Primary Developer:</t>
  </si>
  <si>
    <t>Senior Engineer Approval:</t>
  </si>
  <si>
    <t>Thomas Anreise</t>
  </si>
  <si>
    <t>Genesis</t>
  </si>
  <si>
    <t>Created calculator tabs for MD Ag Measures from PA TRM</t>
  </si>
  <si>
    <t>Thomas Anreise, BSET</t>
  </si>
  <si>
    <t>Cows</t>
  </si>
  <si>
    <t>Cows Milked Per Day*</t>
  </si>
  <si>
    <t>Annual Savings</t>
  </si>
  <si>
    <t>Incentive</t>
  </si>
  <si>
    <t>Peak Demand Savings</t>
  </si>
  <si>
    <t>kW</t>
  </si>
  <si>
    <t>Number of Takeoff Units*</t>
  </si>
  <si>
    <t>Units</t>
  </si>
  <si>
    <t>Auto Milker Takeoff - kWh Savings</t>
  </si>
  <si>
    <t>Auto Milker Takeoff - Incentive</t>
  </si>
  <si>
    <t>Takeoff Unit</t>
  </si>
  <si>
    <t>Dairy Scroll Comp. - Baseline Comp. EER (Default)</t>
  </si>
  <si>
    <t>EER</t>
  </si>
  <si>
    <t>Dairy Scroll Comp. - Milking Days/Year (Default)</t>
  </si>
  <si>
    <t>Days</t>
  </si>
  <si>
    <t>Dairy Scroll Comp. - No. of Cows</t>
  </si>
  <si>
    <t>kWpeak/kWh</t>
  </si>
  <si>
    <t>Coincident Factor</t>
  </si>
  <si>
    <t>Installed Compressor EER*</t>
  </si>
  <si>
    <t>No</t>
  </si>
  <si>
    <t>Annual Savings (kWh)</t>
  </si>
  <si>
    <t>No. of Cows</t>
  </si>
  <si>
    <t>No. of Takeoff Units</t>
  </si>
  <si>
    <t>Precooler present?</t>
  </si>
  <si>
    <t>Yes</t>
  </si>
  <si>
    <t>CBTU</t>
  </si>
  <si>
    <t>Lookup Table 1: Milk Heat Load (Btu/Cow/Day)</t>
  </si>
  <si>
    <t>Dairy Scroll Comp. - Installed Compressor EER</t>
  </si>
  <si>
    <t>Cows Milked per Day*</t>
  </si>
  <si>
    <t>Precooler Present?*</t>
  </si>
  <si>
    <t>Y/N</t>
  </si>
  <si>
    <t>Dairy Scroll Comp. - Incentive</t>
  </si>
  <si>
    <t>Dollars</t>
  </si>
  <si>
    <t>Dairy Scroll Compressor</t>
  </si>
  <si>
    <r>
      <t>CBTU/EER</t>
    </r>
    <r>
      <rPr>
        <b/>
        <vertAlign val="subscript"/>
        <sz val="11"/>
        <color theme="1"/>
        <rFont val="Arial"/>
        <family val="2"/>
        <scheme val="minor"/>
      </rPr>
      <t>base</t>
    </r>
  </si>
  <si>
    <r>
      <t>CBTU/EER</t>
    </r>
    <r>
      <rPr>
        <b/>
        <vertAlign val="subscript"/>
        <sz val="11"/>
        <color theme="1"/>
        <rFont val="Arial"/>
        <family val="2"/>
        <scheme val="minor"/>
      </rPr>
      <t>ee</t>
    </r>
  </si>
  <si>
    <t>Dairy Scroll Comp. - 1 kW/1,000 W</t>
  </si>
  <si>
    <t>Number</t>
  </si>
  <si>
    <t>Dairy Scroll Comp. - Precooler Present?</t>
  </si>
  <si>
    <t>CBTU (Btu/Cow/Day)</t>
  </si>
  <si>
    <t>Peak Reduction (kW)</t>
  </si>
  <si>
    <t>Qty</t>
  </si>
  <si>
    <t>Dairy Scroll Comp. - No. of Compressors Installed</t>
  </si>
  <si>
    <t>No. of Scroll Compressors Installed*</t>
  </si>
  <si>
    <t>No. of Livestock Waterers*</t>
  </si>
  <si>
    <t>Nearest Weather Location*</t>
  </si>
  <si>
    <t>Location</t>
  </si>
  <si>
    <t>Hours</t>
  </si>
  <si>
    <t>Look-Up Table 2: Hours Below 32F, By Location (TMY3)</t>
  </si>
  <si>
    <t>Hagerstown</t>
  </si>
  <si>
    <t>Place</t>
  </si>
  <si>
    <t>Livestock Waterer</t>
  </si>
  <si>
    <t>QTY</t>
  </si>
  <si>
    <t>OPHRS</t>
  </si>
  <si>
    <t>ESW</t>
  </si>
  <si>
    <t>HRT</t>
  </si>
  <si>
    <t>Livestock Waterer - ESW</t>
  </si>
  <si>
    <t>Livestock Waterer - HRT</t>
  </si>
  <si>
    <t>Livestock Waterer - Incentive</t>
  </si>
  <si>
    <t>kW/Waterer</t>
  </si>
  <si>
    <t>%</t>
  </si>
  <si>
    <t>Heater Run Time</t>
  </si>
  <si>
    <t>Livestock Waterer - No. of Waterers</t>
  </si>
  <si>
    <t>Livestock Waterer - Nearest Weather Location</t>
  </si>
  <si>
    <t>Rated HP of Motor*</t>
  </si>
  <si>
    <t>HP</t>
  </si>
  <si>
    <t>Motor Efficiency At Full-Rated Load*</t>
  </si>
  <si>
    <t>VSD Controller on Dairy Vacuum Pump - Rated HP of Motor</t>
  </si>
  <si>
    <t>VSD Controller on Dairy Vacuum Pump - Motor Efficiency At Full-Rated Load</t>
  </si>
  <si>
    <t>Eff</t>
  </si>
  <si>
    <t>Daily Run Hours of Motor*</t>
  </si>
  <si>
    <t>VSD Controller on Dairy Vacuum Pump - Daily Run Hours</t>
  </si>
  <si>
    <t>VSD Controller on Dairy Vacuum Pump - Annual Operating Days</t>
  </si>
  <si>
    <t>Annual Operating Days*</t>
  </si>
  <si>
    <t>VSD Controller on Dairy Vacuum Pump - HP to kW Conversion</t>
  </si>
  <si>
    <t>Conversion Factor</t>
  </si>
  <si>
    <t>VSD Controller on Dairy Vacuum Pump - Load Factor</t>
  </si>
  <si>
    <t>Factor</t>
  </si>
  <si>
    <t>VSD Controller on Dairy Vacuum Pump - Energy Savings Factor</t>
  </si>
  <si>
    <t>VSD Controller on Dairy Vacuum Pump</t>
  </si>
  <si>
    <t>HP-kW Conversion Factor</t>
  </si>
  <si>
    <t>Load Factor</t>
  </si>
  <si>
    <t>Motor Efficiency</t>
  </si>
  <si>
    <t>ESF</t>
  </si>
  <si>
    <t>Daily Hrs</t>
  </si>
  <si>
    <t>Annual Days</t>
  </si>
  <si>
    <t>VSD Controller on Dairy Vacuum Pump - Incentive</t>
  </si>
  <si>
    <t>No. of Standard Eff. Fans Replaced*</t>
  </si>
  <si>
    <t>No. of High Eff. Fans Installed*</t>
  </si>
  <si>
    <t>Fan Size</t>
  </si>
  <si>
    <t>Inches</t>
  </si>
  <si>
    <t>Facility Type*</t>
  </si>
  <si>
    <t>Hours &gt;,=70F</t>
  </si>
  <si>
    <t>Hours &lt;50F</t>
  </si>
  <si>
    <t>Hours 50-70F</t>
  </si>
  <si>
    <t>Dairy - Stall Barn</t>
  </si>
  <si>
    <t>Dairy - Free-Stall or Cross-Ventilated Barn</t>
  </si>
  <si>
    <t>Hog Nursery or Sow House</t>
  </si>
  <si>
    <t>Hog Finishing House</t>
  </si>
  <si>
    <t>Look-Up Table 4: Weighted Avg Hours of Use (Vent Fan), By Facility Type and Location (TMY3)</t>
  </si>
  <si>
    <t>Type</t>
  </si>
  <si>
    <t>Look-Up Table 3: Vent Fan CFM and CFM/W, By Size and Efficiency</t>
  </si>
  <si>
    <t>Fan Size (Inches)</t>
  </si>
  <si>
    <t>CFM</t>
  </si>
  <si>
    <t>Standard Eff. Fan (CFM/W @.1 IWC)</t>
  </si>
  <si>
    <t>High Eff. Fan (CFM/W @.1 IWC)</t>
  </si>
  <si>
    <t>14-23</t>
  </si>
  <si>
    <t>24-35</t>
  </si>
  <si>
    <t>36-47</t>
  </si>
  <si>
    <t>48-61</t>
  </si>
  <si>
    <t>Look-Up Table 5: Hours Reduced By Tstat, By Facility Type and Location (TMY3)</t>
  </si>
  <si>
    <t>High Efficiency Vent Fans - Fan Savings</t>
  </si>
  <si>
    <t>High Efficiency Vent Fans - Tstat Savings</t>
  </si>
  <si>
    <t>Eff (Std fans)</t>
  </si>
  <si>
    <t>QTY (Std fans)</t>
  </si>
  <si>
    <t>QTY (Hi Eff fans)</t>
  </si>
  <si>
    <t>Eff (Hi Eff fans)</t>
  </si>
  <si>
    <t>Facility Type</t>
  </si>
  <si>
    <t>High-Efficiency Vent Fans - No. of Std Eff Fans Replaced</t>
  </si>
  <si>
    <t>High-Efficiency Vent Fans - No. of Hi Eff Fans Installed</t>
  </si>
  <si>
    <t>High-Efficiency Vent Fans - Fan Size</t>
  </si>
  <si>
    <t>High-Efficiency Vent Fans - Facility Type</t>
  </si>
  <si>
    <t>High-Efficiency Vent Fans - Nearest Weather Location</t>
  </si>
  <si>
    <t>Reference Table 1: Weighted Avg Hours of Use (Vent Fan), By Facility Type and Location (TMY3)</t>
  </si>
  <si>
    <t>Reference Table 2: Hours Reduced by Tstat (Vent Fan), By Facility Type and Location (TMY3)</t>
  </si>
  <si>
    <t>Hours of Use</t>
  </si>
  <si>
    <t>Hours (Tstat)</t>
  </si>
  <si>
    <t>High-Efficiency Vent Fans - Incentive</t>
  </si>
  <si>
    <t>Annual Savings (Fans)</t>
  </si>
  <si>
    <t>High Volume Low Speed Fans</t>
  </si>
  <si>
    <t>Fan Size (ft)</t>
  </si>
  <si>
    <t>≥ 16 and &lt; 18</t>
  </si>
  <si>
    <t>≥ 18 and &lt; 20</t>
  </si>
  <si>
    <t>≥ 20 and &lt; 24</t>
  </si>
  <si>
    <t>≥ 24</t>
  </si>
  <si>
    <t>Watts (HVLS)</t>
  </si>
  <si>
    <t>Watts (Conventional)</t>
  </si>
  <si>
    <t>Look-Up Table 6: Fan Watts By Type and Size (HVLS)</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</si>
  <si>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</si>
  <si>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Look-Up Table 7: Hours of Use (Circ Fan), By Locatin</t>
  </si>
  <si>
    <t>No. of HVLS Circulating Fans Installed*</t>
  </si>
  <si>
    <t>Feet</t>
  </si>
  <si>
    <t>Fan Size (Diameter)*</t>
  </si>
  <si>
    <t>High Volume Low Speed Fans - No. of Fans Installed</t>
  </si>
  <si>
    <t>High Volume Low Speed Fans - Fan Size (Diameter)</t>
  </si>
  <si>
    <t>High Volume Low Speed Fans - Nearest Weather Location</t>
  </si>
  <si>
    <t>High Volume Low Speed Fans - Coincident Factor</t>
  </si>
  <si>
    <t>High Volume Low Speed Fans - Incentive</t>
  </si>
  <si>
    <t>kWh*yr/Cow</t>
  </si>
  <si>
    <t>Total Annual Savings</t>
  </si>
  <si>
    <t>Michael Stevenson</t>
  </si>
  <si>
    <t>Total Equipment Cost*</t>
  </si>
  <si>
    <t>$</t>
  </si>
  <si>
    <t xml:space="preserve">All measures are based on the 2016 PA TRM with Errata </t>
  </si>
  <si>
    <t>Summary</t>
  </si>
  <si>
    <t>Summary of Equipment Cost, Calculator Savings, and Incentives.</t>
  </si>
  <si>
    <t>PA TRM 2016 with Errata correction</t>
  </si>
  <si>
    <t>Automatic Milker Takeoffs</t>
  </si>
  <si>
    <t>Dairy Scroll Compressors</t>
  </si>
  <si>
    <t>Methodology List</t>
  </si>
  <si>
    <t>Variable Speed Drive (VSD) Controller on Dairy Vacuum Pumps</t>
  </si>
  <si>
    <t>High Efficiency Ventilation Fans with and without Thermostats</t>
  </si>
  <si>
    <t>Total Equipment Cost</t>
  </si>
  <si>
    <t>Peak Demand Reduction</t>
  </si>
  <si>
    <t>Annual Energy Reduction</t>
  </si>
  <si>
    <t>one time payment of Eligible Program Incentive</t>
  </si>
  <si>
    <t>Auto Milker Takeoff - Cows Milked Per Day</t>
  </si>
  <si>
    <t>Auto Milker Takeoff - No. of Takeoff Units</t>
  </si>
  <si>
    <t>Number of cows milked per day per takeoff unit</t>
  </si>
  <si>
    <t>Total number of automatic milker takeoff units installed</t>
  </si>
  <si>
    <t>Total number of dairy scroll compressors installed</t>
  </si>
  <si>
    <t>Energy efficiency ratio of installed scroll compressor</t>
  </si>
  <si>
    <t>Average total number of cows milked per day</t>
  </si>
  <si>
    <t>Total number of energy efficient livestock waterers</t>
  </si>
  <si>
    <t>Nearest Maryland location</t>
  </si>
  <si>
    <t>Rated horsepower of dairy vacuum pump</t>
  </si>
  <si>
    <t>Efficiency of dairy vacuum pump at full-rated load</t>
  </si>
  <si>
    <t>Daily run hours of the dairy vacuum pump</t>
  </si>
  <si>
    <t>Annual operating days of the dairy vacuum pump</t>
  </si>
  <si>
    <t>Total number of standard ventilation fans replaced</t>
  </si>
  <si>
    <t>Total number of high efficiency ventilation fans installed</t>
  </si>
  <si>
    <t>Fan size, in inches, of installed high efficiency ventilation fan</t>
  </si>
  <si>
    <t>Facility type of high efficiency ventilation fan installation</t>
  </si>
  <si>
    <t>Total number of high volume low speed circulation fans installed</t>
  </si>
  <si>
    <t>Fan size, in feet, of the high volume low speed circulation fan</t>
  </si>
  <si>
    <t>Total equipment cost for installed measure</t>
  </si>
  <si>
    <t>Measure Name</t>
  </si>
  <si>
    <t>Equipment Cost</t>
  </si>
  <si>
    <t>Savings</t>
  </si>
  <si>
    <t>Project Name</t>
  </si>
  <si>
    <t>Site Address</t>
  </si>
  <si>
    <t>Total</t>
  </si>
  <si>
    <t>Automatic Milker Takeoff</t>
  </si>
  <si>
    <t>Variable Speed Drive on Dairy Vacuum Pump</t>
  </si>
  <si>
    <t>High Efficiency Ventilation Fan</t>
  </si>
  <si>
    <t>High Volume Low Speed Fan</t>
  </si>
  <si>
    <t>QC Review</t>
  </si>
  <si>
    <t>Updates based on QC. Summary page added.</t>
  </si>
  <si>
    <t>Version:</t>
  </si>
  <si>
    <t>Last Updated:</t>
  </si>
  <si>
    <t>Input Instructions</t>
  </si>
  <si>
    <t>Updates based on Navigant feedback.</t>
  </si>
  <si>
    <t>Measure Description</t>
  </si>
  <si>
    <t>This measure calculates energy and demand savings for the installation of a variable speed drive (VSD) and controls on a dairy vacuum pump. 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</si>
  <si>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No. of Conventional Fans Removed*</t>
  </si>
  <si>
    <t>Conventional Fan Size*</t>
  </si>
  <si>
    <t>High Volume Low Speed Fans - No. of Fans Removed</t>
  </si>
  <si>
    <t>High Volume Low Speed Fans - Conventional Fan Size (Diameter)</t>
  </si>
  <si>
    <t>Fans Removed</t>
  </si>
  <si>
    <t>Fans Installed</t>
  </si>
  <si>
    <t>Wconv</t>
  </si>
  <si>
    <t>WHVLS</t>
  </si>
  <si>
    <t>This measure calculates energy and demand savings for the installation of High Volume Low Speed (HVLS) fans to replace conventional circulating fans. 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</si>
  <si>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This measure calculates energy and demand savings for the installation of high efficiency ventilation fans to replace standard efficiency ventilation fans. 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</si>
  <si>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Thermostat Installed*</t>
  </si>
  <si>
    <t>Yes/No</t>
  </si>
  <si>
    <t>High-Efficiency Vent Fans - Thermostat Installed?</t>
  </si>
  <si>
    <t>Standard Fan Size*</t>
  </si>
  <si>
    <t>High Eff. Fan Size*</t>
  </si>
  <si>
    <t>High-Efficiency Vent Fans - Standard Fan Size</t>
  </si>
  <si>
    <t>High-Efficiency Vent Fans - High Eff. Fan Size</t>
  </si>
  <si>
    <t>CFM Standard</t>
  </si>
  <si>
    <t>CFM High Eff.</t>
  </si>
  <si>
    <t>Auto Milker Takeoff Calculator</t>
  </si>
  <si>
    <t>Dairy Scroll Comp Calculator</t>
  </si>
  <si>
    <t>Livestock Waterer Calculator</t>
  </si>
  <si>
    <t>VSD Controller</t>
  </si>
  <si>
    <t>Hi Eff Vent Fans</t>
  </si>
  <si>
    <t>Hi Vol Low Speed Fans</t>
  </si>
  <si>
    <t>Savings and Incentive Calculator for Automatic Milker Takeoffs</t>
  </si>
  <si>
    <t>Savings and Incentive Calculator for Dairy Scroll Compressors</t>
  </si>
  <si>
    <t>Savings and Incentive Calculator for Livestock Waterer</t>
  </si>
  <si>
    <t>Savings and Incentive Calculator for Variable Speed Drive Controller on Dairy Vacuum Pump</t>
  </si>
  <si>
    <t>Savings and Incentive Calculator for High Efficiency Ventilation Fans with and without Thermostats</t>
  </si>
  <si>
    <t>Savings and Incentive Calculator for High Volume Low Speed Fans</t>
  </si>
  <si>
    <t>Heat Reclaimer Brand</t>
  </si>
  <si>
    <t>Look-Up Table 8: Water Heater Efficiency, By Type</t>
  </si>
  <si>
    <t>Heat Pump (EF ≥ 2)</t>
  </si>
  <si>
    <t>High Efficiency Electric Tank (EF ≥ 0.93)</t>
  </si>
  <si>
    <t>Non-electric</t>
  </si>
  <si>
    <t>Std Efficiency Electric Tank</t>
  </si>
  <si>
    <t>Look-Up Table 9: ES for Precooler</t>
  </si>
  <si>
    <t>ES</t>
  </si>
  <si>
    <t>yPrecooler</t>
  </si>
  <si>
    <t>Look-Up Table 10: HEF for Back-up Heating Elements</t>
  </si>
  <si>
    <t>yBackUpHeating</t>
  </si>
  <si>
    <t>HEF</t>
  </si>
  <si>
    <t>Brand</t>
  </si>
  <si>
    <t>Century-Therm</t>
  </si>
  <si>
    <t>Fre-Heater</t>
  </si>
  <si>
    <t>Heat Bank</t>
  </si>
  <si>
    <t>Sunset</t>
  </si>
  <si>
    <t>Superheater</t>
  </si>
  <si>
    <t>Therma-Stor</t>
  </si>
  <si>
    <t>Other</t>
  </si>
  <si>
    <t>Heat Reclaimers</t>
  </si>
  <si>
    <t>Type of Water Heating*</t>
  </si>
  <si>
    <t>Number of Cows*</t>
  </si>
  <si>
    <t>Number of Milking Days per Year*</t>
  </si>
  <si>
    <t>Heat Reclaimer Brand*</t>
  </si>
  <si>
    <t>System has well-water precooler?*</t>
  </si>
  <si>
    <t>Heat reclaimer has back-up heater?*</t>
  </si>
  <si>
    <t>This measure calculates the energy and demand savings for the installation of a low-pressure irrigation system, thus reducing the amount of energy required to apply the same amount of water.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and is left up to the discretion of the owner. Pre and post retrofit pump pressure measurements are required.</t>
  </si>
  <si>
    <t>psi</t>
  </si>
  <si>
    <t>GPM</t>
  </si>
  <si>
    <t>Application*</t>
  </si>
  <si>
    <t>Baseline pump pressure*</t>
  </si>
  <si>
    <t>Installed pump pressure*</t>
  </si>
  <si>
    <t>Pump flow rate*</t>
  </si>
  <si>
    <t>Hours of Irrigation per Year*</t>
  </si>
  <si>
    <t>Acres</t>
  </si>
  <si>
    <t>Number of Acres*</t>
  </si>
  <si>
    <t>Nameplate Pump Motor Efficiency*</t>
  </si>
  <si>
    <t>Low Pressure Irrigation System</t>
  </si>
  <si>
    <t>Savings and Incentive Calculator for Heat Reclaimers</t>
  </si>
  <si>
    <t>Savings and Incentive Calculator for a Low Pressure Irrigation System</t>
  </si>
  <si>
    <t>Heat Reclaimers - Type of Water Heating</t>
  </si>
  <si>
    <t>Heat Reclaimers - Number of Cows</t>
  </si>
  <si>
    <t>Heat Reclaimers - Number of Milking Days per Year</t>
  </si>
  <si>
    <t>Heat Reclaimers - Heat Reclaimer Brand</t>
  </si>
  <si>
    <t>Heat Reclaimers - System has well-water precooler?</t>
  </si>
  <si>
    <t>Heat Reclaimers - Heat reclaimer has back-up heater?</t>
  </si>
  <si>
    <t>Type of water heater</t>
  </si>
  <si>
    <t>Average number of cows milked per day</t>
  </si>
  <si>
    <t>Milking days per year</t>
  </si>
  <si>
    <t>Brand of heat reclaimer equipment</t>
  </si>
  <si>
    <t>Whether or not the system has a precooler</t>
  </si>
  <si>
    <t>Is the system for agriculture or a golf course</t>
  </si>
  <si>
    <t>Measured pump pressure before retrofit</t>
  </si>
  <si>
    <t>Measured pump pressure after retrofit</t>
  </si>
  <si>
    <t>Hours of irrigation per year</t>
  </si>
  <si>
    <t>Whether or not the system has back-up heating elements</t>
  </si>
  <si>
    <t>Pump flow rate per acre for agriculture applications. Total pump flow rate for golf courses</t>
  </si>
  <si>
    <t>Pump motor efficiency from nameplate</t>
  </si>
  <si>
    <t>For agriculture applications, number of acres serviced by irrigation system</t>
  </si>
  <si>
    <t>Low Pressure Irrigation System - Number of Acres</t>
  </si>
  <si>
    <t>Low Pressure Irrigation System - Nameplate Pump Motor Efficiency</t>
  </si>
  <si>
    <t>Low Pressure Irrigation System - Hours of Irrigation per Year</t>
  </si>
  <si>
    <t>Low Pressure Irrigation System - Pump flow rate</t>
  </si>
  <si>
    <t>Low Pressure Irrigation System - Installed pump pressure</t>
  </si>
  <si>
    <t>Low Pressure Irrigation System - Baseline pump pressure</t>
  </si>
  <si>
    <t>Low Pressure Irrigation System - Application</t>
  </si>
  <si>
    <t>PPL Calculator for Agriculture Measures</t>
  </si>
  <si>
    <t xml:space="preserve">Note: This calculator is used for estimating savings and does not guarantee the estimated incentive. The methodology presented in this calculator is deemed acceptable for the PPL Electric Utilities Non-Residential Energy Efficiency Program. However, the assumptions used by the applicant to calculate the annual savings will be reviewed by the Program Team,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Calculator, please call 1-866-432-5501 or email us at pplbusiness@clearesult.com.  
</t>
  </si>
  <si>
    <t>Yes or no input on presence of precooler</t>
  </si>
  <si>
    <t>Glossary of Outputs</t>
  </si>
  <si>
    <t>VSD Controller Calculator</t>
  </si>
  <si>
    <t>Hi Efficiency Vent Fans Calculator</t>
  </si>
  <si>
    <t>Hi Vol Low Speed Fans Calculator</t>
  </si>
  <si>
    <t>Heat Reclaimers Calculator</t>
  </si>
  <si>
    <t>Low Pressure Irrigation Calculator</t>
  </si>
  <si>
    <t>Tom Cosgro, Engineering</t>
  </si>
  <si>
    <t>PPL Branding</t>
  </si>
  <si>
    <t xml:space="preserve">The following protocol for the calculation of energy and demand savings applies to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</si>
  <si>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 xml:space="preserve">The following protocol for the calculation of energy and demand savings applies to the installation of a scroll compressor to replace an existing reciprocating compressor or the installation of a scroll compressor in a new construction application.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or to be installed in a new construction application. Existing farms replacing existing scroll compressors are not eligible. </t>
  </si>
  <si>
    <t>Allentown</t>
  </si>
  <si>
    <t>Binghamton</t>
  </si>
  <si>
    <t>Bradford</t>
  </si>
  <si>
    <t>Erie</t>
  </si>
  <si>
    <t>Harrisburg</t>
  </si>
  <si>
    <t>Philadelphia</t>
  </si>
  <si>
    <t>Pittsburgh</t>
  </si>
  <si>
    <t>Scranton</t>
  </si>
  <si>
    <t>Williamsport</t>
  </si>
  <si>
    <t>Dairy – Free-Stall or Cross-Ventilated Barn</t>
  </si>
  <si>
    <t>Unknown</t>
  </si>
  <si>
    <t>* Hog finishing house ventilation needs are based on humidity; therefore a thermostat will not reduce the number of hours the fans operate.</t>
  </si>
  <si>
    <t>Weather Location</t>
  </si>
  <si>
    <t>Table 4 5: Default Hours for Ventilation Fans by Facility Type by Location (No Thermostat)</t>
  </si>
  <si>
    <t xml:space="preserve">Table 4 6: Default Hours for Ventilation Fans by Facility Type by Location (With Thermostat) </t>
  </si>
  <si>
    <t>The following protocol for the calculation of energy and demand savings applies to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The equipment installed must be one of the following pre-approved brands or equivalent: Century-Therm, Fre-Heater, Heat Bank, Sunset, Superheater, or Therma-Stor.</t>
  </si>
  <si>
    <t>Livsestock Waterer</t>
  </si>
  <si>
    <t>Variable Speed Drive Controller on Dairy Vacuum Pumps</t>
  </si>
  <si>
    <t>Heat Reclaimer</t>
  </si>
  <si>
    <t>Es</t>
  </si>
  <si>
    <r>
      <rPr>
        <b/>
        <sz val="12"/>
        <color theme="1"/>
        <rFont val="Arial"/>
        <family val="2"/>
      </rPr>
      <t>η</t>
    </r>
    <r>
      <rPr>
        <b/>
        <vertAlign val="subscript"/>
        <sz val="11"/>
        <color theme="1"/>
        <rFont val="Arial"/>
        <family val="2"/>
        <scheme val="minor"/>
      </rPr>
      <t>water heater</t>
    </r>
  </si>
  <si>
    <t>Electric Tank Water Heater</t>
  </si>
  <si>
    <t xml:space="preserve">Heat Pump Water Heater </t>
  </si>
  <si>
    <t>Heating Element Factor</t>
  </si>
  <si>
    <t>x</t>
  </si>
  <si>
    <t>Table 4-11 OPRHS</t>
  </si>
  <si>
    <t xml:space="preserve">The following protocol for the calculation of energy and demand savings applies to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factory-installed insulation with a minimum thickness of two inches. Savings algorithms are for one unit. </t>
  </si>
  <si>
    <t>Line Item</t>
  </si>
  <si>
    <t>Measure Quantity</t>
  </si>
  <si>
    <t>Measure Code Measure Description</t>
  </si>
  <si>
    <t>Project End Date</t>
  </si>
  <si>
    <t>Total Energy Savings (kWh)</t>
  </si>
  <si>
    <t>Total Energy Savings (kW)</t>
  </si>
  <si>
    <t>Estimator Version Number</t>
  </si>
  <si>
    <t>AMT</t>
  </si>
  <si>
    <t>DSC</t>
  </si>
  <si>
    <t>HeVF</t>
  </si>
  <si>
    <t>HR</t>
  </si>
  <si>
    <t>HiVolLSF</t>
  </si>
  <si>
    <t>LW</t>
  </si>
  <si>
    <t>VSD</t>
  </si>
  <si>
    <t>LPI</t>
  </si>
  <si>
    <t>HP (Motor Horsepower)</t>
  </si>
  <si>
    <t>Base EER</t>
  </si>
  <si>
    <t>INstalled EER</t>
  </si>
  <si>
    <t>Oper Hrs per year</t>
  </si>
  <si>
    <t>VSD Controllers Hours</t>
  </si>
  <si>
    <t>No. Cow Milked</t>
  </si>
  <si>
    <t>Avg. No. Cows Milked Day</t>
  </si>
  <si>
    <t>No. Livestock Waters</t>
  </si>
  <si>
    <t>No of Acres</t>
  </si>
  <si>
    <t>Water Heater Type</t>
  </si>
  <si>
    <t>Watts Removed</t>
  </si>
  <si>
    <t>Watts Installed</t>
  </si>
  <si>
    <t>Space Type</t>
  </si>
  <si>
    <t>Existing PSI</t>
  </si>
  <si>
    <t>New PSI</t>
  </si>
  <si>
    <t>System Flow Rate GPM</t>
  </si>
  <si>
    <t>Pump Eff</t>
  </si>
  <si>
    <t>Hrs Watering Per Day</t>
  </si>
  <si>
    <t>No Days Per Year Watering</t>
  </si>
  <si>
    <t>Presence of Prog Thermostat</t>
  </si>
  <si>
    <t>Previous Qty of Fans</t>
  </si>
  <si>
    <t>Fans Replaced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</si>
</sst>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 numFmtId="188" formatCode="#,##0.000"/>
    <numFmt numFmtId="189" formatCode="0.00000000"/>
  </numFmts>
  <fonts count="92">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9"/>
      <color indexed="81"/>
      <name val="Tahoma"/>
      <family val="2"/>
    </font>
    <font>
      <b/>
      <sz val="9"/>
      <color indexed="81"/>
      <name val="Tahoma"/>
      <family val="2"/>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8"/>
      <color theme="5"/>
      <name val="Arial"/>
      <family val="2"/>
      <scheme val="minor"/>
    </font>
    <font>
      <b/>
      <sz val="16"/>
      <color theme="5"/>
      <name val="Arial"/>
      <family val="2"/>
    </font>
    <font>
      <sz val="16"/>
      <color theme="5"/>
      <name val="Arial"/>
      <family val="2"/>
    </font>
    <font>
      <u/>
      <sz val="27"/>
      <color theme="5"/>
      <name val="Arial"/>
      <family val="2"/>
      <scheme val="minor"/>
    </font>
    <font>
      <sz val="9"/>
      <color theme="1"/>
      <name val="Arial"/>
      <family val="2"/>
    </font>
    <font>
      <b/>
      <sz val="9"/>
      <color theme="1"/>
      <name val="Arial"/>
      <family val="2"/>
    </font>
    <font>
      <b/>
      <sz val="9"/>
      <color rgb="FF000000"/>
      <name val="Arial"/>
      <family val="2"/>
    </font>
    <font>
      <sz val="8"/>
      <color theme="1"/>
      <name val="Arial"/>
      <family val="2"/>
    </font>
    <font>
      <sz val="9"/>
      <color rgb="FF000000"/>
      <name val="Arial"/>
      <family val="2"/>
    </font>
    <font>
      <b/>
      <sz val="12"/>
      <color theme="1"/>
      <name val="Arial"/>
      <family val="2"/>
    </font>
    <font>
      <sz val="11"/>
      <name val="Arial"/>
      <family val="2"/>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2060"/>
        <bgColor indexed="64"/>
      </patternFill>
    </fill>
    <fill>
      <patternFill patternType="solid">
        <fgColor rgb="FFC0C0C0"/>
        <bgColor indexed="64"/>
      </patternFill>
    </fill>
    <fill>
      <patternFill patternType="solid">
        <fgColor rgb="FFFFFF00"/>
        <bgColor indexed="64"/>
      </patternFill>
    </fill>
    <fill>
      <patternFill patternType="solid">
        <fgColor rgb="FF92D050"/>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s>
  <cellStyleXfs count="249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3"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27"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37" fontId="61" fillId="0" borderId="0"/>
    <xf numFmtId="0" fontId="62"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4" fillId="0" borderId="0" applyFont="0" applyFill="0" applyBorder="0" applyAlignment="0" applyProtection="0">
      <alignment horizontal="right"/>
    </xf>
    <xf numFmtId="2" fontId="64"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5" fillId="62" borderId="50">
      <alignment horizontal="center" vertical="center"/>
    </xf>
    <xf numFmtId="176" fontId="56" fillId="62" borderId="50">
      <alignment horizontal="center" vertical="center"/>
    </xf>
    <xf numFmtId="177" fontId="66" fillId="0" borderId="0" applyFill="0" applyBorder="0" applyAlignment="0"/>
    <xf numFmtId="178" fontId="66" fillId="0" borderId="0" applyFill="0" applyBorder="0" applyAlignment="0"/>
    <xf numFmtId="167" fontId="66" fillId="0" borderId="0" applyFill="0" applyBorder="0" applyAlignment="0"/>
    <xf numFmtId="179" fontId="66" fillId="0" borderId="0" applyFill="0" applyBorder="0" applyAlignment="0"/>
    <xf numFmtId="180"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77" fontId="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4" fillId="0" borderId="0" applyFont="0" applyFill="0" applyBorder="0" applyAlignment="0" applyProtection="0">
      <alignment horizontal="right"/>
    </xf>
    <xf numFmtId="178"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4" fillId="0" borderId="0"/>
    <xf numFmtId="6" fontId="69" fillId="0" borderId="0">
      <protection locked="0"/>
    </xf>
    <xf numFmtId="14" fontId="70" fillId="0" borderId="0" applyFill="0" applyBorder="0" applyAlignment="0"/>
    <xf numFmtId="181" fontId="19" fillId="0" borderId="51">
      <alignment vertical="center"/>
    </xf>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2" fontId="19" fillId="0" borderId="0">
      <protection locked="0"/>
    </xf>
    <xf numFmtId="38" fontId="64" fillId="61" borderId="0" applyNumberFormat="0" applyBorder="0" applyAlignment="0" applyProtection="0"/>
    <xf numFmtId="38" fontId="64" fillId="61" borderId="0" applyNumberFormat="0" applyBorder="0" applyAlignment="0" applyProtection="0"/>
    <xf numFmtId="0" fontId="71" fillId="0" borderId="0" applyNumberFormat="0" applyFill="0" applyBorder="0" applyAlignment="0" applyProtection="0"/>
    <xf numFmtId="0" fontId="54" fillId="0" borderId="49" applyNumberFormat="0" applyAlignment="0" applyProtection="0">
      <alignment horizontal="left" vertical="center"/>
    </xf>
    <xf numFmtId="0" fontId="54" fillId="0" borderId="37">
      <alignment horizontal="left" vertical="center"/>
    </xf>
    <xf numFmtId="0" fontId="54" fillId="0" borderId="37">
      <alignment horizontal="left" vertical="center"/>
    </xf>
    <xf numFmtId="183" fontId="19" fillId="0" borderId="0">
      <protection locked="0"/>
    </xf>
    <xf numFmtId="183" fontId="19" fillId="0" borderId="0">
      <protection locked="0"/>
    </xf>
    <xf numFmtId="0" fontId="72" fillId="0" borderId="52" applyNumberFormat="0" applyFill="0" applyAlignment="0" applyProtection="0"/>
    <xf numFmtId="10" fontId="64" fillId="63" borderId="10" applyNumberFormat="0" applyBorder="0" applyAlignment="0" applyProtection="0"/>
    <xf numFmtId="10" fontId="64" fillId="63" borderId="10" applyNumberFormat="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4" fontId="73"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9" fillId="0" borderId="0"/>
    <xf numFmtId="0" fontId="74"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4" fillId="0" borderId="0"/>
    <xf numFmtId="0" fontId="64" fillId="0" borderId="0"/>
    <xf numFmtId="0" fontId="19" fillId="0" borderId="0"/>
    <xf numFmtId="0" fontId="74" fillId="0" borderId="0"/>
    <xf numFmtId="0" fontId="19" fillId="0" borderId="0" applyNumberFormat="0" applyFill="0" applyBorder="0" applyAlignment="0" applyProtection="0"/>
    <xf numFmtId="0" fontId="1" fillId="0" borderId="0"/>
    <xf numFmtId="0" fontId="75"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4" fillId="63" borderId="10" applyNumberFormat="0" applyBorder="0" applyAlignment="0" applyProtection="0"/>
    <xf numFmtId="10" fontId="64" fillId="63" borderId="10" applyNumberFormat="0" applyBorder="0" applyAlignment="0" applyProtection="0"/>
    <xf numFmtId="0" fontId="54" fillId="0" borderId="37">
      <alignment horizontal="left" vertical="center"/>
    </xf>
    <xf numFmtId="0" fontId="54"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6" fillId="0" borderId="22" applyFill="0" applyProtection="0">
      <alignment horizontal="right" wrapText="1"/>
    </xf>
    <xf numFmtId="180" fontId="66"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0" fontId="77" fillId="0" borderId="0" applyFill="0" applyBorder="0" applyProtection="0">
      <alignment horizontal="left" wrapText="1"/>
    </xf>
    <xf numFmtId="49" fontId="70" fillId="0" borderId="0" applyFill="0" applyBorder="0" applyAlignment="0"/>
    <xf numFmtId="186" fontId="19" fillId="0" borderId="0" applyFill="0" applyBorder="0" applyAlignment="0"/>
    <xf numFmtId="187" fontId="19" fillId="0" borderId="0" applyFill="0" applyBorder="0" applyAlignment="0"/>
    <xf numFmtId="183" fontId="19" fillId="0" borderId="53">
      <protection locked="0"/>
    </xf>
    <xf numFmtId="37" fontId="64" fillId="64" borderId="0" applyNumberFormat="0" applyBorder="0" applyAlignment="0" applyProtection="0"/>
    <xf numFmtId="37" fontId="64" fillId="64" borderId="0" applyNumberFormat="0" applyBorder="0" applyAlignment="0" applyProtection="0"/>
    <xf numFmtId="37" fontId="64" fillId="0" borderId="0"/>
    <xf numFmtId="3" fontId="78" fillId="0" borderId="52" applyProtection="0"/>
    <xf numFmtId="0" fontId="30" fillId="55" borderId="23" applyNumberFormat="0" applyAlignment="0" applyProtection="0"/>
    <xf numFmtId="10" fontId="64" fillId="63" borderId="10" applyNumberFormat="0" applyBorder="0" applyAlignment="0" applyProtection="0"/>
    <xf numFmtId="10" fontId="64"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10" fontId="64" fillId="63" borderId="10" applyNumberFormat="0" applyBorder="0" applyAlignment="0" applyProtection="0"/>
    <xf numFmtId="10" fontId="64" fillId="63" borderId="10" applyNumberFormat="0" applyBorder="0" applyAlignment="0" applyProtection="0"/>
  </cellStyleXfs>
  <cellXfs count="300">
    <xf numFmtId="0" fontId="0" fillId="0" borderId="0" xfId="0"/>
    <xf numFmtId="0" fontId="0" fillId="34" borderId="0" xfId="0" applyFill="1"/>
    <xf numFmtId="0" fontId="0" fillId="34" borderId="0" xfId="0" applyFill="1" applyBorder="1"/>
    <xf numFmtId="0" fontId="0" fillId="34" borderId="0" xfId="0" applyFont="1" applyFill="1" applyBorder="1"/>
    <xf numFmtId="0" fontId="22" fillId="34" borderId="0" xfId="43"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3" fillId="0" borderId="0" xfId="43" applyFont="1" applyBorder="1" applyAlignment="1">
      <alignment vertical="center"/>
    </xf>
    <xf numFmtId="0" fontId="23" fillId="34" borderId="0" xfId="43" applyFont="1" applyFill="1" applyBorder="1" applyAlignment="1">
      <alignment vertical="center"/>
    </xf>
    <xf numFmtId="0" fontId="0" fillId="34" borderId="0" xfId="0" applyFont="1" applyFill="1" applyBorder="1" applyAlignment="1">
      <alignment horizontal="center"/>
    </xf>
    <xf numFmtId="0" fontId="17" fillId="34" borderId="0" xfId="0" applyFont="1" applyFill="1" applyBorder="1"/>
    <xf numFmtId="0" fontId="18" fillId="34" borderId="0" xfId="0" applyFont="1" applyFill="1" applyBorder="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0" fillId="34" borderId="0" xfId="0" applyFill="1" applyBorder="1" applyProtection="1"/>
    <xf numFmtId="0" fontId="0" fillId="34" borderId="0" xfId="0" applyFill="1" applyProtection="1"/>
    <xf numFmtId="0" fontId="16" fillId="34" borderId="0" xfId="0" applyFont="1" applyFill="1" applyBorder="1" applyAlignment="1" applyProtection="1">
      <alignment horizontal="center"/>
    </xf>
    <xf numFmtId="0" fontId="0" fillId="34" borderId="0" xfId="0" applyFill="1" applyBorder="1" applyAlignment="1" applyProtection="1">
      <alignment vertical="center"/>
    </xf>
    <xf numFmtId="0" fontId="0" fillId="34" borderId="0" xfId="0" applyFill="1" applyAlignment="1" applyProtection="1">
      <alignment vertical="center"/>
    </xf>
    <xf numFmtId="0" fontId="21" fillId="34" borderId="0" xfId="43" applyFont="1" applyFill="1" applyAlignment="1" applyProtection="1">
      <alignment horizontal="left" vertical="center" wrapText="1" indent="2"/>
      <protection hidden="1"/>
    </xf>
    <xf numFmtId="0" fontId="13" fillId="34" borderId="0" xfId="0" applyFont="1" applyFill="1" applyBorder="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ont="1" applyFill="1" applyBorder="1" applyAlignment="1">
      <alignment horizontal="left" vertical="center" wrapText="1" indent="1"/>
    </xf>
    <xf numFmtId="0" fontId="0" fillId="36" borderId="12" xfId="0" applyFont="1" applyFill="1" applyBorder="1" applyAlignment="1" applyProtection="1">
      <alignment horizontal="left" vertical="center" indent="1"/>
    </xf>
    <xf numFmtId="0" fontId="0" fillId="36" borderId="15" xfId="0" applyFont="1" applyFill="1" applyBorder="1" applyAlignment="1" applyProtection="1">
      <alignment horizontal="left" vertical="center" indent="1"/>
    </xf>
    <xf numFmtId="0" fontId="0" fillId="35" borderId="17" xfId="0" applyFont="1" applyFill="1" applyBorder="1" applyAlignment="1" applyProtection="1">
      <alignment horizontal="left" vertical="center" indent="1"/>
    </xf>
    <xf numFmtId="0" fontId="0" fillId="36" borderId="19" xfId="0" applyFont="1" applyFill="1" applyBorder="1" applyAlignment="1" applyProtection="1">
      <alignment horizontal="left" vertical="center" indent="1"/>
    </xf>
    <xf numFmtId="0" fontId="0" fillId="35" borderId="21" xfId="0" applyFont="1" applyFill="1" applyBorder="1" applyAlignment="1" applyProtection="1">
      <alignment horizontal="left" vertical="center" indent="1"/>
    </xf>
    <xf numFmtId="0" fontId="0" fillId="34" borderId="0" xfId="0" applyFont="1" applyFill="1" applyBorder="1" applyAlignment="1" applyProtection="1">
      <alignment horizontal="left" vertical="center" indent="1"/>
    </xf>
    <xf numFmtId="0" fontId="0" fillId="35" borderId="10" xfId="0" applyFont="1" applyFill="1" applyBorder="1" applyAlignment="1" applyProtection="1">
      <alignment horizontal="left" vertical="center" indent="1"/>
    </xf>
    <xf numFmtId="0" fontId="0" fillId="35" borderId="10" xfId="0" applyFont="1"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0" fontId="0" fillId="35" borderId="10" xfId="0" applyFill="1" applyBorder="1" applyAlignment="1">
      <alignment horizontal="left" vertical="center" indent="1"/>
    </xf>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Border="1" applyAlignment="1" applyProtection="1">
      <alignment horizontal="left"/>
    </xf>
    <xf numFmtId="0" fontId="45" fillId="34" borderId="0" xfId="0" applyFont="1" applyFill="1" applyAlignment="1" applyProtection="1">
      <alignment vertical="center"/>
    </xf>
    <xf numFmtId="0" fontId="0" fillId="35" borderId="10" xfId="0" applyFont="1" applyFill="1" applyBorder="1" applyAlignment="1">
      <alignment horizontal="left" vertical="center" indent="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Border="1" applyAlignment="1">
      <alignment horizontal="left" vertical="top" wrapText="1" indent="18"/>
    </xf>
    <xf numFmtId="0" fontId="0" fillId="33" borderId="10" xfId="0" applyFont="1" applyFill="1" applyBorder="1" applyAlignment="1">
      <alignment horizontal="left" vertical="center" indent="1"/>
    </xf>
    <xf numFmtId="0" fontId="0" fillId="35" borderId="40" xfId="0" applyFont="1" applyFill="1" applyBorder="1" applyAlignment="1" applyProtection="1">
      <alignment horizontal="left" vertical="center" indent="1"/>
    </xf>
    <xf numFmtId="0" fontId="0" fillId="36" borderId="41" xfId="0" applyFont="1" applyFill="1" applyBorder="1" applyAlignment="1" applyProtection="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ont="1" applyFill="1" applyBorder="1" applyAlignment="1">
      <alignment horizontal="left" vertical="center" indent="1"/>
    </xf>
    <xf numFmtId="0" fontId="0" fillId="35" borderId="10" xfId="0" applyFont="1" applyFill="1" applyBorder="1" applyAlignment="1">
      <alignment horizontal="right" vertical="center" indent="1"/>
    </xf>
    <xf numFmtId="44" fontId="0" fillId="35" borderId="10" xfId="1998" applyFont="1" applyFill="1" applyBorder="1" applyAlignment="1">
      <alignment horizontal="right" vertical="center" indent="1"/>
    </xf>
    <xf numFmtId="0" fontId="0" fillId="35" borderId="0" xfId="0" applyFont="1" applyFill="1" applyBorder="1" applyAlignment="1" applyProtection="1">
      <alignment horizontal="left" vertical="center" indent="1"/>
    </xf>
    <xf numFmtId="1" fontId="0" fillId="35" borderId="10" xfId="0" applyNumberFormat="1" applyFill="1" applyBorder="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0" applyNumberFormat="1" applyFont="1" applyFill="1" applyBorder="1" applyAlignment="1" applyProtection="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0" fontId="0" fillId="35" borderId="0" xfId="0" applyFont="1" applyFill="1" applyBorder="1" applyAlignment="1">
      <alignment horizontal="lef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0" fontId="0" fillId="34" borderId="0" xfId="0" applyFill="1" applyBorder="1" applyAlignment="1">
      <alignment horizontal="lef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Border="1" applyAlignment="1">
      <alignment horizontal="right" vertical="center" indent="1"/>
    </xf>
    <xf numFmtId="168" fontId="0" fillId="34" borderId="0" xfId="0" applyNumberFormat="1" applyFill="1" applyBorder="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Border="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9" fontId="0" fillId="35" borderId="10" xfId="1999" applyNumberFormat="1" applyFont="1" applyFill="1" applyBorder="1" applyAlignment="1">
      <alignment horizontal="lef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applyBorder="1"/>
    <xf numFmtId="0" fontId="0" fillId="35" borderId="10" xfId="0" applyFill="1" applyBorder="1" applyAlignment="1">
      <alignment horizontal="right" vertical="center" indent="1"/>
    </xf>
    <xf numFmtId="0" fontId="0" fillId="35" borderId="42" xfId="0" applyFont="1" applyFill="1" applyBorder="1" applyAlignment="1" applyProtection="1">
      <alignment horizontal="left" vertical="center" indent="1"/>
    </xf>
    <xf numFmtId="2" fontId="0" fillId="35" borderId="0" xfId="1998" applyNumberFormat="1" applyFont="1" applyFill="1" applyBorder="1" applyAlignment="1">
      <alignment horizontal="left" vertical="center" indent="1"/>
    </xf>
    <xf numFmtId="0" fontId="49" fillId="34" borderId="0" xfId="0" applyFont="1" applyFill="1" applyBorder="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44" fontId="0" fillId="33" borderId="20" xfId="0" applyNumberFormat="1" applyFont="1" applyFill="1" applyBorder="1" applyAlignment="1" applyProtection="1">
      <alignment horizontal="right" vertical="center" indent="1"/>
      <protection locked="0"/>
    </xf>
    <xf numFmtId="0" fontId="0" fillId="33" borderId="10" xfId="0" applyFont="1" applyFill="1" applyBorder="1" applyAlignment="1">
      <alignment horizontal="left" vertical="center" wrapText="1" indent="1"/>
    </xf>
    <xf numFmtId="0" fontId="45" fillId="34" borderId="0" xfId="0" applyFont="1" applyFill="1" applyProtection="1"/>
    <xf numFmtId="0" fontId="51" fillId="34" borderId="22" xfId="0" applyFont="1" applyFill="1" applyBorder="1" applyAlignment="1" applyProtection="1">
      <alignment horizontal="right"/>
    </xf>
    <xf numFmtId="14" fontId="45" fillId="34" borderId="22" xfId="0" applyNumberFormat="1" applyFont="1" applyFill="1" applyBorder="1" applyAlignment="1" applyProtection="1">
      <alignment horizontal="center"/>
    </xf>
    <xf numFmtId="0" fontId="16" fillId="36" borderId="12" xfId="0" applyFont="1" applyFill="1" applyBorder="1" applyAlignment="1" applyProtection="1">
      <alignment horizontal="right" vertical="center" indent="1"/>
    </xf>
    <xf numFmtId="14" fontId="0" fillId="33" borderId="14" xfId="0" applyNumberFormat="1" applyFont="1" applyFill="1" applyBorder="1" applyAlignment="1" applyProtection="1">
      <alignment vertical="center"/>
      <protection locked="0"/>
    </xf>
    <xf numFmtId="0" fontId="0" fillId="0" borderId="0" xfId="0" applyFill="1" applyAlignment="1" applyProtection="1">
      <alignment vertical="center"/>
    </xf>
    <xf numFmtId="0" fontId="16" fillId="36" borderId="15" xfId="0" applyFont="1" applyFill="1" applyBorder="1" applyAlignment="1" applyProtection="1">
      <alignment horizontal="right" vertical="center" indent="1"/>
    </xf>
    <xf numFmtId="0" fontId="0" fillId="33" borderId="17" xfId="0" applyFont="1" applyFill="1" applyBorder="1" applyAlignment="1" applyProtection="1">
      <alignment vertical="center"/>
      <protection locked="0"/>
    </xf>
    <xf numFmtId="0" fontId="16" fillId="36" borderId="19" xfId="0" applyFont="1" applyFill="1" applyBorder="1" applyAlignment="1" applyProtection="1">
      <alignment horizontal="right" vertical="center" indent="1"/>
    </xf>
    <xf numFmtId="0" fontId="0" fillId="33" borderId="21" xfId="0" applyFont="1" applyFill="1" applyBorder="1" applyAlignment="1" applyProtection="1">
      <alignment vertical="center"/>
      <protection locked="0"/>
    </xf>
    <xf numFmtId="168" fontId="0" fillId="59" borderId="10" xfId="0" applyNumberFormat="1" applyFill="1" applyBorder="1" applyAlignment="1" applyProtection="1">
      <alignment horizontal="center" vertical="center"/>
    </xf>
    <xf numFmtId="4" fontId="0" fillId="59" borderId="10" xfId="0" applyNumberFormat="1" applyFill="1" applyBorder="1" applyAlignment="1" applyProtection="1">
      <alignment horizontal="center" vertical="center"/>
    </xf>
    <xf numFmtId="171" fontId="0" fillId="59" borderId="17" xfId="0" applyNumberFormat="1" applyFill="1" applyBorder="1" applyAlignment="1" applyProtection="1">
      <alignment horizontal="center" vertical="center"/>
    </xf>
    <xf numFmtId="168" fontId="0" fillId="34" borderId="10" xfId="0" applyNumberFormat="1" applyFill="1" applyBorder="1" applyAlignment="1" applyProtection="1">
      <alignment horizontal="center" vertical="center"/>
    </xf>
    <xf numFmtId="4" fontId="0" fillId="34" borderId="10" xfId="0" applyNumberFormat="1" applyFill="1" applyBorder="1" applyAlignment="1" applyProtection="1">
      <alignment horizontal="center" vertical="center"/>
    </xf>
    <xf numFmtId="171" fontId="0" fillId="34" borderId="17" xfId="0" applyNumberFormat="1" applyFill="1" applyBorder="1" applyAlignment="1" applyProtection="1">
      <alignment horizontal="center" vertical="center"/>
    </xf>
    <xf numFmtId="0" fontId="0" fillId="60" borderId="0" xfId="0" applyFill="1" applyProtection="1"/>
    <xf numFmtId="0" fontId="0" fillId="0" borderId="0" xfId="0" applyProtection="1"/>
    <xf numFmtId="0" fontId="0" fillId="0" borderId="0" xfId="0" applyFill="1" applyProtection="1"/>
    <xf numFmtId="0" fontId="0" fillId="59" borderId="47" xfId="0" applyFill="1" applyBorder="1" applyAlignment="1" applyProtection="1">
      <alignment horizontal="left" vertical="center"/>
    </xf>
    <xf numFmtId="0" fontId="0" fillId="34" borderId="47" xfId="0" applyFill="1" applyBorder="1" applyAlignment="1" applyProtection="1">
      <alignment horizontal="left" vertical="center"/>
    </xf>
    <xf numFmtId="165" fontId="45" fillId="34" borderId="22" xfId="0" applyNumberFormat="1" applyFont="1" applyFill="1" applyBorder="1" applyAlignment="1" applyProtection="1">
      <alignment horizontal="center"/>
    </xf>
    <xf numFmtId="0" fontId="0" fillId="34" borderId="0" xfId="0" applyFont="1" applyFill="1" applyAlignment="1">
      <alignment vertical="center" wrapText="1"/>
    </xf>
    <xf numFmtId="0" fontId="0" fillId="35" borderId="0" xfId="0" applyFont="1" applyFill="1" applyAlignment="1">
      <alignment vertical="center" wrapText="1"/>
    </xf>
    <xf numFmtId="0" fontId="80" fillId="34" borderId="0" xfId="43" applyFont="1" applyFill="1" applyAlignment="1" applyProtection="1">
      <alignment horizontal="left" vertical="center" indent="2"/>
      <protection hidden="1"/>
    </xf>
    <xf numFmtId="0" fontId="0" fillId="35" borderId="0" xfId="0" applyFont="1" applyFill="1"/>
    <xf numFmtId="0" fontId="0" fillId="34" borderId="0" xfId="0" applyFill="1"/>
    <xf numFmtId="0" fontId="24" fillId="34" borderId="0" xfId="43" applyFont="1" applyFill="1" applyBorder="1" applyAlignment="1" applyProtection="1">
      <alignment vertical="center"/>
      <protection hidden="1"/>
    </xf>
    <xf numFmtId="0" fontId="24" fillId="34" borderId="22" xfId="43" applyFont="1" applyFill="1" applyBorder="1" applyAlignment="1" applyProtection="1">
      <alignment vertical="center"/>
      <protection hidden="1"/>
    </xf>
    <xf numFmtId="0" fontId="50" fillId="34" borderId="0" xfId="0" applyFont="1" applyFill="1"/>
    <xf numFmtId="0" fontId="50" fillId="34" borderId="0" xfId="0" applyFont="1" applyFill="1" applyAlignment="1">
      <alignment horizontal="left"/>
    </xf>
    <xf numFmtId="0" fontId="25" fillId="35" borderId="0" xfId="0" applyFont="1" applyFill="1" applyBorder="1" applyAlignment="1"/>
    <xf numFmtId="0" fontId="0" fillId="34" borderId="0" xfId="0" applyFont="1" applyFill="1"/>
    <xf numFmtId="0" fontId="0" fillId="0" borderId="0" xfId="0" applyFont="1"/>
    <xf numFmtId="0" fontId="0" fillId="65" borderId="0" xfId="0" applyFont="1" applyFill="1"/>
    <xf numFmtId="0" fontId="14" fillId="65" borderId="0" xfId="0" applyFont="1" applyFill="1" applyAlignment="1"/>
    <xf numFmtId="0" fontId="79" fillId="34" borderId="0" xfId="1899" applyFont="1" applyFill="1" applyBorder="1" applyAlignment="1" applyProtection="1">
      <alignment vertical="center"/>
      <protection hidden="1"/>
    </xf>
    <xf numFmtId="0" fontId="0" fillId="33" borderId="35" xfId="0"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ont="1"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ont="1" applyFill="1" applyBorder="1" applyAlignment="1" applyProtection="1">
      <alignment horizontal="left" vertical="center" indent="1"/>
      <protection hidden="1"/>
    </xf>
    <xf numFmtId="0" fontId="0" fillId="36" borderId="38" xfId="0" applyFont="1" applyFill="1" applyBorder="1" applyAlignment="1" applyProtection="1">
      <alignment horizontal="left" vertical="center" indent="1"/>
      <protection hidden="1"/>
    </xf>
    <xf numFmtId="166" fontId="1" fillId="35" borderId="39" xfId="1" applyNumberFormat="1" applyFont="1" applyFill="1" applyBorder="1" applyAlignment="1" applyProtection="1">
      <alignment horizontal="left" vertical="center" indent="1"/>
      <protection hidden="1"/>
    </xf>
    <xf numFmtId="0" fontId="0" fillId="35" borderId="40" xfId="0" applyFont="1" applyFill="1" applyBorder="1" applyAlignment="1" applyProtection="1">
      <alignment horizontal="left" vertical="center" indent="1"/>
      <protection hidden="1"/>
    </xf>
    <xf numFmtId="0" fontId="0" fillId="36" borderId="19" xfId="0" applyFont="1"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ont="1" applyFill="1" applyBorder="1" applyAlignment="1" applyProtection="1">
      <alignment horizontal="left" vertical="center" indent="1"/>
      <protection hidden="1"/>
    </xf>
    <xf numFmtId="171" fontId="1" fillId="33" borderId="20" xfId="1" applyNumberFormat="1" applyFont="1" applyFill="1" applyBorder="1" applyAlignment="1" applyProtection="1">
      <alignment horizontal="center" vertical="center"/>
      <protection locked="0"/>
    </xf>
    <xf numFmtId="171" fontId="0" fillId="33" borderId="20" xfId="0" applyNumberFormat="1" applyFont="1" applyFill="1" applyBorder="1" applyAlignment="1" applyProtection="1">
      <alignment horizontal="center" vertical="center"/>
      <protection locked="0"/>
    </xf>
    <xf numFmtId="39" fontId="1" fillId="35" borderId="13" xfId="1" applyNumberFormat="1" applyFont="1" applyFill="1" applyBorder="1" applyAlignment="1" applyProtection="1">
      <alignment horizontal="left" vertical="center" indent="1"/>
      <protection hidden="1"/>
    </xf>
    <xf numFmtId="170" fontId="1" fillId="35" borderId="39"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170" fontId="1" fillId="35" borderId="39" xfId="1" applyNumberFormat="1" applyFont="1" applyFill="1" applyBorder="1" applyAlignment="1" applyProtection="1">
      <alignment horizontal="center" vertical="center"/>
      <protection hidden="1"/>
    </xf>
    <xf numFmtId="171" fontId="1" fillId="35" borderId="20" xfId="1998" applyNumberFormat="1" applyFont="1" applyFill="1" applyBorder="1" applyAlignment="1" applyProtection="1">
      <alignment horizontal="center" vertical="center"/>
      <protection hidden="1"/>
    </xf>
    <xf numFmtId="0" fontId="0" fillId="36" borderId="15" xfId="0" applyFont="1" applyFill="1" applyBorder="1" applyAlignment="1" applyProtection="1">
      <alignment horizontal="left" vertical="center" indent="1"/>
      <protection hidden="1"/>
    </xf>
    <xf numFmtId="0" fontId="0" fillId="33" borderId="10" xfId="0" applyFont="1"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1" fontId="0" fillId="33" borderId="35" xfId="1999" applyNumberFormat="1" applyFont="1" applyFill="1" applyBorder="1" applyAlignment="1" applyProtection="1">
      <alignment horizontal="center" vertical="center"/>
      <protection locked="0"/>
    </xf>
    <xf numFmtId="171" fontId="0" fillId="33" borderId="2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5" borderId="10" xfId="0" applyFont="1" applyFill="1" applyBorder="1" applyAlignment="1">
      <alignment horizontal="left" vertical="center" indent="1"/>
    </xf>
    <xf numFmtId="0" fontId="0" fillId="35" borderId="17" xfId="0" applyFont="1" applyFill="1" applyBorder="1" applyAlignment="1" applyProtection="1">
      <alignment horizontal="left" vertical="center" indent="1"/>
      <protection hidden="1"/>
    </xf>
    <xf numFmtId="171" fontId="1" fillId="35" borderId="20" xfId="1998" applyNumberFormat="1" applyFont="1" applyFill="1" applyBorder="1" applyAlignment="1" applyProtection="1">
      <alignment horizontal="left" vertical="center" indent="1"/>
      <protection hidden="1"/>
    </xf>
    <xf numFmtId="4" fontId="1" fillId="35" borderId="13" xfId="1" applyNumberFormat="1" applyFont="1" applyFill="1" applyBorder="1" applyAlignment="1" applyProtection="1">
      <alignment horizontal="center" vertical="center"/>
      <protection hidden="1"/>
    </xf>
    <xf numFmtId="4" fontId="1" fillId="35" borderId="10" xfId="1" applyNumberFormat="1" applyFont="1" applyFill="1" applyBorder="1" applyAlignment="1" applyProtection="1">
      <alignment horizontal="center" vertical="center"/>
      <protection hidden="1"/>
    </xf>
    <xf numFmtId="1" fontId="0" fillId="33" borderId="1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0" fillId="34" borderId="0" xfId="0" applyFont="1" applyFill="1" applyBorder="1" applyAlignment="1">
      <alignment horizontal="left" vertical="center" wrapText="1" indent="1"/>
    </xf>
    <xf numFmtId="0" fontId="21" fillId="34" borderId="0" xfId="43" applyFont="1" applyFill="1" applyAlignment="1" applyProtection="1">
      <alignment horizontal="left" vertical="center" wrapText="1" indent="2"/>
      <protection hidden="1"/>
    </xf>
    <xf numFmtId="0" fontId="0" fillId="35" borderId="17" xfId="0" applyFont="1" applyFill="1" applyBorder="1" applyAlignment="1" applyProtection="1">
      <alignment horizontal="left" vertical="center" indent="1"/>
      <protection hidden="1"/>
    </xf>
    <xf numFmtId="0" fontId="0" fillId="35" borderId="10" xfId="0" applyNumberFormat="1" applyFill="1" applyBorder="1" applyAlignment="1">
      <alignment horizontal="left" vertical="center" indent="1"/>
    </xf>
    <xf numFmtId="0" fontId="0" fillId="35" borderId="10" xfId="0" applyNumberFormat="1" applyFill="1" applyBorder="1" applyAlignment="1">
      <alignment horizontal="right" vertical="center" indent="1"/>
    </xf>
    <xf numFmtId="0" fontId="26" fillId="34" borderId="0" xfId="0" applyFont="1" applyFill="1" applyBorder="1" applyAlignment="1" applyProtection="1">
      <alignment vertical="top" wrapText="1"/>
    </xf>
    <xf numFmtId="171" fontId="0" fillId="59" borderId="18" xfId="0" applyNumberFormat="1" applyFill="1" applyBorder="1" applyAlignment="1" applyProtection="1">
      <alignment horizontal="center" vertical="center"/>
    </xf>
    <xf numFmtId="171" fontId="0" fillId="34" borderId="18" xfId="0" applyNumberFormat="1" applyFill="1" applyBorder="1" applyAlignment="1" applyProtection="1">
      <alignment horizontal="center" vertical="center"/>
    </xf>
    <xf numFmtId="3" fontId="0" fillId="33" borderId="35" xfId="0" applyNumberFormat="1" applyFont="1" applyFill="1" applyBorder="1" applyAlignment="1" applyProtection="1">
      <alignment horizontal="center" vertical="center"/>
      <protection locked="0"/>
    </xf>
    <xf numFmtId="3" fontId="0" fillId="33" borderId="10" xfId="0" applyNumberFormat="1" applyFont="1" applyFill="1" applyBorder="1" applyAlignment="1" applyProtection="1">
      <alignment horizontal="center" vertical="center"/>
      <protection locked="0"/>
    </xf>
    <xf numFmtId="3" fontId="0" fillId="33" borderId="10" xfId="1999" applyNumberFormat="1" applyFont="1" applyFill="1" applyBorder="1" applyAlignment="1" applyProtection="1">
      <alignment horizontal="center" vertical="center"/>
      <protection locked="0"/>
    </xf>
    <xf numFmtId="188" fontId="0" fillId="33" borderId="35" xfId="0" applyNumberFormat="1" applyFont="1" applyFill="1" applyBorder="1" applyAlignment="1" applyProtection="1">
      <alignment horizontal="center" vertical="center"/>
      <protection locked="0"/>
    </xf>
    <xf numFmtId="0" fontId="52" fillId="36" borderId="54" xfId="0" applyFont="1" applyFill="1" applyBorder="1" applyAlignment="1" applyProtection="1">
      <alignment horizontal="right" vertical="center"/>
    </xf>
    <xf numFmtId="171" fontId="52" fillId="36" borderId="55" xfId="0" applyNumberFormat="1" applyFont="1" applyFill="1" applyBorder="1" applyAlignment="1" applyProtection="1">
      <alignment horizontal="center" vertical="center"/>
    </xf>
    <xf numFmtId="168" fontId="52" fillId="36" borderId="56" xfId="0" applyNumberFormat="1" applyFont="1" applyFill="1" applyBorder="1" applyAlignment="1" applyProtection="1">
      <alignment horizontal="center" vertical="center"/>
    </xf>
    <xf numFmtId="4" fontId="52" fillId="36" borderId="56" xfId="0" applyNumberFormat="1" applyFont="1" applyFill="1" applyBorder="1" applyAlignment="1" applyProtection="1">
      <alignment horizontal="center" vertical="center"/>
    </xf>
    <xf numFmtId="171" fontId="52" fillId="36" borderId="57" xfId="0" applyNumberFormat="1" applyFont="1" applyFill="1" applyBorder="1" applyAlignment="1" applyProtection="1">
      <alignment horizontal="center" vertical="center"/>
    </xf>
    <xf numFmtId="0" fontId="0" fillId="34" borderId="48" xfId="0" applyFill="1" applyBorder="1" applyAlignment="1" applyProtection="1">
      <alignment horizontal="left" vertical="center"/>
    </xf>
    <xf numFmtId="171" fontId="0" fillId="34" borderId="43" xfId="0" applyNumberFormat="1" applyFill="1" applyBorder="1" applyAlignment="1" applyProtection="1">
      <alignment horizontal="center" vertical="center"/>
    </xf>
    <xf numFmtId="168" fontId="0" fillId="34" borderId="20" xfId="0" applyNumberFormat="1" applyFill="1" applyBorder="1" applyAlignment="1" applyProtection="1">
      <alignment horizontal="center" vertical="center"/>
    </xf>
    <xf numFmtId="4" fontId="0" fillId="34" borderId="20" xfId="0" applyNumberFormat="1" applyFill="1" applyBorder="1" applyAlignment="1" applyProtection="1">
      <alignment horizontal="center" vertical="center"/>
    </xf>
    <xf numFmtId="171" fontId="0" fillId="34" borderId="21" xfId="0" applyNumberFormat="1" applyFill="1" applyBorder="1" applyAlignment="1" applyProtection="1">
      <alignment horizontal="center" vertical="center"/>
    </xf>
    <xf numFmtId="0" fontId="0" fillId="59" borderId="46" xfId="0" applyFill="1" applyBorder="1" applyAlignment="1" applyProtection="1">
      <alignment horizontal="left" vertical="center"/>
    </xf>
    <xf numFmtId="171" fontId="0" fillId="59" borderId="33" xfId="0" applyNumberFormat="1" applyFill="1" applyBorder="1" applyAlignment="1" applyProtection="1">
      <alignment horizontal="center" vertical="center"/>
    </xf>
    <xf numFmtId="168" fontId="0" fillId="59" borderId="11" xfId="0" applyNumberFormat="1" applyFill="1" applyBorder="1" applyAlignment="1" applyProtection="1">
      <alignment horizontal="center" vertical="center"/>
    </xf>
    <xf numFmtId="4" fontId="0" fillId="59" borderId="11" xfId="0" applyNumberFormat="1" applyFill="1" applyBorder="1" applyAlignment="1" applyProtection="1">
      <alignment horizontal="center" vertical="center"/>
    </xf>
    <xf numFmtId="171" fontId="0" fillId="59" borderId="58" xfId="0" applyNumberFormat="1" applyFill="1" applyBorder="1" applyAlignment="1" applyProtection="1">
      <alignment horizontal="center" vertical="center"/>
    </xf>
    <xf numFmtId="0" fontId="16" fillId="36" borderId="20" xfId="0" applyFont="1" applyFill="1" applyBorder="1" applyAlignment="1" applyProtection="1">
      <alignment horizontal="center" vertical="center"/>
    </xf>
    <xf numFmtId="0" fontId="0" fillId="66" borderId="0" xfId="0" applyFill="1"/>
    <xf numFmtId="0" fontId="81" fillId="34" borderId="0" xfId="0" applyFont="1" applyFill="1"/>
    <xf numFmtId="0" fontId="82" fillId="34" borderId="0" xfId="1899" applyFont="1" applyFill="1" applyBorder="1" applyAlignment="1" applyProtection="1">
      <alignment vertical="center"/>
      <protection hidden="1"/>
    </xf>
    <xf numFmtId="0" fontId="83" fillId="34" borderId="0" xfId="1899" applyFont="1" applyFill="1" applyBorder="1" applyAlignment="1" applyProtection="1">
      <alignment vertical="center"/>
      <protection hidden="1"/>
    </xf>
    <xf numFmtId="0" fontId="81" fillId="34" borderId="0" xfId="0" applyFont="1" applyFill="1" applyBorder="1" applyAlignment="1"/>
    <xf numFmtId="0" fontId="0" fillId="35" borderId="10" xfId="0" applyFont="1" applyFill="1" applyBorder="1" applyAlignment="1" applyProtection="1">
      <alignment horizontal="left" vertical="center" indent="1"/>
      <protection hidden="1"/>
    </xf>
    <xf numFmtId="0" fontId="0" fillId="35" borderId="17" xfId="0" applyFont="1" applyFill="1" applyBorder="1" applyAlignment="1" applyProtection="1">
      <alignment horizontal="left" vertical="center" indent="1"/>
      <protection hidden="1"/>
    </xf>
    <xf numFmtId="0" fontId="17" fillId="34" borderId="0" xfId="0" applyFont="1" applyFill="1"/>
    <xf numFmtId="0" fontId="18" fillId="34" borderId="0" xfId="0" applyFont="1" applyFill="1"/>
    <xf numFmtId="0" fontId="0" fillId="34" borderId="0" xfId="0" applyFill="1" applyAlignment="1">
      <alignment horizontal="center"/>
    </xf>
    <xf numFmtId="0" fontId="0" fillId="35" borderId="0" xfId="0" applyFill="1" applyAlignment="1">
      <alignment horizontal="left" vertical="center" indent="1"/>
    </xf>
    <xf numFmtId="0" fontId="49" fillId="34" borderId="0" xfId="0" applyFont="1" applyFill="1"/>
    <xf numFmtId="0" fontId="13" fillId="34" borderId="0" xfId="0" applyFont="1" applyFill="1" applyAlignment="1">
      <alignment horizontal="center" wrapText="1"/>
    </xf>
    <xf numFmtId="0" fontId="0" fillId="34" borderId="0" xfId="0" applyFill="1" applyAlignment="1">
      <alignment horizontal="left" vertical="center" indent="1"/>
    </xf>
    <xf numFmtId="1" fontId="0" fillId="34" borderId="0" xfId="0" applyNumberFormat="1" applyFill="1"/>
    <xf numFmtId="2" fontId="0" fillId="34" borderId="0" xfId="0" applyNumberFormat="1" applyFill="1" applyAlignment="1">
      <alignment horizontal="right" vertical="center" indent="1"/>
    </xf>
    <xf numFmtId="168" fontId="0" fillId="34" borderId="0" xfId="0" applyNumberFormat="1" applyFill="1" applyAlignment="1">
      <alignment horizontal="right" vertical="center" indent="1"/>
    </xf>
    <xf numFmtId="2" fontId="0" fillId="34" borderId="0" xfId="0" applyNumberFormat="1" applyFill="1" applyAlignment="1">
      <alignment horizontal="left" vertical="center" indent="1"/>
    </xf>
    <xf numFmtId="0" fontId="86" fillId="67" borderId="59" xfId="0" applyFont="1" applyFill="1" applyBorder="1" applyAlignment="1">
      <alignment horizontal="left" vertical="center"/>
    </xf>
    <xf numFmtId="0" fontId="87" fillId="67" borderId="60" xfId="0" applyFont="1" applyFill="1" applyBorder="1" applyAlignment="1">
      <alignment horizontal="center" vertical="center" textRotation="90" wrapText="1"/>
    </xf>
    <xf numFmtId="0" fontId="87" fillId="67" borderId="60" xfId="0" applyFont="1" applyFill="1" applyBorder="1" applyAlignment="1">
      <alignment horizontal="center" vertical="center" textRotation="90"/>
    </xf>
    <xf numFmtId="0" fontId="85" fillId="0" borderId="54" xfId="0" applyFont="1" applyBorder="1" applyAlignment="1">
      <alignment horizontal="left" vertical="center"/>
    </xf>
    <xf numFmtId="3" fontId="85" fillId="0" borderId="61" xfId="0" applyNumberFormat="1" applyFont="1" applyBorder="1" applyAlignment="1">
      <alignment horizontal="center" vertical="center" wrapText="1"/>
    </xf>
    <xf numFmtId="3" fontId="85" fillId="0" borderId="61" xfId="0" applyNumberFormat="1" applyFont="1" applyBorder="1" applyAlignment="1">
      <alignment horizontal="center" vertical="center"/>
    </xf>
    <xf numFmtId="0" fontId="86" fillId="67" borderId="59" xfId="0" applyFont="1" applyFill="1" applyBorder="1" applyAlignment="1">
      <alignment horizontal="center" vertical="center" wrapText="1"/>
    </xf>
    <xf numFmtId="0" fontId="87" fillId="67" borderId="60" xfId="0" applyFont="1" applyFill="1" applyBorder="1" applyAlignment="1">
      <alignment horizontal="center" vertical="center" wrapText="1"/>
    </xf>
    <xf numFmtId="0" fontId="87" fillId="67" borderId="60" xfId="0" applyFont="1" applyFill="1" applyBorder="1" applyAlignment="1">
      <alignment horizontal="center" vertical="center"/>
    </xf>
    <xf numFmtId="0" fontId="16" fillId="36" borderId="19" xfId="0" applyFont="1" applyFill="1" applyBorder="1" applyAlignment="1" applyProtection="1">
      <alignment horizontal="right" vertical="center" wrapText="1" indent="1"/>
    </xf>
    <xf numFmtId="0" fontId="87" fillId="36" borderId="60" xfId="0" applyFont="1" applyFill="1" applyBorder="1" applyAlignment="1">
      <alignment horizontal="center" vertical="center" textRotation="90" wrapText="1"/>
    </xf>
    <xf numFmtId="0" fontId="16" fillId="34" borderId="0" xfId="0" applyFont="1" applyFill="1" applyBorder="1" applyAlignment="1">
      <alignment horizontal="center" vertical="center" wrapText="1"/>
    </xf>
    <xf numFmtId="43" fontId="16" fillId="34" borderId="0" xfId="1" applyFont="1" applyFill="1" applyBorder="1" applyAlignment="1">
      <alignment horizontal="center" vertical="center" wrapText="1"/>
    </xf>
    <xf numFmtId="1" fontId="0" fillId="34" borderId="0" xfId="0" applyNumberFormat="1" applyFill="1" applyBorder="1" applyAlignment="1">
      <alignment horizontal="right" vertical="center" indent="1"/>
    </xf>
    <xf numFmtId="0" fontId="16" fillId="36" borderId="18" xfId="0" applyFont="1" applyFill="1" applyBorder="1" applyAlignment="1">
      <alignment horizontal="center" vertical="center" wrapText="1"/>
    </xf>
    <xf numFmtId="0" fontId="85" fillId="0" borderId="61" xfId="0" applyFont="1" applyBorder="1" applyAlignment="1">
      <alignment horizontal="left" vertical="center"/>
    </xf>
    <xf numFmtId="1" fontId="0" fillId="34" borderId="0" xfId="0" applyNumberFormat="1" applyFill="1" applyBorder="1" applyAlignment="1">
      <alignment horizontal="left" vertical="center" indent="1"/>
    </xf>
    <xf numFmtId="3" fontId="85" fillId="0" borderId="62" xfId="0" applyNumberFormat="1" applyFont="1" applyBorder="1" applyAlignment="1">
      <alignment vertical="center" wrapText="1"/>
    </xf>
    <xf numFmtId="0" fontId="86" fillId="34" borderId="0" xfId="0" applyFont="1" applyFill="1" applyBorder="1" applyAlignment="1">
      <alignment horizontal="center" vertical="center" textRotation="90" wrapText="1"/>
    </xf>
    <xf numFmtId="0" fontId="87" fillId="34" borderId="0" xfId="0" applyFont="1" applyFill="1" applyBorder="1" applyAlignment="1">
      <alignment horizontal="center" vertical="center" textRotation="90" wrapText="1"/>
    </xf>
    <xf numFmtId="0" fontId="89" fillId="34" borderId="0" xfId="0" applyFont="1" applyFill="1" applyBorder="1" applyAlignment="1">
      <alignment horizontal="left" vertical="center"/>
    </xf>
    <xf numFmtId="165"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left" vertical="top" indent="1"/>
    </xf>
    <xf numFmtId="169" fontId="0" fillId="35" borderId="10" xfId="1" applyNumberFormat="1" applyFont="1" applyFill="1" applyBorder="1" applyAlignment="1">
      <alignment horizontal="left" vertical="top" indent="1"/>
    </xf>
    <xf numFmtId="43" fontId="0" fillId="35" borderId="10" xfId="1" applyNumberFormat="1" applyFont="1" applyFill="1" applyBorder="1" applyAlignment="1">
      <alignment horizontal="left" vertical="top" indent="1"/>
    </xf>
    <xf numFmtId="164" fontId="0" fillId="35" borderId="11" xfId="1" applyNumberFormat="1" applyFont="1" applyFill="1" applyBorder="1" applyAlignment="1">
      <alignment horizontal="left" vertical="top" indent="1"/>
    </xf>
    <xf numFmtId="43" fontId="0" fillId="35" borderId="11" xfId="1" applyNumberFormat="1" applyFont="1" applyFill="1" applyBorder="1" applyAlignment="1">
      <alignment horizontal="left" vertical="top" indent="1"/>
    </xf>
    <xf numFmtId="169" fontId="0" fillId="35" borderId="11" xfId="1" applyNumberFormat="1" applyFont="1" applyFill="1" applyBorder="1" applyAlignment="1">
      <alignment horizontal="left" vertical="top" indent="1"/>
    </xf>
    <xf numFmtId="0" fontId="0" fillId="34" borderId="0" xfId="0" applyFont="1" applyFill="1" applyAlignment="1">
      <alignment horizontal="center" vertical="top"/>
    </xf>
    <xf numFmtId="0" fontId="86" fillId="67" borderId="60" xfId="0" applyFont="1" applyFill="1" applyBorder="1" applyAlignment="1">
      <alignment wrapText="1"/>
    </xf>
    <xf numFmtId="0" fontId="85" fillId="0" borderId="54" xfId="0" applyFont="1" applyBorder="1" applyAlignment="1">
      <alignment horizontal="justify" vertical="center"/>
    </xf>
    <xf numFmtId="3" fontId="0" fillId="0" borderId="0" xfId="0" applyNumberFormat="1"/>
    <xf numFmtId="43" fontId="16" fillId="36" borderId="16" xfId="1" applyFont="1" applyFill="1" applyBorder="1" applyAlignment="1">
      <alignment horizontal="center" vertical="center" wrapText="1"/>
    </xf>
    <xf numFmtId="1" fontId="0" fillId="35" borderId="16" xfId="0" applyNumberFormat="1" applyFill="1" applyBorder="1" applyAlignment="1">
      <alignment horizontal="right" vertical="center" indent="1"/>
    </xf>
    <xf numFmtId="0" fontId="0" fillId="34" borderId="0" xfId="0" applyFill="1" applyBorder="1" applyAlignment="1">
      <alignment horizontal="right" vertical="center" indent="1"/>
    </xf>
    <xf numFmtId="0" fontId="91" fillId="0" borderId="0" xfId="0" applyFont="1" applyAlignment="1">
      <alignment horizontal="center" vertical="center" wrapText="1"/>
    </xf>
    <xf numFmtId="0" fontId="91" fillId="68" borderId="0" xfId="0" applyFont="1" applyFill="1" applyAlignment="1">
      <alignment horizontal="center" vertical="center" wrapText="1"/>
    </xf>
    <xf numFmtId="0" fontId="91" fillId="69" borderId="0" xfId="0" applyFont="1" applyFill="1" applyAlignment="1">
      <alignment horizontal="center" vertical="center" wrapText="1"/>
    </xf>
    <xf numFmtId="2" fontId="91" fillId="69" borderId="0" xfId="0" applyNumberFormat="1" applyFont="1" applyFill="1" applyAlignment="1">
      <alignment horizontal="center" vertical="center" wrapText="1"/>
    </xf>
    <xf numFmtId="189" fontId="91" fillId="69" borderId="0" xfId="0" applyNumberFormat="1" applyFont="1" applyFill="1" applyAlignment="1">
      <alignment horizontal="center" vertical="center" wrapText="1"/>
    </xf>
    <xf numFmtId="2" fontId="91" fillId="0" borderId="0" xfId="0" applyNumberFormat="1" applyFont="1" applyAlignment="1">
      <alignment horizontal="center" vertical="center" wrapText="1"/>
    </xf>
    <xf numFmtId="14" fontId="0" fillId="0" borderId="0" xfId="0" applyNumberFormat="1"/>
    <xf numFmtId="0" fontId="91" fillId="69" borderId="0" xfId="0" applyNumberFormat="1" applyFont="1" applyFill="1" applyAlignment="1">
      <alignment horizontal="center" vertical="center" wrapText="1"/>
    </xf>
    <xf numFmtId="0" fontId="0" fillId="0" borderId="0" xfId="0" applyNumberFormat="1"/>
    <xf numFmtId="0" fontId="0" fillId="0" borderId="0" xfId="0" applyAlignment="1">
      <alignment wrapText="1"/>
    </xf>
    <xf numFmtId="1" fontId="0" fillId="0" borderId="0" xfId="0" applyNumberFormat="1"/>
    <xf numFmtId="0" fontId="0" fillId="34" borderId="16" xfId="0" applyFont="1" applyFill="1" applyBorder="1" applyAlignment="1">
      <alignment horizontal="left" vertical="center" wrapText="1" indent="1"/>
    </xf>
    <xf numFmtId="0" fontId="0" fillId="34" borderId="18" xfId="0" applyFont="1" applyFill="1" applyBorder="1" applyAlignment="1">
      <alignment horizontal="left" vertical="center" wrapText="1" indent="1"/>
    </xf>
    <xf numFmtId="0" fontId="0" fillId="34" borderId="10" xfId="0" applyFont="1" applyFill="1" applyBorder="1" applyAlignment="1">
      <alignment horizontal="left" vertical="center" wrapText="1" indent="1"/>
    </xf>
    <xf numFmtId="0" fontId="21" fillId="34" borderId="0" xfId="43" applyFont="1" applyFill="1" applyAlignment="1" applyProtection="1">
      <alignment horizontal="left" vertical="top" wrapText="1"/>
      <protection hidden="1"/>
    </xf>
    <xf numFmtId="0" fontId="21"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0" fillId="34" borderId="0" xfId="0" applyFont="1" applyFill="1" applyBorder="1" applyAlignment="1">
      <alignment horizontal="left" vertical="center" wrapText="1" indent="1"/>
    </xf>
    <xf numFmtId="0" fontId="16" fillId="36" borderId="45" xfId="0" applyFont="1" applyFill="1" applyBorder="1" applyAlignment="1" applyProtection="1">
      <alignment horizontal="center" vertical="center"/>
    </xf>
    <xf numFmtId="0" fontId="16" fillId="36" borderId="54" xfId="0" applyFont="1" applyFill="1" applyBorder="1" applyAlignment="1" applyProtection="1">
      <alignment horizontal="center" vertical="center"/>
    </xf>
    <xf numFmtId="0" fontId="16" fillId="36" borderId="44" xfId="0" applyFont="1" applyFill="1" applyBorder="1" applyAlignment="1" applyProtection="1">
      <alignment horizontal="center" vertical="center"/>
    </xf>
    <xf numFmtId="0" fontId="16" fillId="36" borderId="55"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4" xfId="0" applyFont="1" applyFill="1" applyBorder="1" applyAlignment="1" applyProtection="1">
      <alignment horizontal="center" vertical="center"/>
    </xf>
    <xf numFmtId="0" fontId="16" fillId="36" borderId="21" xfId="0" applyFont="1" applyFill="1" applyBorder="1" applyAlignment="1" applyProtection="1">
      <alignment horizontal="center" vertical="center"/>
    </xf>
    <xf numFmtId="0" fontId="26" fillId="34" borderId="0" xfId="0" applyFont="1" applyFill="1" applyBorder="1" applyAlignment="1" applyProtection="1">
      <alignment horizontal="left" vertical="top" wrapText="1"/>
    </xf>
    <xf numFmtId="0" fontId="50" fillId="34" borderId="0" xfId="0" applyFont="1" applyFill="1" applyBorder="1" applyAlignment="1" applyProtection="1">
      <alignment horizontal="left"/>
    </xf>
    <xf numFmtId="0" fontId="26" fillId="34" borderId="0" xfId="0" applyFont="1" applyFill="1" applyBorder="1" applyAlignment="1" applyProtection="1">
      <alignment horizontal="left" vertical="center" wrapText="1"/>
    </xf>
    <xf numFmtId="0" fontId="81" fillId="34" borderId="0" xfId="0" applyFont="1" applyFill="1" applyBorder="1" applyAlignment="1" applyProtection="1">
      <alignment horizontal="left"/>
    </xf>
    <xf numFmtId="0" fontId="84" fillId="34" borderId="0" xfId="0" applyFont="1" applyFill="1" applyBorder="1" applyAlignment="1" applyProtection="1">
      <alignment horizontal="left"/>
    </xf>
    <xf numFmtId="14" fontId="0" fillId="35" borderId="13" xfId="0" applyNumberFormat="1" applyFont="1" applyFill="1" applyBorder="1" applyAlignment="1" applyProtection="1">
      <alignment horizontal="left" vertical="center" indent="1"/>
      <protection hidden="1"/>
    </xf>
    <xf numFmtId="14" fontId="0" fillId="35" borderId="14" xfId="0" applyNumberFormat="1" applyFont="1" applyFill="1" applyBorder="1" applyAlignment="1" applyProtection="1">
      <alignment horizontal="left" vertical="center" indent="1"/>
      <protection hidden="1"/>
    </xf>
    <xf numFmtId="14" fontId="0" fillId="35" borderId="10" xfId="0" applyNumberFormat="1" applyFont="1" applyFill="1" applyBorder="1" applyAlignment="1" applyProtection="1">
      <alignment horizontal="left" vertical="center" indent="1"/>
      <protection hidden="1"/>
    </xf>
    <xf numFmtId="14" fontId="0" fillId="35" borderId="17" xfId="0" applyNumberFormat="1" applyFont="1" applyFill="1" applyBorder="1" applyAlignment="1" applyProtection="1">
      <alignment horizontal="left" vertical="center" indent="1"/>
      <protection hidden="1"/>
    </xf>
    <xf numFmtId="0" fontId="0" fillId="35" borderId="10" xfId="0" applyFont="1" applyFill="1" applyBorder="1" applyAlignment="1" applyProtection="1">
      <alignment horizontal="left" vertical="center" indent="1"/>
      <protection hidden="1"/>
    </xf>
    <xf numFmtId="0" fontId="0" fillId="35" borderId="17" xfId="0" applyFont="1" applyFill="1" applyBorder="1" applyAlignment="1" applyProtection="1">
      <alignment horizontal="left" vertical="center" indent="1"/>
      <protection hidden="1"/>
    </xf>
    <xf numFmtId="0" fontId="0" fillId="35" borderId="16" xfId="0" applyFont="1" applyFill="1" applyBorder="1" applyAlignment="1" applyProtection="1">
      <alignment horizontal="center" vertical="center"/>
      <protection hidden="1"/>
    </xf>
    <xf numFmtId="0" fontId="0" fillId="35" borderId="63" xfId="0" applyFont="1" applyFill="1" applyBorder="1" applyAlignment="1" applyProtection="1">
      <alignment horizontal="center" vertical="center"/>
      <protection hidden="1"/>
    </xf>
    <xf numFmtId="0" fontId="26" fillId="34" borderId="0" xfId="0" applyFont="1" applyFill="1" applyAlignment="1">
      <alignment horizontal="left" vertical="top" wrapText="1"/>
    </xf>
    <xf numFmtId="0" fontId="26" fillId="34" borderId="0" xfId="0" applyFont="1" applyFill="1" applyAlignment="1" applyProtection="1">
      <alignment horizontal="left" vertical="top" wrapText="1"/>
    </xf>
    <xf numFmtId="0" fontId="18" fillId="34" borderId="0" xfId="0" applyFont="1" applyFill="1" applyBorder="1" applyAlignment="1">
      <alignment horizontal="left"/>
    </xf>
    <xf numFmtId="0" fontId="88" fillId="0" borderId="62" xfId="0" applyFont="1" applyBorder="1" applyAlignment="1">
      <alignment horizontal="left" vertical="center"/>
    </xf>
    <xf numFmtId="0" fontId="88" fillId="0" borderId="49" xfId="0" applyFont="1" applyBorder="1" applyAlignment="1">
      <alignment horizontal="left" vertical="center"/>
    </xf>
    <xf numFmtId="0" fontId="88" fillId="0" borderId="60" xfId="0" applyFont="1" applyBorder="1" applyAlignment="1">
      <alignment horizontal="left" vertical="center"/>
    </xf>
    <xf numFmtId="0" fontId="16" fillId="36" borderId="62" xfId="0" applyFont="1" applyFill="1" applyBorder="1" applyAlignment="1">
      <alignment horizontal="center" vertical="center" wrapText="1"/>
    </xf>
    <xf numFmtId="0" fontId="16" fillId="36" borderId="60" xfId="0" applyFont="1" applyFill="1" applyBorder="1" applyAlignment="1">
      <alignment horizontal="center" vertical="center" wrapText="1"/>
    </xf>
    <xf numFmtId="0" fontId="16" fillId="36" borderId="49" xfId="0" applyFont="1" applyFill="1" applyBorder="1" applyAlignment="1">
      <alignment horizontal="center" vertical="center" wrapText="1"/>
    </xf>
    <xf numFmtId="0" fontId="18" fillId="34" borderId="22" xfId="0" applyFont="1" applyFill="1" applyBorder="1" applyAlignment="1">
      <alignment horizontal="left"/>
    </xf>
    <xf numFmtId="0" fontId="24" fillId="34" borderId="0" xfId="43" applyFont="1" applyFill="1" applyBorder="1" applyAlignment="1" applyProtection="1">
      <alignment horizontal="left" vertical="center"/>
      <protection hidden="1"/>
    </xf>
  </cellXfs>
  <cellStyles count="2499">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0"/>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tmp"/><Relationship Id="rId13" Type="http://schemas.openxmlformats.org/officeDocument/2006/relationships/image" Target="../media/image15.tmp"/><Relationship Id="rId18" Type="http://schemas.openxmlformats.org/officeDocument/2006/relationships/image" Target="../media/image20.tmp"/><Relationship Id="rId26" Type="http://schemas.openxmlformats.org/officeDocument/2006/relationships/image" Target="../media/image28.png"/><Relationship Id="rId3" Type="http://schemas.openxmlformats.org/officeDocument/2006/relationships/image" Target="../media/image5.tmp"/><Relationship Id="rId21" Type="http://schemas.openxmlformats.org/officeDocument/2006/relationships/image" Target="../media/image23.png"/><Relationship Id="rId7" Type="http://schemas.openxmlformats.org/officeDocument/2006/relationships/image" Target="../media/image9.tmp"/><Relationship Id="rId12" Type="http://schemas.openxmlformats.org/officeDocument/2006/relationships/image" Target="../media/image14.tmp"/><Relationship Id="rId17" Type="http://schemas.openxmlformats.org/officeDocument/2006/relationships/image" Target="../media/image19.tmp"/><Relationship Id="rId25" Type="http://schemas.openxmlformats.org/officeDocument/2006/relationships/image" Target="../media/image27.png"/><Relationship Id="rId2" Type="http://schemas.openxmlformats.org/officeDocument/2006/relationships/image" Target="../media/image4.tmp"/><Relationship Id="rId16" Type="http://schemas.openxmlformats.org/officeDocument/2006/relationships/image" Target="../media/image18.tmp"/><Relationship Id="rId20" Type="http://schemas.openxmlformats.org/officeDocument/2006/relationships/image" Target="../media/image22.tmp"/><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tmp"/><Relationship Id="rId24" Type="http://schemas.openxmlformats.org/officeDocument/2006/relationships/image" Target="../media/image26.png"/><Relationship Id="rId5" Type="http://schemas.openxmlformats.org/officeDocument/2006/relationships/image" Target="../media/image7.tmp"/><Relationship Id="rId15" Type="http://schemas.openxmlformats.org/officeDocument/2006/relationships/image" Target="../media/image17.tmp"/><Relationship Id="rId23" Type="http://schemas.openxmlformats.org/officeDocument/2006/relationships/image" Target="../media/image25.png"/><Relationship Id="rId10" Type="http://schemas.openxmlformats.org/officeDocument/2006/relationships/image" Target="../media/image12.tmp"/><Relationship Id="rId19" Type="http://schemas.openxmlformats.org/officeDocument/2006/relationships/image" Target="../media/image21.tmp"/><Relationship Id="rId4" Type="http://schemas.openxmlformats.org/officeDocument/2006/relationships/image" Target="../media/image6.tmp"/><Relationship Id="rId9" Type="http://schemas.openxmlformats.org/officeDocument/2006/relationships/image" Target="../media/image11.tmp"/><Relationship Id="rId14" Type="http://schemas.openxmlformats.org/officeDocument/2006/relationships/image" Target="../media/image16.tmp"/><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180974</xdr:colOff>
      <xdr:row>0</xdr:row>
      <xdr:rowOff>38100</xdr:rowOff>
    </xdr:from>
    <xdr:to>
      <xdr:col>0</xdr:col>
      <xdr:colOff>1523999</xdr:colOff>
      <xdr:row>0</xdr:row>
      <xdr:rowOff>781649</xdr:rowOff>
    </xdr:to>
    <xdr:pic>
      <xdr:nvPicPr>
        <xdr:cNvPr id="6" name="Picture 5">
          <a:extLst>
            <a:ext uri="{FF2B5EF4-FFF2-40B4-BE49-F238E27FC236}">
              <a16:creationId xmlns:a16="http://schemas.microsoft.com/office/drawing/2014/main" id="{BA2C5A33-D47D-435A-B74B-A7B00ECE02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4" y="38100"/>
          <a:ext cx="1343025" cy="743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794</xdr:colOff>
      <xdr:row>40</xdr:row>
      <xdr:rowOff>105707</xdr:rowOff>
    </xdr:to>
    <xdr:pic>
      <xdr:nvPicPr>
        <xdr:cNvPr id="3" name="Picture 2" descr="Screen Clipping">
          <a:extLst>
            <a:ext uri="{FF2B5EF4-FFF2-40B4-BE49-F238E27FC236}">
              <a16:creationId xmlns:a16="http://schemas.microsoft.com/office/drawing/2014/main" id="{E1B212C7-3ACF-42A1-BB4E-ECE2849E1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2950" y="1362075"/>
          <a:ext cx="5687219" cy="6677957"/>
        </a:xfrm>
        <a:prstGeom prst="rect">
          <a:avLst/>
        </a:prstGeom>
      </xdr:spPr>
    </xdr:pic>
    <xdr:clientData/>
  </xdr:twoCellAnchor>
  <xdr:twoCellAnchor editAs="oneCell">
    <xdr:from>
      <xdr:col>3</xdr:col>
      <xdr:colOff>0</xdr:colOff>
      <xdr:row>41</xdr:row>
      <xdr:rowOff>0</xdr:rowOff>
    </xdr:from>
    <xdr:to>
      <xdr:col>11</xdr:col>
      <xdr:colOff>324640</xdr:colOff>
      <xdr:row>85</xdr:row>
      <xdr:rowOff>163059</xdr:rowOff>
    </xdr:to>
    <xdr:pic>
      <xdr:nvPicPr>
        <xdr:cNvPr id="5" name="Picture 4" descr="Screen Clipping">
          <a:extLst>
            <a:ext uri="{FF2B5EF4-FFF2-40B4-BE49-F238E27FC236}">
              <a16:creationId xmlns:a16="http://schemas.microsoft.com/office/drawing/2014/main" id="{808AC91A-4736-43C3-9B61-0E5434599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2950" y="8115300"/>
          <a:ext cx="5658640" cy="8125959"/>
        </a:xfrm>
        <a:prstGeom prst="rect">
          <a:avLst/>
        </a:prstGeom>
      </xdr:spPr>
    </xdr:pic>
    <xdr:clientData/>
  </xdr:twoCellAnchor>
  <xdr:twoCellAnchor editAs="oneCell">
    <xdr:from>
      <xdr:col>3</xdr:col>
      <xdr:colOff>0</xdr:colOff>
      <xdr:row>86</xdr:row>
      <xdr:rowOff>0</xdr:rowOff>
    </xdr:from>
    <xdr:to>
      <xdr:col>11</xdr:col>
      <xdr:colOff>305587</xdr:colOff>
      <xdr:row>96</xdr:row>
      <xdr:rowOff>85990</xdr:rowOff>
    </xdr:to>
    <xdr:pic>
      <xdr:nvPicPr>
        <xdr:cNvPr id="7" name="Picture 6" descr="Screen Clipping">
          <a:extLst>
            <a:ext uri="{FF2B5EF4-FFF2-40B4-BE49-F238E27FC236}">
              <a16:creationId xmlns:a16="http://schemas.microsoft.com/office/drawing/2014/main" id="{256BF079-1FDC-4167-BFAA-C3C780AB17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6259175"/>
          <a:ext cx="5639587" cy="1895740"/>
        </a:xfrm>
        <a:prstGeom prst="rect">
          <a:avLst/>
        </a:prstGeom>
      </xdr:spPr>
    </xdr:pic>
    <xdr:clientData/>
  </xdr:twoCellAnchor>
  <xdr:twoCellAnchor editAs="oneCell">
    <xdr:from>
      <xdr:col>13</xdr:col>
      <xdr:colOff>0</xdr:colOff>
      <xdr:row>5</xdr:row>
      <xdr:rowOff>0</xdr:rowOff>
    </xdr:from>
    <xdr:to>
      <xdr:col>21</xdr:col>
      <xdr:colOff>324640</xdr:colOff>
      <xdr:row>49</xdr:row>
      <xdr:rowOff>115461</xdr:rowOff>
    </xdr:to>
    <xdr:pic>
      <xdr:nvPicPr>
        <xdr:cNvPr id="9" name="Picture 8" descr="Screen Clipping">
          <a:extLst>
            <a:ext uri="{FF2B5EF4-FFF2-40B4-BE49-F238E27FC236}">
              <a16:creationId xmlns:a16="http://schemas.microsoft.com/office/drawing/2014/main" id="{9DBD88BE-7976-42C6-9525-7F0473D1A5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58450" y="1362075"/>
          <a:ext cx="5658640" cy="8316486"/>
        </a:xfrm>
        <a:prstGeom prst="rect">
          <a:avLst/>
        </a:prstGeom>
      </xdr:spPr>
    </xdr:pic>
    <xdr:clientData/>
  </xdr:twoCellAnchor>
  <xdr:twoCellAnchor editAs="oneCell">
    <xdr:from>
      <xdr:col>13</xdr:col>
      <xdr:colOff>0</xdr:colOff>
      <xdr:row>50</xdr:row>
      <xdr:rowOff>0</xdr:rowOff>
    </xdr:from>
    <xdr:to>
      <xdr:col>22</xdr:col>
      <xdr:colOff>10321</xdr:colOff>
      <xdr:row>95</xdr:row>
      <xdr:rowOff>86874</xdr:rowOff>
    </xdr:to>
    <xdr:pic>
      <xdr:nvPicPr>
        <xdr:cNvPr id="11" name="Picture 10" descr="Screen Clipping">
          <a:extLst>
            <a:ext uri="{FF2B5EF4-FFF2-40B4-BE49-F238E27FC236}">
              <a16:creationId xmlns:a16="http://schemas.microsoft.com/office/drawing/2014/main" id="{949C0DA8-246E-4CC2-9A4A-98C2260739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58450" y="9744075"/>
          <a:ext cx="5706271" cy="8230749"/>
        </a:xfrm>
        <a:prstGeom prst="rect">
          <a:avLst/>
        </a:prstGeom>
      </xdr:spPr>
    </xdr:pic>
    <xdr:clientData/>
  </xdr:twoCellAnchor>
  <xdr:twoCellAnchor editAs="oneCell">
    <xdr:from>
      <xdr:col>13</xdr:col>
      <xdr:colOff>0</xdr:colOff>
      <xdr:row>96</xdr:row>
      <xdr:rowOff>0</xdr:rowOff>
    </xdr:from>
    <xdr:to>
      <xdr:col>21</xdr:col>
      <xdr:colOff>286534</xdr:colOff>
      <xdr:row>106</xdr:row>
      <xdr:rowOff>162200</xdr:rowOff>
    </xdr:to>
    <xdr:pic>
      <xdr:nvPicPr>
        <xdr:cNvPr id="13" name="Picture 12" descr="Screen Clipping">
          <a:extLst>
            <a:ext uri="{FF2B5EF4-FFF2-40B4-BE49-F238E27FC236}">
              <a16:creationId xmlns:a16="http://schemas.microsoft.com/office/drawing/2014/main" id="{9D383C87-FBE9-42F8-A8DB-A3518BF80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58450" y="18068925"/>
          <a:ext cx="5620534" cy="1971950"/>
        </a:xfrm>
        <a:prstGeom prst="rect">
          <a:avLst/>
        </a:prstGeom>
      </xdr:spPr>
    </xdr:pic>
    <xdr:clientData/>
  </xdr:twoCellAnchor>
  <xdr:twoCellAnchor editAs="oneCell">
    <xdr:from>
      <xdr:col>23</xdr:col>
      <xdr:colOff>0</xdr:colOff>
      <xdr:row>5</xdr:row>
      <xdr:rowOff>0</xdr:rowOff>
    </xdr:from>
    <xdr:to>
      <xdr:col>32</xdr:col>
      <xdr:colOff>38895</xdr:colOff>
      <xdr:row>49</xdr:row>
      <xdr:rowOff>77355</xdr:rowOff>
    </xdr:to>
    <xdr:pic>
      <xdr:nvPicPr>
        <xdr:cNvPr id="15" name="Picture 14" descr="Screen Clipping">
          <a:extLst>
            <a:ext uri="{FF2B5EF4-FFF2-40B4-BE49-F238E27FC236}">
              <a16:creationId xmlns:a16="http://schemas.microsoft.com/office/drawing/2014/main" id="{21F5530F-7FF2-42C9-8E0F-0A532F04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73475" y="1362075"/>
          <a:ext cx="5696745" cy="8278380"/>
        </a:xfrm>
        <a:prstGeom prst="rect">
          <a:avLst/>
        </a:prstGeom>
      </xdr:spPr>
    </xdr:pic>
    <xdr:clientData/>
  </xdr:twoCellAnchor>
  <xdr:twoCellAnchor editAs="oneCell">
    <xdr:from>
      <xdr:col>23</xdr:col>
      <xdr:colOff>0</xdr:colOff>
      <xdr:row>50</xdr:row>
      <xdr:rowOff>0</xdr:rowOff>
    </xdr:from>
    <xdr:to>
      <xdr:col>32</xdr:col>
      <xdr:colOff>134158</xdr:colOff>
      <xdr:row>95</xdr:row>
      <xdr:rowOff>96400</xdr:rowOff>
    </xdr:to>
    <xdr:pic>
      <xdr:nvPicPr>
        <xdr:cNvPr id="17" name="Picture 16" descr="Screen Clipping">
          <a:extLst>
            <a:ext uri="{FF2B5EF4-FFF2-40B4-BE49-F238E27FC236}">
              <a16:creationId xmlns:a16="http://schemas.microsoft.com/office/drawing/2014/main" id="{FAF0E455-8DBF-4C78-8E6D-65568DC1F7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373475" y="9744075"/>
          <a:ext cx="5792008" cy="8240275"/>
        </a:xfrm>
        <a:prstGeom prst="rect">
          <a:avLst/>
        </a:prstGeom>
      </xdr:spPr>
    </xdr:pic>
    <xdr:clientData/>
  </xdr:twoCellAnchor>
  <xdr:twoCellAnchor editAs="oneCell">
    <xdr:from>
      <xdr:col>23</xdr:col>
      <xdr:colOff>0</xdr:colOff>
      <xdr:row>96</xdr:row>
      <xdr:rowOff>0</xdr:rowOff>
    </xdr:from>
    <xdr:to>
      <xdr:col>31</xdr:col>
      <xdr:colOff>315113</xdr:colOff>
      <xdr:row>99</xdr:row>
      <xdr:rowOff>171550</xdr:rowOff>
    </xdr:to>
    <xdr:pic>
      <xdr:nvPicPr>
        <xdr:cNvPr id="19" name="Picture 18" descr="Screen Clipping">
          <a:extLst>
            <a:ext uri="{FF2B5EF4-FFF2-40B4-BE49-F238E27FC236}">
              <a16:creationId xmlns:a16="http://schemas.microsoft.com/office/drawing/2014/main" id="{74A8689B-28F0-4B80-92F8-0E5B573AEBE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373475" y="18068925"/>
          <a:ext cx="5649113" cy="714475"/>
        </a:xfrm>
        <a:prstGeom prst="rect">
          <a:avLst/>
        </a:prstGeom>
      </xdr:spPr>
    </xdr:pic>
    <xdr:clientData/>
  </xdr:twoCellAnchor>
  <xdr:twoCellAnchor editAs="oneCell">
    <xdr:from>
      <xdr:col>33</xdr:col>
      <xdr:colOff>0</xdr:colOff>
      <xdr:row>5</xdr:row>
      <xdr:rowOff>0</xdr:rowOff>
    </xdr:from>
    <xdr:to>
      <xdr:col>41</xdr:col>
      <xdr:colOff>315113</xdr:colOff>
      <xdr:row>49</xdr:row>
      <xdr:rowOff>124987</xdr:rowOff>
    </xdr:to>
    <xdr:pic>
      <xdr:nvPicPr>
        <xdr:cNvPr id="21" name="Picture 20" descr="Screen Clipping">
          <a:extLst>
            <a:ext uri="{FF2B5EF4-FFF2-40B4-BE49-F238E27FC236}">
              <a16:creationId xmlns:a16="http://schemas.microsoft.com/office/drawing/2014/main" id="{5A228C28-4F2F-4A96-8DDF-B404B9D25BB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374225" y="1362075"/>
          <a:ext cx="5649113" cy="8326012"/>
        </a:xfrm>
        <a:prstGeom prst="rect">
          <a:avLst/>
        </a:prstGeom>
      </xdr:spPr>
    </xdr:pic>
    <xdr:clientData/>
  </xdr:twoCellAnchor>
  <xdr:twoCellAnchor editAs="oneCell">
    <xdr:from>
      <xdr:col>33</xdr:col>
      <xdr:colOff>0</xdr:colOff>
      <xdr:row>50</xdr:row>
      <xdr:rowOff>0</xdr:rowOff>
    </xdr:from>
    <xdr:to>
      <xdr:col>41</xdr:col>
      <xdr:colOff>362745</xdr:colOff>
      <xdr:row>75</xdr:row>
      <xdr:rowOff>153053</xdr:rowOff>
    </xdr:to>
    <xdr:pic>
      <xdr:nvPicPr>
        <xdr:cNvPr id="23" name="Picture 22" descr="Screen Clipping">
          <a:extLst>
            <a:ext uri="{FF2B5EF4-FFF2-40B4-BE49-F238E27FC236}">
              <a16:creationId xmlns:a16="http://schemas.microsoft.com/office/drawing/2014/main" id="{012D0D38-06E7-4C77-B37B-65896FB96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374225" y="9744075"/>
          <a:ext cx="5696745" cy="4677428"/>
        </a:xfrm>
        <a:prstGeom prst="rect">
          <a:avLst/>
        </a:prstGeom>
      </xdr:spPr>
    </xdr:pic>
    <xdr:clientData/>
  </xdr:twoCellAnchor>
  <xdr:twoCellAnchor editAs="oneCell">
    <xdr:from>
      <xdr:col>33</xdr:col>
      <xdr:colOff>0</xdr:colOff>
      <xdr:row>76</xdr:row>
      <xdr:rowOff>0</xdr:rowOff>
    </xdr:from>
    <xdr:to>
      <xdr:col>41</xdr:col>
      <xdr:colOff>296061</xdr:colOff>
      <xdr:row>120</xdr:row>
      <xdr:rowOff>20164</xdr:rowOff>
    </xdr:to>
    <xdr:pic>
      <xdr:nvPicPr>
        <xdr:cNvPr id="25" name="Picture 24" descr="Screen Clipping">
          <a:extLst>
            <a:ext uri="{FF2B5EF4-FFF2-40B4-BE49-F238E27FC236}">
              <a16:creationId xmlns:a16="http://schemas.microsoft.com/office/drawing/2014/main" id="{014BFC28-4B31-4C29-9EDD-7BB6DF1470A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374225" y="14449425"/>
          <a:ext cx="5630061" cy="7983064"/>
        </a:xfrm>
        <a:prstGeom prst="rect">
          <a:avLst/>
        </a:prstGeom>
      </xdr:spPr>
    </xdr:pic>
    <xdr:clientData/>
  </xdr:twoCellAnchor>
  <xdr:twoCellAnchor editAs="oneCell">
    <xdr:from>
      <xdr:col>33</xdr:col>
      <xdr:colOff>0</xdr:colOff>
      <xdr:row>120</xdr:row>
      <xdr:rowOff>0</xdr:rowOff>
    </xdr:from>
    <xdr:to>
      <xdr:col>41</xdr:col>
      <xdr:colOff>305587</xdr:colOff>
      <xdr:row>132</xdr:row>
      <xdr:rowOff>133672</xdr:rowOff>
    </xdr:to>
    <xdr:pic>
      <xdr:nvPicPr>
        <xdr:cNvPr id="27" name="Picture 26" descr="Screen Clipping">
          <a:extLst>
            <a:ext uri="{FF2B5EF4-FFF2-40B4-BE49-F238E27FC236}">
              <a16:creationId xmlns:a16="http://schemas.microsoft.com/office/drawing/2014/main" id="{B2568866-AB63-4D9C-B91B-64D66EA610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374225" y="22412325"/>
          <a:ext cx="5639587" cy="2305372"/>
        </a:xfrm>
        <a:prstGeom prst="rect">
          <a:avLst/>
        </a:prstGeom>
      </xdr:spPr>
    </xdr:pic>
    <xdr:clientData/>
  </xdr:twoCellAnchor>
  <xdr:twoCellAnchor editAs="oneCell">
    <xdr:from>
      <xdr:col>43</xdr:col>
      <xdr:colOff>0</xdr:colOff>
      <xdr:row>5</xdr:row>
      <xdr:rowOff>0</xdr:rowOff>
    </xdr:from>
    <xdr:to>
      <xdr:col>51</xdr:col>
      <xdr:colOff>324640</xdr:colOff>
      <xdr:row>48</xdr:row>
      <xdr:rowOff>144014</xdr:rowOff>
    </xdr:to>
    <xdr:pic>
      <xdr:nvPicPr>
        <xdr:cNvPr id="29" name="Picture 28" descr="Screen Clipping">
          <a:extLst>
            <a:ext uri="{FF2B5EF4-FFF2-40B4-BE49-F238E27FC236}">
              <a16:creationId xmlns:a16="http://schemas.microsoft.com/office/drawing/2014/main" id="{2E035911-FC9A-400E-B605-05403E6D9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717875" y="1362075"/>
          <a:ext cx="5658640" cy="8164064"/>
        </a:xfrm>
        <a:prstGeom prst="rect">
          <a:avLst/>
        </a:prstGeom>
      </xdr:spPr>
    </xdr:pic>
    <xdr:clientData/>
  </xdr:twoCellAnchor>
  <xdr:twoCellAnchor editAs="oneCell">
    <xdr:from>
      <xdr:col>43</xdr:col>
      <xdr:colOff>0</xdr:colOff>
      <xdr:row>49</xdr:row>
      <xdr:rowOff>0</xdr:rowOff>
    </xdr:from>
    <xdr:to>
      <xdr:col>51</xdr:col>
      <xdr:colOff>257955</xdr:colOff>
      <xdr:row>85</xdr:row>
      <xdr:rowOff>105699</xdr:rowOff>
    </xdr:to>
    <xdr:pic>
      <xdr:nvPicPr>
        <xdr:cNvPr id="31" name="Picture 30" descr="Screen Clipping">
          <a:extLst>
            <a:ext uri="{FF2B5EF4-FFF2-40B4-BE49-F238E27FC236}">
              <a16:creationId xmlns:a16="http://schemas.microsoft.com/office/drawing/2014/main" id="{C654AE82-6880-4666-BCF9-2E8902B036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717875" y="9563100"/>
          <a:ext cx="5591955" cy="6620799"/>
        </a:xfrm>
        <a:prstGeom prst="rect">
          <a:avLst/>
        </a:prstGeom>
      </xdr:spPr>
    </xdr:pic>
    <xdr:clientData/>
  </xdr:twoCellAnchor>
  <xdr:twoCellAnchor editAs="oneCell">
    <xdr:from>
      <xdr:col>43</xdr:col>
      <xdr:colOff>0</xdr:colOff>
      <xdr:row>86</xdr:row>
      <xdr:rowOff>0</xdr:rowOff>
    </xdr:from>
    <xdr:to>
      <xdr:col>52</xdr:col>
      <xdr:colOff>105627</xdr:colOff>
      <xdr:row>130</xdr:row>
      <xdr:rowOff>39217</xdr:rowOff>
    </xdr:to>
    <xdr:pic>
      <xdr:nvPicPr>
        <xdr:cNvPr id="33" name="Picture 32" descr="Screen Clipping">
          <a:extLst>
            <a:ext uri="{FF2B5EF4-FFF2-40B4-BE49-F238E27FC236}">
              <a16:creationId xmlns:a16="http://schemas.microsoft.com/office/drawing/2014/main" id="{86427E3B-D469-407A-8310-AE8CC6FA31F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717875" y="16259175"/>
          <a:ext cx="6106377" cy="8002117"/>
        </a:xfrm>
        <a:prstGeom prst="rect">
          <a:avLst/>
        </a:prstGeom>
      </xdr:spPr>
    </xdr:pic>
    <xdr:clientData/>
  </xdr:twoCellAnchor>
  <xdr:twoCellAnchor editAs="oneCell">
    <xdr:from>
      <xdr:col>43</xdr:col>
      <xdr:colOff>0</xdr:colOff>
      <xdr:row>130</xdr:row>
      <xdr:rowOff>0</xdr:rowOff>
    </xdr:from>
    <xdr:to>
      <xdr:col>51</xdr:col>
      <xdr:colOff>248429</xdr:colOff>
      <xdr:row>162</xdr:row>
      <xdr:rowOff>48440</xdr:rowOff>
    </xdr:to>
    <xdr:pic>
      <xdr:nvPicPr>
        <xdr:cNvPr id="35" name="Picture 34" descr="Screen Clipping">
          <a:extLst>
            <a:ext uri="{FF2B5EF4-FFF2-40B4-BE49-F238E27FC236}">
              <a16:creationId xmlns:a16="http://schemas.microsoft.com/office/drawing/2014/main" id="{1DFD3AA6-BAC7-45E2-A822-12D89B58C0A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717875" y="24222075"/>
          <a:ext cx="5582429" cy="5839640"/>
        </a:xfrm>
        <a:prstGeom prst="rect">
          <a:avLst/>
        </a:prstGeom>
      </xdr:spPr>
    </xdr:pic>
    <xdr:clientData/>
  </xdr:twoCellAnchor>
  <xdr:twoCellAnchor editAs="oneCell">
    <xdr:from>
      <xdr:col>54</xdr:col>
      <xdr:colOff>0</xdr:colOff>
      <xdr:row>5</xdr:row>
      <xdr:rowOff>0</xdr:rowOff>
    </xdr:from>
    <xdr:to>
      <xdr:col>62</xdr:col>
      <xdr:colOff>334166</xdr:colOff>
      <xdr:row>49</xdr:row>
      <xdr:rowOff>10671</xdr:rowOff>
    </xdr:to>
    <xdr:pic>
      <xdr:nvPicPr>
        <xdr:cNvPr id="37" name="Picture 36" descr="Screen Clipping">
          <a:extLst>
            <a:ext uri="{FF2B5EF4-FFF2-40B4-BE49-F238E27FC236}">
              <a16:creationId xmlns:a16="http://schemas.microsoft.com/office/drawing/2014/main" id="{F92D5C50-324D-4ECB-8689-DD84CCC65DD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347275" y="1362075"/>
          <a:ext cx="5668166" cy="8211696"/>
        </a:xfrm>
        <a:prstGeom prst="rect">
          <a:avLst/>
        </a:prstGeom>
      </xdr:spPr>
    </xdr:pic>
    <xdr:clientData/>
  </xdr:twoCellAnchor>
  <xdr:twoCellAnchor editAs="oneCell">
    <xdr:from>
      <xdr:col>54</xdr:col>
      <xdr:colOff>0</xdr:colOff>
      <xdr:row>49</xdr:row>
      <xdr:rowOff>0</xdr:rowOff>
    </xdr:from>
    <xdr:to>
      <xdr:col>62</xdr:col>
      <xdr:colOff>238903</xdr:colOff>
      <xdr:row>84</xdr:row>
      <xdr:rowOff>29463</xdr:rowOff>
    </xdr:to>
    <xdr:pic>
      <xdr:nvPicPr>
        <xdr:cNvPr id="39" name="Picture 38" descr="Screen Clipping">
          <a:extLst>
            <a:ext uri="{FF2B5EF4-FFF2-40B4-BE49-F238E27FC236}">
              <a16:creationId xmlns:a16="http://schemas.microsoft.com/office/drawing/2014/main" id="{E0EA024D-4127-4681-A84C-AFD2F94FA3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5347275" y="9563100"/>
          <a:ext cx="5572903" cy="6363588"/>
        </a:xfrm>
        <a:prstGeom prst="rect">
          <a:avLst/>
        </a:prstGeom>
      </xdr:spPr>
    </xdr:pic>
    <xdr:clientData/>
  </xdr:twoCellAnchor>
  <xdr:twoCellAnchor editAs="oneCell">
    <xdr:from>
      <xdr:col>54</xdr:col>
      <xdr:colOff>0</xdr:colOff>
      <xdr:row>84</xdr:row>
      <xdr:rowOff>0</xdr:rowOff>
    </xdr:from>
    <xdr:to>
      <xdr:col>62</xdr:col>
      <xdr:colOff>248429</xdr:colOff>
      <xdr:row>120</xdr:row>
      <xdr:rowOff>39015</xdr:rowOff>
    </xdr:to>
    <xdr:pic>
      <xdr:nvPicPr>
        <xdr:cNvPr id="41" name="Picture 40" descr="Screen Clipping">
          <a:extLst>
            <a:ext uri="{FF2B5EF4-FFF2-40B4-BE49-F238E27FC236}">
              <a16:creationId xmlns:a16="http://schemas.microsoft.com/office/drawing/2014/main" id="{A17B5366-74F1-4726-99D8-C8362329D14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47275" y="15897225"/>
          <a:ext cx="5582429" cy="6554115"/>
        </a:xfrm>
        <a:prstGeom prst="rect">
          <a:avLst/>
        </a:prstGeom>
      </xdr:spPr>
    </xdr:pic>
    <xdr:clientData/>
  </xdr:twoCellAnchor>
  <xdr:twoCellAnchor editAs="oneCell">
    <xdr:from>
      <xdr:col>64</xdr:col>
      <xdr:colOff>1</xdr:colOff>
      <xdr:row>5</xdr:row>
      <xdr:rowOff>38099</xdr:rowOff>
    </xdr:from>
    <xdr:to>
      <xdr:col>72</xdr:col>
      <xdr:colOff>200025</xdr:colOff>
      <xdr:row>38</xdr:row>
      <xdr:rowOff>5692</xdr:rowOff>
    </xdr:to>
    <xdr:pic>
      <xdr:nvPicPr>
        <xdr:cNvPr id="4" name="Picture 3">
          <a:extLst>
            <a:ext uri="{FF2B5EF4-FFF2-40B4-BE49-F238E27FC236}">
              <a16:creationId xmlns:a16="http://schemas.microsoft.com/office/drawing/2014/main" id="{D8E4A038-FFD9-469F-99C6-E3EFBCEF162C}"/>
            </a:ext>
          </a:extLst>
        </xdr:cNvPr>
        <xdr:cNvPicPr>
          <a:picLocks noChangeAspect="1"/>
        </xdr:cNvPicPr>
      </xdr:nvPicPr>
      <xdr:blipFill>
        <a:blip xmlns:r="http://schemas.openxmlformats.org/officeDocument/2006/relationships" r:embed="rId21"/>
        <a:stretch>
          <a:fillRect/>
        </a:stretch>
      </xdr:blipFill>
      <xdr:spPr>
        <a:xfrm>
          <a:off x="41414701" y="1400174"/>
          <a:ext cx="5534024" cy="6177893"/>
        </a:xfrm>
        <a:prstGeom prst="rect">
          <a:avLst/>
        </a:prstGeom>
      </xdr:spPr>
    </xdr:pic>
    <xdr:clientData/>
  </xdr:twoCellAnchor>
  <xdr:twoCellAnchor editAs="oneCell">
    <xdr:from>
      <xdr:col>64</xdr:col>
      <xdr:colOff>9526</xdr:colOff>
      <xdr:row>38</xdr:row>
      <xdr:rowOff>9525</xdr:rowOff>
    </xdr:from>
    <xdr:to>
      <xdr:col>72</xdr:col>
      <xdr:colOff>255907</xdr:colOff>
      <xdr:row>78</xdr:row>
      <xdr:rowOff>76201</xdr:rowOff>
    </xdr:to>
    <xdr:pic>
      <xdr:nvPicPr>
        <xdr:cNvPr id="6" name="Picture 5">
          <a:extLst>
            <a:ext uri="{FF2B5EF4-FFF2-40B4-BE49-F238E27FC236}">
              <a16:creationId xmlns:a16="http://schemas.microsoft.com/office/drawing/2014/main" id="{E5A395AC-0243-403C-BC14-DF3576B1DDE9}"/>
            </a:ext>
          </a:extLst>
        </xdr:cNvPr>
        <xdr:cNvPicPr>
          <a:picLocks noChangeAspect="1"/>
        </xdr:cNvPicPr>
      </xdr:nvPicPr>
      <xdr:blipFill>
        <a:blip xmlns:r="http://schemas.openxmlformats.org/officeDocument/2006/relationships" r:embed="rId22"/>
        <a:stretch>
          <a:fillRect/>
        </a:stretch>
      </xdr:blipFill>
      <xdr:spPr>
        <a:xfrm>
          <a:off x="41424226" y="7581900"/>
          <a:ext cx="5580381" cy="7305676"/>
        </a:xfrm>
        <a:prstGeom prst="rect">
          <a:avLst/>
        </a:prstGeom>
      </xdr:spPr>
    </xdr:pic>
    <xdr:clientData/>
  </xdr:twoCellAnchor>
  <xdr:twoCellAnchor editAs="oneCell">
    <xdr:from>
      <xdr:col>64</xdr:col>
      <xdr:colOff>19050</xdr:colOff>
      <xdr:row>79</xdr:row>
      <xdr:rowOff>66675</xdr:rowOff>
    </xdr:from>
    <xdr:to>
      <xdr:col>73</xdr:col>
      <xdr:colOff>0</xdr:colOff>
      <xdr:row>105</xdr:row>
      <xdr:rowOff>135963</xdr:rowOff>
    </xdr:to>
    <xdr:pic>
      <xdr:nvPicPr>
        <xdr:cNvPr id="8" name="Picture 7">
          <a:extLst>
            <a:ext uri="{FF2B5EF4-FFF2-40B4-BE49-F238E27FC236}">
              <a16:creationId xmlns:a16="http://schemas.microsoft.com/office/drawing/2014/main" id="{A19890D9-E5FD-4F46-AD09-660C6B37D149}"/>
            </a:ext>
          </a:extLst>
        </xdr:cNvPr>
        <xdr:cNvPicPr>
          <a:picLocks noChangeAspect="1"/>
        </xdr:cNvPicPr>
      </xdr:nvPicPr>
      <xdr:blipFill>
        <a:blip xmlns:r="http://schemas.openxmlformats.org/officeDocument/2006/relationships" r:embed="rId23"/>
        <a:stretch>
          <a:fillRect/>
        </a:stretch>
      </xdr:blipFill>
      <xdr:spPr>
        <a:xfrm>
          <a:off x="41433750" y="15059025"/>
          <a:ext cx="5600700" cy="4774638"/>
        </a:xfrm>
        <a:prstGeom prst="rect">
          <a:avLst/>
        </a:prstGeom>
      </xdr:spPr>
    </xdr:pic>
    <xdr:clientData/>
  </xdr:twoCellAnchor>
  <xdr:twoCellAnchor editAs="oneCell">
    <xdr:from>
      <xdr:col>74</xdr:col>
      <xdr:colOff>19050</xdr:colOff>
      <xdr:row>5</xdr:row>
      <xdr:rowOff>19050</xdr:rowOff>
    </xdr:from>
    <xdr:to>
      <xdr:col>82</xdr:col>
      <xdr:colOff>26074</xdr:colOff>
      <xdr:row>40</xdr:row>
      <xdr:rowOff>9525</xdr:rowOff>
    </xdr:to>
    <xdr:pic>
      <xdr:nvPicPr>
        <xdr:cNvPr id="10" name="Picture 9">
          <a:extLst>
            <a:ext uri="{FF2B5EF4-FFF2-40B4-BE49-F238E27FC236}">
              <a16:creationId xmlns:a16="http://schemas.microsoft.com/office/drawing/2014/main" id="{63937EF6-1B16-4AE9-8FDB-FFEA32A47021}"/>
            </a:ext>
          </a:extLst>
        </xdr:cNvPr>
        <xdr:cNvPicPr>
          <a:picLocks noChangeAspect="1"/>
        </xdr:cNvPicPr>
      </xdr:nvPicPr>
      <xdr:blipFill>
        <a:blip xmlns:r="http://schemas.openxmlformats.org/officeDocument/2006/relationships" r:embed="rId24"/>
        <a:stretch>
          <a:fillRect/>
        </a:stretch>
      </xdr:blipFill>
      <xdr:spPr>
        <a:xfrm>
          <a:off x="47396400" y="1381125"/>
          <a:ext cx="5341024" cy="6562725"/>
        </a:xfrm>
        <a:prstGeom prst="rect">
          <a:avLst/>
        </a:prstGeom>
      </xdr:spPr>
    </xdr:pic>
    <xdr:clientData/>
  </xdr:twoCellAnchor>
  <xdr:twoCellAnchor editAs="oneCell">
    <xdr:from>
      <xdr:col>74</xdr:col>
      <xdr:colOff>28576</xdr:colOff>
      <xdr:row>40</xdr:row>
      <xdr:rowOff>9526</xdr:rowOff>
    </xdr:from>
    <xdr:to>
      <xdr:col>82</xdr:col>
      <xdr:colOff>28575</xdr:colOff>
      <xdr:row>46</xdr:row>
      <xdr:rowOff>55917</xdr:rowOff>
    </xdr:to>
    <xdr:pic>
      <xdr:nvPicPr>
        <xdr:cNvPr id="12" name="Picture 11">
          <a:extLst>
            <a:ext uri="{FF2B5EF4-FFF2-40B4-BE49-F238E27FC236}">
              <a16:creationId xmlns:a16="http://schemas.microsoft.com/office/drawing/2014/main" id="{C50A55FE-B476-40E9-93D2-4F4D86195E1D}"/>
            </a:ext>
          </a:extLst>
        </xdr:cNvPr>
        <xdr:cNvPicPr>
          <a:picLocks noChangeAspect="1"/>
        </xdr:cNvPicPr>
      </xdr:nvPicPr>
      <xdr:blipFill>
        <a:blip xmlns:r="http://schemas.openxmlformats.org/officeDocument/2006/relationships" r:embed="rId25"/>
        <a:stretch>
          <a:fillRect/>
        </a:stretch>
      </xdr:blipFill>
      <xdr:spPr>
        <a:xfrm>
          <a:off x="47405926" y="7943851"/>
          <a:ext cx="5333999" cy="1132241"/>
        </a:xfrm>
        <a:prstGeom prst="rect">
          <a:avLst/>
        </a:prstGeom>
      </xdr:spPr>
    </xdr:pic>
    <xdr:clientData/>
  </xdr:twoCellAnchor>
  <xdr:twoCellAnchor editAs="oneCell">
    <xdr:from>
      <xdr:col>74</xdr:col>
      <xdr:colOff>9525</xdr:colOff>
      <xdr:row>46</xdr:row>
      <xdr:rowOff>95250</xdr:rowOff>
    </xdr:from>
    <xdr:to>
      <xdr:col>82</xdr:col>
      <xdr:colOff>38100</xdr:colOff>
      <xdr:row>81</xdr:row>
      <xdr:rowOff>80738</xdr:rowOff>
    </xdr:to>
    <xdr:pic>
      <xdr:nvPicPr>
        <xdr:cNvPr id="14" name="Picture 13">
          <a:extLst>
            <a:ext uri="{FF2B5EF4-FFF2-40B4-BE49-F238E27FC236}">
              <a16:creationId xmlns:a16="http://schemas.microsoft.com/office/drawing/2014/main" id="{650C02DF-B685-4A90-8D94-DDFCC5D3AD14}"/>
            </a:ext>
          </a:extLst>
        </xdr:cNvPr>
        <xdr:cNvPicPr>
          <a:picLocks noChangeAspect="1"/>
        </xdr:cNvPicPr>
      </xdr:nvPicPr>
      <xdr:blipFill>
        <a:blip xmlns:r="http://schemas.openxmlformats.org/officeDocument/2006/relationships" r:embed="rId26"/>
        <a:stretch>
          <a:fillRect/>
        </a:stretch>
      </xdr:blipFill>
      <xdr:spPr>
        <a:xfrm>
          <a:off x="47386875" y="9115425"/>
          <a:ext cx="5362575" cy="6319613"/>
        </a:xfrm>
        <a:prstGeom prst="rect">
          <a:avLst/>
        </a:prstGeom>
      </xdr:spPr>
    </xdr:pic>
    <xdr:clientData/>
  </xdr:twoCellAnchor>
  <xdr:twoCellAnchor editAs="oneCell">
    <xdr:from>
      <xdr:col>74</xdr:col>
      <xdr:colOff>28575</xdr:colOff>
      <xdr:row>81</xdr:row>
      <xdr:rowOff>89836</xdr:rowOff>
    </xdr:from>
    <xdr:to>
      <xdr:col>82</xdr:col>
      <xdr:colOff>47625</xdr:colOff>
      <xdr:row>111</xdr:row>
      <xdr:rowOff>171450</xdr:rowOff>
    </xdr:to>
    <xdr:pic>
      <xdr:nvPicPr>
        <xdr:cNvPr id="18" name="Picture 17">
          <a:extLst>
            <a:ext uri="{FF2B5EF4-FFF2-40B4-BE49-F238E27FC236}">
              <a16:creationId xmlns:a16="http://schemas.microsoft.com/office/drawing/2014/main" id="{E1D94502-960A-47D8-B16A-3E0A14DC03C0}"/>
            </a:ext>
          </a:extLst>
        </xdr:cNvPr>
        <xdr:cNvPicPr>
          <a:picLocks noChangeAspect="1"/>
        </xdr:cNvPicPr>
      </xdr:nvPicPr>
      <xdr:blipFill>
        <a:blip xmlns:r="http://schemas.openxmlformats.org/officeDocument/2006/relationships" r:embed="rId27"/>
        <a:stretch>
          <a:fillRect/>
        </a:stretch>
      </xdr:blipFill>
      <xdr:spPr>
        <a:xfrm>
          <a:off x="47405925" y="15444136"/>
          <a:ext cx="5353050" cy="5510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69</xdr:row>
      <xdr:rowOff>0</xdr:rowOff>
    </xdr:from>
    <xdr:to>
      <xdr:col>20</xdr:col>
      <xdr:colOff>352425</xdr:colOff>
      <xdr:row>69</xdr:row>
      <xdr:rowOff>209550</xdr:rowOff>
    </xdr:to>
    <xdr:pic>
      <xdr:nvPicPr>
        <xdr:cNvPr id="3" name="Picture 2">
          <a:extLst>
            <a:ext uri="{FF2B5EF4-FFF2-40B4-BE49-F238E27FC236}">
              <a16:creationId xmlns:a16="http://schemas.microsoft.com/office/drawing/2014/main" id="{04132367-8D1C-4FD6-9715-5C5644A86B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593675" y="16030575"/>
          <a:ext cx="3524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K93"/>
  <sheetViews>
    <sheetView zoomScaleNormal="100" workbookViewId="0">
      <selection activeCell="A4" sqref="A4:D4"/>
    </sheetView>
  </sheetViews>
  <sheetFormatPr defaultColWidth="0" defaultRowHeight="14.25" zeroHeight="1"/>
  <cols>
    <col min="1" max="1" width="35" style="1" customWidth="1"/>
    <col min="2" max="2" width="35" style="125" customWidth="1"/>
    <col min="3" max="3" width="35.75" style="1" customWidth="1"/>
    <col min="4" max="4" width="50.375" style="1" customWidth="1"/>
    <col min="5" max="10" width="8.75" style="1" hidden="1" customWidth="1"/>
    <col min="11" max="11" width="17.25" style="1" hidden="1" customWidth="1"/>
    <col min="12" max="16384" width="8.75" style="1" hidden="1"/>
  </cols>
  <sheetData>
    <row r="1" spans="1:10" s="197" customFormat="1" ht="73.5" customHeight="1"/>
    <row r="2" spans="1:10" s="125" customFormat="1" ht="23.25">
      <c r="A2" s="198" t="s">
        <v>329</v>
      </c>
    </row>
    <row r="3" spans="1:10" s="125" customFormat="1">
      <c r="A3" s="134"/>
      <c r="B3" s="134"/>
      <c r="C3" s="134"/>
      <c r="D3" s="133"/>
      <c r="E3" s="132"/>
      <c r="F3" s="132"/>
      <c r="G3" s="132"/>
      <c r="H3" s="132"/>
      <c r="I3" s="132"/>
      <c r="J3" s="132"/>
    </row>
    <row r="4" spans="1:10" ht="75.75" customHeight="1">
      <c r="A4" s="264" t="s">
        <v>330</v>
      </c>
      <c r="B4" s="264"/>
      <c r="C4" s="264"/>
      <c r="D4" s="264"/>
    </row>
    <row r="5" spans="1:10">
      <c r="A5" s="12"/>
      <c r="B5" s="12"/>
      <c r="C5" s="12"/>
      <c r="D5" s="12"/>
    </row>
    <row r="6" spans="1:10" ht="20.25">
      <c r="A6" s="200" t="s">
        <v>227</v>
      </c>
      <c r="B6" s="135"/>
      <c r="C6" s="127"/>
      <c r="D6" s="6"/>
    </row>
    <row r="7" spans="1:10">
      <c r="A7" s="266" t="s">
        <v>6</v>
      </c>
      <c r="B7" s="266"/>
      <c r="C7" s="266"/>
      <c r="D7" s="7"/>
    </row>
    <row r="8" spans="1:10">
      <c r="A8" s="267" t="s">
        <v>3</v>
      </c>
      <c r="B8" s="267"/>
      <c r="C8" s="267"/>
      <c r="D8" s="7"/>
    </row>
    <row r="9" spans="1:10" ht="15">
      <c r="A9" s="5"/>
      <c r="B9" s="5"/>
      <c r="C9" s="5"/>
      <c r="D9" s="5"/>
    </row>
    <row r="10" spans="1:10" ht="20.25">
      <c r="A10" s="200" t="s">
        <v>16</v>
      </c>
      <c r="B10" s="135"/>
      <c r="C10" s="126"/>
      <c r="D10" s="5"/>
    </row>
    <row r="11" spans="1:10" ht="15" hidden="1">
      <c r="A11" s="123" t="s">
        <v>7</v>
      </c>
      <c r="B11" s="123"/>
      <c r="C11" s="4"/>
      <c r="D11" s="11"/>
    </row>
    <row r="12" spans="1:10" hidden="1">
      <c r="A12" s="265" t="s">
        <v>180</v>
      </c>
      <c r="B12" s="265"/>
      <c r="C12" s="265"/>
      <c r="D12" s="265"/>
    </row>
    <row r="14" spans="1:10" ht="15">
      <c r="A14" s="123" t="s">
        <v>181</v>
      </c>
      <c r="B14" s="123"/>
      <c r="C14" s="4"/>
      <c r="D14" s="11"/>
    </row>
    <row r="15" spans="1:10">
      <c r="A15" s="265" t="s">
        <v>182</v>
      </c>
      <c r="B15" s="265"/>
      <c r="C15" s="265"/>
      <c r="D15" s="265"/>
    </row>
    <row r="16" spans="1:10">
      <c r="A16" s="11"/>
      <c r="B16" s="167"/>
      <c r="C16" s="11"/>
      <c r="D16" s="11"/>
    </row>
    <row r="17" spans="1:4" s="125" customFormat="1" ht="15">
      <c r="A17" s="123" t="s">
        <v>250</v>
      </c>
      <c r="B17" s="123"/>
      <c r="C17" s="4"/>
      <c r="D17" s="160"/>
    </row>
    <row r="18" spans="1:4" s="125" customFormat="1">
      <c r="A18" s="265" t="s">
        <v>256</v>
      </c>
      <c r="B18" s="265"/>
      <c r="C18" s="265"/>
      <c r="D18" s="265"/>
    </row>
    <row r="19" spans="1:4" s="125" customFormat="1">
      <c r="A19" s="160"/>
      <c r="B19" s="167"/>
      <c r="C19" s="160"/>
      <c r="D19" s="160"/>
    </row>
    <row r="20" spans="1:4" s="125" customFormat="1" ht="15">
      <c r="A20" s="123" t="s">
        <v>251</v>
      </c>
      <c r="B20" s="123"/>
      <c r="C20" s="4"/>
      <c r="D20" s="160"/>
    </row>
    <row r="21" spans="1:4" s="125" customFormat="1">
      <c r="A21" s="265" t="s">
        <v>257</v>
      </c>
      <c r="B21" s="265"/>
      <c r="C21" s="265"/>
      <c r="D21" s="265"/>
    </row>
    <row r="22" spans="1:4" s="125" customFormat="1">
      <c r="A22" s="160"/>
      <c r="B22" s="167"/>
      <c r="C22" s="160"/>
      <c r="D22" s="160"/>
    </row>
    <row r="23" spans="1:4" s="125" customFormat="1" ht="15">
      <c r="A23" s="123" t="s">
        <v>252</v>
      </c>
      <c r="B23" s="123"/>
      <c r="C23" s="4"/>
      <c r="D23" s="160"/>
    </row>
    <row r="24" spans="1:4" s="125" customFormat="1">
      <c r="A24" s="265" t="s">
        <v>258</v>
      </c>
      <c r="B24" s="265"/>
      <c r="C24" s="265"/>
      <c r="D24" s="265"/>
    </row>
    <row r="25" spans="1:4" s="125" customFormat="1">
      <c r="A25" s="160"/>
      <c r="B25" s="167"/>
      <c r="C25" s="160"/>
      <c r="D25" s="160"/>
    </row>
    <row r="26" spans="1:4" s="125" customFormat="1" ht="15">
      <c r="A26" s="123" t="s">
        <v>253</v>
      </c>
      <c r="B26" s="123"/>
      <c r="C26" s="4"/>
      <c r="D26" s="160"/>
    </row>
    <row r="27" spans="1:4" s="125" customFormat="1">
      <c r="A27" s="265" t="s">
        <v>259</v>
      </c>
      <c r="B27" s="265"/>
      <c r="C27" s="265"/>
      <c r="D27" s="265"/>
    </row>
    <row r="28" spans="1:4" s="125" customFormat="1">
      <c r="A28" s="160"/>
      <c r="B28" s="167"/>
      <c r="C28" s="160"/>
      <c r="D28" s="160"/>
    </row>
    <row r="29" spans="1:4" s="125" customFormat="1" ht="15">
      <c r="A29" s="123" t="s">
        <v>254</v>
      </c>
      <c r="B29" s="123"/>
      <c r="C29" s="4"/>
      <c r="D29" s="160"/>
    </row>
    <row r="30" spans="1:4" s="125" customFormat="1">
      <c r="A30" s="265" t="s">
        <v>260</v>
      </c>
      <c r="B30" s="265"/>
      <c r="C30" s="265"/>
      <c r="D30" s="265"/>
    </row>
    <row r="31" spans="1:4" s="125" customFormat="1">
      <c r="A31" s="160"/>
      <c r="B31" s="167"/>
      <c r="C31" s="160"/>
      <c r="D31" s="160"/>
    </row>
    <row r="32" spans="1:4" ht="15">
      <c r="A32" s="123" t="s">
        <v>255</v>
      </c>
      <c r="B32" s="123"/>
      <c r="C32" s="4"/>
      <c r="D32" s="11"/>
    </row>
    <row r="33" spans="1:4">
      <c r="A33" s="265" t="s">
        <v>261</v>
      </c>
      <c r="B33" s="265"/>
      <c r="C33" s="265"/>
      <c r="D33" s="265"/>
    </row>
    <row r="34" spans="1:4" s="125" customFormat="1">
      <c r="A34" s="170"/>
      <c r="B34" s="170"/>
      <c r="C34" s="170"/>
      <c r="D34" s="170"/>
    </row>
    <row r="35" spans="1:4" s="125" customFormat="1" ht="15">
      <c r="A35" s="123" t="s">
        <v>282</v>
      </c>
      <c r="B35" s="123"/>
      <c r="C35" s="4"/>
      <c r="D35" s="170"/>
    </row>
    <row r="36" spans="1:4" s="125" customFormat="1">
      <c r="A36" s="265" t="s">
        <v>301</v>
      </c>
      <c r="B36" s="265"/>
      <c r="C36" s="265"/>
      <c r="D36" s="265"/>
    </row>
    <row r="37" spans="1:4" s="125" customFormat="1">
      <c r="A37" s="170"/>
      <c r="B37" s="170"/>
      <c r="C37" s="170"/>
      <c r="D37" s="170"/>
    </row>
    <row r="38" spans="1:4" s="125" customFormat="1" ht="15">
      <c r="A38" s="123" t="s">
        <v>300</v>
      </c>
      <c r="B38" s="123"/>
      <c r="C38" s="4"/>
      <c r="D38" s="170"/>
    </row>
    <row r="39" spans="1:4" s="125" customFormat="1">
      <c r="A39" s="265" t="s">
        <v>302</v>
      </c>
      <c r="B39" s="265"/>
      <c r="C39" s="265"/>
      <c r="D39" s="265"/>
    </row>
    <row r="40" spans="1:4">
      <c r="A40" s="18"/>
      <c r="B40" s="167"/>
      <c r="C40" s="18"/>
      <c r="D40" s="18"/>
    </row>
    <row r="41" spans="1:4" ht="15" hidden="1">
      <c r="A41" s="123" t="s">
        <v>13</v>
      </c>
      <c r="B41" s="123"/>
      <c r="C41" s="4"/>
      <c r="D41" s="11"/>
    </row>
    <row r="42" spans="1:4" hidden="1">
      <c r="A42" s="265" t="s">
        <v>14</v>
      </c>
      <c r="B42" s="265"/>
      <c r="C42" s="265"/>
      <c r="D42" s="265"/>
    </row>
    <row r="43" spans="1:4" ht="15" hidden="1">
      <c r="A43" s="5"/>
      <c r="B43" s="5"/>
      <c r="C43" s="5"/>
      <c r="D43" s="5"/>
    </row>
    <row r="44" spans="1:4" ht="20.25">
      <c r="A44" s="199" t="s">
        <v>4</v>
      </c>
      <c r="B44" s="135"/>
      <c r="C44" s="126"/>
      <c r="D44" s="5"/>
    </row>
    <row r="45" spans="1:4" ht="28.5">
      <c r="A45" s="98" t="s">
        <v>193</v>
      </c>
      <c r="B45" s="98"/>
      <c r="C45" s="263" t="s">
        <v>195</v>
      </c>
      <c r="D45" s="263"/>
    </row>
    <row r="46" spans="1:4" ht="28.5">
      <c r="A46" s="98" t="s">
        <v>194</v>
      </c>
      <c r="B46" s="98"/>
      <c r="C46" s="263" t="s">
        <v>196</v>
      </c>
      <c r="D46" s="263"/>
    </row>
    <row r="47" spans="1:4" ht="28.5">
      <c r="A47" s="98" t="s">
        <v>69</v>
      </c>
      <c r="B47" s="98"/>
      <c r="C47" s="263" t="s">
        <v>197</v>
      </c>
      <c r="D47" s="263"/>
    </row>
    <row r="48" spans="1:4" ht="28.5">
      <c r="A48" s="98" t="s">
        <v>54</v>
      </c>
      <c r="B48" s="98"/>
      <c r="C48" s="263" t="s">
        <v>198</v>
      </c>
      <c r="D48" s="263"/>
    </row>
    <row r="49" spans="1:4">
      <c r="A49" s="98" t="s">
        <v>42</v>
      </c>
      <c r="B49" s="98"/>
      <c r="C49" s="263" t="s">
        <v>199</v>
      </c>
      <c r="D49" s="263"/>
    </row>
    <row r="50" spans="1:4" ht="28.5">
      <c r="A50" s="98" t="s">
        <v>65</v>
      </c>
      <c r="B50" s="98"/>
      <c r="C50" s="263" t="s">
        <v>331</v>
      </c>
      <c r="D50" s="263"/>
    </row>
    <row r="51" spans="1:4">
      <c r="A51" s="98" t="s">
        <v>89</v>
      </c>
      <c r="B51" s="98"/>
      <c r="C51" s="263" t="s">
        <v>200</v>
      </c>
      <c r="D51" s="263"/>
    </row>
    <row r="52" spans="1:4" ht="28.5">
      <c r="A52" s="98" t="s">
        <v>90</v>
      </c>
      <c r="B52" s="98"/>
      <c r="C52" s="263" t="s">
        <v>201</v>
      </c>
      <c r="D52" s="263"/>
    </row>
    <row r="53" spans="1:4" ht="28.5">
      <c r="A53" s="98" t="s">
        <v>94</v>
      </c>
      <c r="B53" s="98"/>
      <c r="C53" s="263" t="s">
        <v>202</v>
      </c>
      <c r="D53" s="263"/>
    </row>
    <row r="54" spans="1:4" ht="28.5">
      <c r="A54" s="98" t="s">
        <v>95</v>
      </c>
      <c r="B54" s="98"/>
      <c r="C54" s="263" t="s">
        <v>203</v>
      </c>
      <c r="D54" s="263"/>
    </row>
    <row r="55" spans="1:4" ht="28.5">
      <c r="A55" s="98" t="s">
        <v>98</v>
      </c>
      <c r="B55" s="98"/>
      <c r="C55" s="263" t="s">
        <v>204</v>
      </c>
      <c r="D55" s="263"/>
    </row>
    <row r="56" spans="1:4" ht="28.5">
      <c r="A56" s="98" t="s">
        <v>99</v>
      </c>
      <c r="B56" s="98"/>
      <c r="C56" s="263" t="s">
        <v>205</v>
      </c>
      <c r="D56" s="263"/>
    </row>
    <row r="57" spans="1:4" ht="28.5">
      <c r="A57" s="98" t="s">
        <v>145</v>
      </c>
      <c r="B57" s="98"/>
      <c r="C57" s="263" t="s">
        <v>206</v>
      </c>
      <c r="D57" s="263"/>
    </row>
    <row r="58" spans="1:4" ht="28.5">
      <c r="A58" s="98" t="s">
        <v>146</v>
      </c>
      <c r="B58" s="98"/>
      <c r="C58" s="263" t="s">
        <v>207</v>
      </c>
      <c r="D58" s="263"/>
    </row>
    <row r="59" spans="1:4">
      <c r="A59" s="98" t="s">
        <v>147</v>
      </c>
      <c r="B59" s="98"/>
      <c r="C59" s="263" t="s">
        <v>208</v>
      </c>
      <c r="D59" s="263"/>
    </row>
    <row r="60" spans="1:4" ht="28.5">
      <c r="A60" s="98" t="s">
        <v>148</v>
      </c>
      <c r="B60" s="98"/>
      <c r="C60" s="263" t="s">
        <v>209</v>
      </c>
      <c r="D60" s="263"/>
    </row>
    <row r="61" spans="1:4" ht="28.5">
      <c r="A61" s="98" t="s">
        <v>149</v>
      </c>
      <c r="B61" s="98"/>
      <c r="C61" s="263" t="s">
        <v>201</v>
      </c>
      <c r="D61" s="263"/>
    </row>
    <row r="62" spans="1:4" ht="28.5">
      <c r="A62" s="98" t="s">
        <v>170</v>
      </c>
      <c r="B62" s="98"/>
      <c r="C62" s="263" t="s">
        <v>210</v>
      </c>
      <c r="D62" s="263"/>
    </row>
    <row r="63" spans="1:4" ht="28.5">
      <c r="A63" s="98" t="s">
        <v>171</v>
      </c>
      <c r="B63" s="98"/>
      <c r="C63" s="263" t="s">
        <v>211</v>
      </c>
      <c r="D63" s="263"/>
    </row>
    <row r="64" spans="1:4" ht="28.5">
      <c r="A64" s="98" t="s">
        <v>172</v>
      </c>
      <c r="B64" s="98"/>
      <c r="C64" s="263" t="s">
        <v>201</v>
      </c>
      <c r="D64" s="263"/>
    </row>
    <row r="65" spans="1:4" s="125" customFormat="1" ht="28.5">
      <c r="A65" s="98" t="s">
        <v>303</v>
      </c>
      <c r="B65" s="98"/>
      <c r="C65" s="261" t="s">
        <v>309</v>
      </c>
      <c r="D65" s="262"/>
    </row>
    <row r="66" spans="1:4" s="125" customFormat="1">
      <c r="A66" s="98" t="s">
        <v>304</v>
      </c>
      <c r="B66" s="98"/>
      <c r="C66" s="261" t="s">
        <v>310</v>
      </c>
      <c r="D66" s="262"/>
    </row>
    <row r="67" spans="1:4" s="125" customFormat="1" ht="28.5">
      <c r="A67" s="98" t="s">
        <v>305</v>
      </c>
      <c r="B67" s="98"/>
      <c r="C67" s="261" t="s">
        <v>311</v>
      </c>
      <c r="D67" s="262"/>
    </row>
    <row r="68" spans="1:4" s="125" customFormat="1" ht="28.5">
      <c r="A68" s="98" t="s">
        <v>306</v>
      </c>
      <c r="B68" s="98"/>
      <c r="C68" s="261" t="s">
        <v>312</v>
      </c>
      <c r="D68" s="262"/>
    </row>
    <row r="69" spans="1:4" s="125" customFormat="1" ht="28.5">
      <c r="A69" s="98" t="s">
        <v>307</v>
      </c>
      <c r="B69" s="98"/>
      <c r="C69" s="261" t="s">
        <v>313</v>
      </c>
      <c r="D69" s="262"/>
    </row>
    <row r="70" spans="1:4" s="125" customFormat="1" ht="28.5">
      <c r="A70" s="98" t="s">
        <v>308</v>
      </c>
      <c r="B70" s="98"/>
      <c r="C70" s="261" t="s">
        <v>318</v>
      </c>
      <c r="D70" s="262"/>
    </row>
    <row r="71" spans="1:4" s="125" customFormat="1" ht="28.5">
      <c r="A71" s="98" t="s">
        <v>328</v>
      </c>
      <c r="B71" s="98"/>
      <c r="C71" s="261" t="s">
        <v>314</v>
      </c>
      <c r="D71" s="262"/>
    </row>
    <row r="72" spans="1:4" s="125" customFormat="1" ht="28.5">
      <c r="A72" s="98" t="s">
        <v>327</v>
      </c>
      <c r="B72" s="98"/>
      <c r="C72" s="261" t="s">
        <v>315</v>
      </c>
      <c r="D72" s="262"/>
    </row>
    <row r="73" spans="1:4" s="125" customFormat="1" ht="28.5">
      <c r="A73" s="98" t="s">
        <v>326</v>
      </c>
      <c r="B73" s="98"/>
      <c r="C73" s="261" t="s">
        <v>316</v>
      </c>
      <c r="D73" s="262"/>
    </row>
    <row r="74" spans="1:4" s="125" customFormat="1" ht="28.5">
      <c r="A74" s="98" t="s">
        <v>325</v>
      </c>
      <c r="B74" s="98"/>
      <c r="C74" s="261" t="s">
        <v>319</v>
      </c>
      <c r="D74" s="262"/>
    </row>
    <row r="75" spans="1:4" s="125" customFormat="1" ht="28.5">
      <c r="A75" s="98" t="s">
        <v>324</v>
      </c>
      <c r="B75" s="98"/>
      <c r="C75" s="261" t="s">
        <v>317</v>
      </c>
      <c r="D75" s="262"/>
    </row>
    <row r="76" spans="1:4" s="125" customFormat="1" ht="28.5">
      <c r="A76" s="98" t="s">
        <v>323</v>
      </c>
      <c r="B76" s="98"/>
      <c r="C76" s="261" t="s">
        <v>320</v>
      </c>
      <c r="D76" s="262"/>
    </row>
    <row r="77" spans="1:4" s="125" customFormat="1" ht="28.5">
      <c r="A77" s="98" t="s">
        <v>322</v>
      </c>
      <c r="B77" s="98"/>
      <c r="C77" s="261" t="s">
        <v>321</v>
      </c>
      <c r="D77" s="262"/>
    </row>
    <row r="78" spans="1:4">
      <c r="A78" s="60" t="s">
        <v>189</v>
      </c>
      <c r="B78" s="168"/>
      <c r="C78" s="263" t="s">
        <v>212</v>
      </c>
      <c r="D78" s="263"/>
    </row>
    <row r="79" spans="1:4" ht="15">
      <c r="A79" s="5"/>
      <c r="B79" s="5"/>
      <c r="C79" s="5"/>
      <c r="D79" s="5"/>
    </row>
    <row r="80" spans="1:4" s="125" customFormat="1" ht="20.25">
      <c r="A80" s="199" t="s">
        <v>332</v>
      </c>
      <c r="B80" s="135"/>
      <c r="C80" s="126"/>
      <c r="D80" s="5"/>
    </row>
    <row r="81" spans="1:4" s="125" customFormat="1">
      <c r="A81" s="24" t="s">
        <v>32</v>
      </c>
      <c r="B81" s="24"/>
      <c r="C81" s="263" t="s">
        <v>190</v>
      </c>
      <c r="D81" s="263" t="s">
        <v>1</v>
      </c>
    </row>
    <row r="82" spans="1:4" s="125" customFormat="1">
      <c r="A82" s="24" t="s">
        <v>1</v>
      </c>
      <c r="B82" s="24"/>
      <c r="C82" s="263" t="s">
        <v>191</v>
      </c>
      <c r="D82" s="263" t="s">
        <v>2</v>
      </c>
    </row>
    <row r="83" spans="1:4" s="125" customFormat="1" ht="13.9" customHeight="1">
      <c r="A83" s="24" t="s">
        <v>30</v>
      </c>
      <c r="B83" s="24"/>
      <c r="C83" s="263" t="s">
        <v>192</v>
      </c>
      <c r="D83" s="263" t="s">
        <v>1</v>
      </c>
    </row>
    <row r="84" spans="1:4" ht="20.25">
      <c r="A84" s="135"/>
      <c r="B84" s="135"/>
      <c r="C84" s="126"/>
      <c r="D84" s="5"/>
    </row>
    <row r="85" spans="1:4">
      <c r="A85" s="169"/>
      <c r="B85" s="169"/>
      <c r="C85" s="268"/>
      <c r="D85" s="268"/>
    </row>
    <row r="86" spans="1:4">
      <c r="A86" s="169"/>
      <c r="B86" s="169"/>
      <c r="C86" s="268"/>
      <c r="D86" s="268"/>
    </row>
    <row r="87" spans="1:4"/>
    <row r="88" spans="1:4"/>
    <row r="89" spans="1:4"/>
    <row r="90" spans="1:4"/>
    <row r="91" spans="1:4"/>
    <row r="92" spans="1:4"/>
    <row r="93" spans="1:4"/>
  </sheetData>
  <mergeCells count="53">
    <mergeCell ref="C85:D85"/>
    <mergeCell ref="C86:D86"/>
    <mergeCell ref="A12:D12"/>
    <mergeCell ref="C48:D48"/>
    <mergeCell ref="C50:D50"/>
    <mergeCell ref="C47:D47"/>
    <mergeCell ref="C49:D49"/>
    <mergeCell ref="C51:D51"/>
    <mergeCell ref="C52:D52"/>
    <mergeCell ref="C53:D53"/>
    <mergeCell ref="C54:D54"/>
    <mergeCell ref="C55:D55"/>
    <mergeCell ref="C56:D56"/>
    <mergeCell ref="C62:D62"/>
    <mergeCell ref="C81:D81"/>
    <mergeCell ref="C82:D82"/>
    <mergeCell ref="A4:D4"/>
    <mergeCell ref="A42:D42"/>
    <mergeCell ref="A15:D15"/>
    <mergeCell ref="A33:D33"/>
    <mergeCell ref="A7:C7"/>
    <mergeCell ref="A8:C8"/>
    <mergeCell ref="A18:D18"/>
    <mergeCell ref="A21:D21"/>
    <mergeCell ref="A24:D24"/>
    <mergeCell ref="A27:D27"/>
    <mergeCell ref="A30:D30"/>
    <mergeCell ref="A36:D36"/>
    <mergeCell ref="A39:D39"/>
    <mergeCell ref="C83:D83"/>
    <mergeCell ref="C45:D45"/>
    <mergeCell ref="C46:D46"/>
    <mergeCell ref="C63:D63"/>
    <mergeCell ref="C64:D64"/>
    <mergeCell ref="C78:D78"/>
    <mergeCell ref="C57:D57"/>
    <mergeCell ref="C58:D58"/>
    <mergeCell ref="C59:D59"/>
    <mergeCell ref="C60:D60"/>
    <mergeCell ref="C61:D61"/>
    <mergeCell ref="C65:D65"/>
    <mergeCell ref="C66:D66"/>
    <mergeCell ref="C67:D67"/>
    <mergeCell ref="C68:D68"/>
    <mergeCell ref="C69:D69"/>
    <mergeCell ref="C70:D70"/>
    <mergeCell ref="C76:D76"/>
    <mergeCell ref="C77:D77"/>
    <mergeCell ref="C72:D72"/>
    <mergeCell ref="C71:D71"/>
    <mergeCell ref="C73:D73"/>
    <mergeCell ref="C74:D74"/>
    <mergeCell ref="C75:D7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9216-B9F8-4073-AFBC-F2A7390CB54E}">
  <sheetPr codeName="Sheet10">
    <tabColor theme="8" tint="0.59999389629810485"/>
  </sheetPr>
  <dimension ref="A1:K23"/>
  <sheetViews>
    <sheetView zoomScaleNormal="100" workbookViewId="0">
      <selection activeCell="C9" sqref="C9:C15"/>
    </sheetView>
  </sheetViews>
  <sheetFormatPr defaultColWidth="8.75" defaultRowHeight="14.25"/>
  <cols>
    <col min="1" max="1" width="3.625" style="13" customWidth="1"/>
    <col min="2" max="2" width="32.5" style="14" bestFit="1" customWidth="1"/>
    <col min="3" max="3" width="37.375" style="14" customWidth="1"/>
    <col min="4" max="4" width="15.625" style="14" customWidth="1"/>
    <col min="5" max="5" width="8.75" style="13" customWidth="1"/>
    <col min="6" max="6" width="9.625" style="14" customWidth="1"/>
    <col min="7" max="16383" width="8.75" style="14" customWidth="1"/>
    <col min="16384" max="16384" width="8.75" style="14"/>
  </cols>
  <sheetData>
    <row r="1" spans="1:11">
      <c r="A1" s="53"/>
    </row>
    <row r="2" spans="1:11" s="13" customFormat="1" ht="9.75" customHeight="1"/>
    <row r="3" spans="1:11" ht="34.5" customHeight="1">
      <c r="A3" s="14"/>
      <c r="B3" s="279" t="s">
        <v>336</v>
      </c>
      <c r="C3" s="279"/>
      <c r="D3" s="279"/>
      <c r="G3" s="277" t="s">
        <v>229</v>
      </c>
      <c r="H3" s="277"/>
      <c r="I3" s="277"/>
    </row>
    <row r="4" spans="1:11" ht="28.9" customHeight="1">
      <c r="A4" s="14"/>
      <c r="B4" s="278" t="s">
        <v>8</v>
      </c>
      <c r="C4" s="278"/>
      <c r="D4" s="278"/>
      <c r="G4" s="276" t="s">
        <v>357</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5" t="str">
        <f>IF(Summary!C6="","",Summary!C6)</f>
        <v/>
      </c>
      <c r="D7" s="286"/>
      <c r="E7" s="16"/>
      <c r="G7" s="276"/>
      <c r="H7" s="276"/>
      <c r="I7" s="276"/>
      <c r="J7" s="276"/>
      <c r="K7" s="276"/>
    </row>
    <row r="8" spans="1:11" s="17" customFormat="1" ht="22.15" customHeight="1">
      <c r="B8" s="26" t="s">
        <v>217</v>
      </c>
      <c r="C8" s="285" t="str">
        <f>IF(Summary!C7="","",Summary!C7)</f>
        <v/>
      </c>
      <c r="D8" s="286"/>
      <c r="E8" s="16"/>
      <c r="G8" s="276"/>
      <c r="H8" s="276"/>
      <c r="I8" s="276"/>
      <c r="J8" s="276"/>
      <c r="K8" s="276"/>
    </row>
    <row r="9" spans="1:11" s="17" customFormat="1" ht="22.15" customHeight="1">
      <c r="B9" s="26" t="s">
        <v>283</v>
      </c>
      <c r="C9" s="156"/>
      <c r="D9" s="27" t="s">
        <v>127</v>
      </c>
      <c r="E9" s="16"/>
      <c r="G9" s="276"/>
      <c r="H9" s="276"/>
      <c r="I9" s="276"/>
      <c r="J9" s="276"/>
      <c r="K9" s="276"/>
    </row>
    <row r="10" spans="1:11" s="17" customFormat="1" ht="22.15" customHeight="1">
      <c r="B10" s="62" t="s">
        <v>284</v>
      </c>
      <c r="C10" s="136"/>
      <c r="D10" s="92" t="s">
        <v>27</v>
      </c>
      <c r="E10" s="16"/>
      <c r="G10" s="276"/>
      <c r="H10" s="276"/>
      <c r="I10" s="276"/>
      <c r="J10" s="276"/>
      <c r="K10" s="276"/>
    </row>
    <row r="11" spans="1:11" s="17" customFormat="1" ht="22.15" customHeight="1">
      <c r="B11" s="26" t="s">
        <v>285</v>
      </c>
      <c r="C11" s="156"/>
      <c r="D11" s="27" t="s">
        <v>41</v>
      </c>
      <c r="E11" s="16"/>
      <c r="G11" s="276"/>
      <c r="H11" s="276"/>
      <c r="I11" s="276"/>
      <c r="J11" s="276"/>
      <c r="K11" s="276"/>
    </row>
    <row r="12" spans="1:11" s="17" customFormat="1" ht="22.15" customHeight="1">
      <c r="B12" s="62" t="s">
        <v>286</v>
      </c>
      <c r="C12" s="136"/>
      <c r="D12" s="92" t="s">
        <v>274</v>
      </c>
      <c r="E12" s="16"/>
      <c r="G12" s="276"/>
      <c r="H12" s="276"/>
      <c r="I12" s="276"/>
      <c r="J12" s="276"/>
      <c r="K12" s="276"/>
    </row>
    <row r="13" spans="1:11" s="17" customFormat="1" ht="22.15" customHeight="1">
      <c r="B13" s="26" t="s">
        <v>287</v>
      </c>
      <c r="C13" s="166"/>
      <c r="D13" s="27" t="s">
        <v>242</v>
      </c>
      <c r="E13" s="16"/>
      <c r="G13" s="276"/>
      <c r="H13" s="276"/>
      <c r="I13" s="276"/>
      <c r="J13" s="276"/>
      <c r="K13" s="276"/>
    </row>
    <row r="14" spans="1:11" s="17" customFormat="1" ht="22.15" customHeight="1">
      <c r="B14" s="62" t="s">
        <v>288</v>
      </c>
      <c r="C14" s="136"/>
      <c r="D14" s="92" t="s">
        <v>242</v>
      </c>
      <c r="E14" s="16"/>
      <c r="G14" s="276"/>
      <c r="H14" s="276"/>
      <c r="I14" s="276"/>
      <c r="J14" s="276"/>
      <c r="K14" s="276"/>
    </row>
    <row r="15" spans="1:11" s="17" customFormat="1" ht="22.15" customHeight="1" thickBot="1">
      <c r="B15" s="28" t="s">
        <v>178</v>
      </c>
      <c r="C15" s="149"/>
      <c r="D15" s="29" t="s">
        <v>59</v>
      </c>
      <c r="E15" s="16"/>
      <c r="G15" s="276"/>
      <c r="H15" s="276"/>
      <c r="I15" s="276"/>
      <c r="J15" s="276"/>
      <c r="K15" s="276"/>
    </row>
    <row r="16" spans="1:11" s="17" customFormat="1" ht="21.75" customHeight="1" thickBot="1">
      <c r="B16" s="30"/>
      <c r="C16" s="30"/>
      <c r="D16" s="30"/>
      <c r="E16" s="16"/>
      <c r="G16" s="276"/>
      <c r="H16" s="276"/>
      <c r="I16" s="276"/>
      <c r="J16" s="276"/>
      <c r="K16" s="276"/>
    </row>
    <row r="17" spans="1:11" s="17" customFormat="1" ht="22.15" customHeight="1">
      <c r="B17" s="139" t="s">
        <v>29</v>
      </c>
      <c r="C17" s="164" t="str">
        <f>IFERROR('Ag Measures Calcs'!H74,"")</f>
        <v/>
      </c>
      <c r="D17" s="141" t="s">
        <v>1</v>
      </c>
      <c r="E17" s="16"/>
      <c r="G17" s="276"/>
      <c r="H17" s="276"/>
      <c r="I17" s="276"/>
      <c r="J17" s="276"/>
      <c r="K17" s="276"/>
    </row>
    <row r="18" spans="1:11" s="17" customFormat="1" ht="22.15" customHeight="1">
      <c r="B18" s="155" t="s">
        <v>31</v>
      </c>
      <c r="C18" s="165" t="str">
        <f>IFERROR('Ag Measures Calcs'!I74,"")</f>
        <v/>
      </c>
      <c r="D18" s="171" t="s">
        <v>32</v>
      </c>
      <c r="E18" s="16"/>
      <c r="G18" s="276"/>
      <c r="H18" s="276"/>
      <c r="I18" s="276"/>
      <c r="J18" s="276"/>
      <c r="K18" s="276"/>
    </row>
    <row r="19" spans="1:11" s="17" customFormat="1" ht="22.15" customHeight="1" thickBot="1">
      <c r="B19" s="145" t="s">
        <v>30</v>
      </c>
      <c r="C19" s="154" t="str">
        <f>IF(OR(C9="",C11="",C12="",C13="",C14="",C15=""),"",C17*0.05)</f>
        <v/>
      </c>
      <c r="D19" s="147" t="s">
        <v>59</v>
      </c>
      <c r="E19" s="16"/>
      <c r="G19" s="276"/>
      <c r="H19" s="276"/>
      <c r="I19" s="276"/>
      <c r="J19" s="276"/>
      <c r="K19" s="276"/>
    </row>
    <row r="20" spans="1:11" s="17" customFormat="1" ht="22.15" customHeight="1">
      <c r="B20" s="13"/>
      <c r="C20" s="13"/>
      <c r="D20" s="13"/>
      <c r="E20" s="16"/>
      <c r="G20" s="276"/>
      <c r="H20" s="276"/>
      <c r="I20" s="276"/>
      <c r="J20" s="276"/>
      <c r="K20" s="276"/>
    </row>
    <row r="21" spans="1:11" s="17" customFormat="1" ht="22.15" customHeight="1">
      <c r="B21" s="52"/>
      <c r="C21" s="14"/>
      <c r="D21" s="14"/>
      <c r="E21" s="16"/>
      <c r="G21" s="276"/>
      <c r="H21" s="276"/>
      <c r="I21" s="276"/>
      <c r="J21" s="276"/>
      <c r="K21" s="276"/>
    </row>
    <row r="22" spans="1:11" s="13" customFormat="1" ht="21.75" customHeight="1">
      <c r="A22" s="17"/>
      <c r="B22" s="14"/>
      <c r="C22" s="14"/>
      <c r="D22" s="14"/>
      <c r="G22" s="276"/>
      <c r="H22" s="276"/>
      <c r="I22" s="276"/>
      <c r="J22" s="276"/>
      <c r="K22" s="276"/>
    </row>
    <row r="23" spans="1:11">
      <c r="A23" s="17"/>
      <c r="G23" s="276"/>
      <c r="H23" s="276"/>
      <c r="I23" s="276"/>
      <c r="J23" s="276"/>
      <c r="K23" s="276"/>
    </row>
  </sheetData>
  <sheetProtection algorithmName="SHA-512" hashValue="yTsvcR7gRiogy1vyHXTevc+bZbK1lbFcBXLFUtnnFQHcK0j0B49OfeID/nCh4E+Dr2RyMDZ9dBgO2wUdKqx1oA==" saltValue="UC/xhg1PHJSD2lLErlxF2Q==" spinCount="100000" sheet="1" formatColumns="0"/>
  <mergeCells count="7">
    <mergeCell ref="C8:D8"/>
    <mergeCell ref="G4:K23"/>
    <mergeCell ref="B3:D3"/>
    <mergeCell ref="G3:I3"/>
    <mergeCell ref="B4:D4"/>
    <mergeCell ref="C6:D6"/>
    <mergeCell ref="C7:D7"/>
  </mergeCells>
  <dataValidations count="2">
    <dataValidation type="whole" errorStyle="warning" allowBlank="1" showInputMessage="1" showErrorMessage="1" error="Whole number between 0 and 20,000" prompt="Enter the number of cows milked" sqref="C10" xr:uid="{5F17D2AE-B9EA-48B5-8BC7-5715FC1BCB99}">
      <formula1>0</formula1>
      <formula2>20000</formula2>
    </dataValidation>
    <dataValidation allowBlank="1" showInputMessage="1" showErrorMessage="1" promptTitle="Days per Year" prompt="Enter the number of days milked per year. Default is 365." sqref="C11" xr:uid="{C11BD4C5-5E74-4863-AE3F-848BFFD719CD}"/>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A48C5B11-E17C-4299-98FB-F1BB98C8FDE4}">
          <x14:formula1>
            <xm:f>'Ag Measures Calcs'!$Q$74:$Q$75</xm:f>
          </x14:formula1>
          <xm:sqref>C14</xm:sqref>
        </x14:dataValidation>
        <x14:dataValidation type="list" allowBlank="1" showInputMessage="1" showErrorMessage="1" xr:uid="{5A44966B-48CE-4F7F-9D49-A9CC8C334989}">
          <x14:formula1>
            <xm:f>'Ag Measures Calcs'!$M$74:$M$75</xm:f>
          </x14:formula1>
          <xm:sqref>C13</xm:sqref>
        </x14:dataValidation>
        <x14:dataValidation type="list" allowBlank="1" showInputMessage="1" showErrorMessage="1" xr:uid="{46E129E3-FC44-4B82-8BE2-D18B45139489}">
          <x14:formula1>
            <xm:f>'Ag Measures Calcs'!$F$3:$F$9</xm:f>
          </x14:formula1>
          <xm:sqref>C12</xm:sqref>
        </x14:dataValidation>
        <x14:dataValidation type="list" allowBlank="1" showInputMessage="1" showErrorMessage="1" promptTitle="Type of water heater" prompt="Enter type of water heater. Efficiency rebates are avaliable only for electric water heating." xr:uid="{8CD8B06E-B013-49A6-BC82-145CA0EC431E}">
          <x14:formula1>
            <xm:f>'Ag Measures Calcs'!$O$74:$O$75</xm:f>
          </x14:formula1>
          <xm:sqref>C9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781A-E40E-4284-8A4F-6916DB743B1F}">
  <sheetPr codeName="Sheet12">
    <tabColor theme="8" tint="0.59999389629810485"/>
  </sheetPr>
  <dimension ref="A1:K26"/>
  <sheetViews>
    <sheetView zoomScaleNormal="100" workbookViewId="0">
      <selection activeCell="C9" sqref="C9:C16"/>
    </sheetView>
  </sheetViews>
  <sheetFormatPr defaultColWidth="0" defaultRowHeight="0" customHeight="1" zeroHeight="1"/>
  <cols>
    <col min="1" max="1" width="3.625" style="13" customWidth="1"/>
    <col min="2" max="2" width="32.5" style="14" bestFit="1" customWidth="1"/>
    <col min="3" max="3" width="37.375" style="14" customWidth="1"/>
    <col min="4" max="4" width="15.625" style="14" customWidth="1"/>
    <col min="5" max="5" width="8.75" style="13" customWidth="1"/>
    <col min="6" max="6" width="9.625" style="14" customWidth="1"/>
    <col min="7" max="11" width="8.75" style="14" customWidth="1"/>
    <col min="12" max="16384" width="8.75" style="14" hidden="1"/>
  </cols>
  <sheetData>
    <row r="1" spans="1:11" ht="14.25">
      <c r="A1" s="53"/>
    </row>
    <row r="2" spans="1:11" s="13" customFormat="1" ht="9.75" customHeight="1"/>
    <row r="3" spans="1:11" ht="34.5" customHeight="1">
      <c r="A3" s="14"/>
      <c r="B3" s="279" t="s">
        <v>337</v>
      </c>
      <c r="C3" s="279"/>
      <c r="D3" s="279"/>
      <c r="G3" s="277" t="s">
        <v>229</v>
      </c>
      <c r="H3" s="277"/>
      <c r="I3" s="277"/>
    </row>
    <row r="4" spans="1:11" ht="28.9" customHeight="1">
      <c r="A4" s="14"/>
      <c r="B4" s="278" t="s">
        <v>8</v>
      </c>
      <c r="C4" s="278"/>
      <c r="D4" s="278"/>
      <c r="G4" s="276" t="s">
        <v>289</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5" t="str">
        <f>IF(Summary!C6="","",Summary!C6)</f>
        <v/>
      </c>
      <c r="D7" s="286"/>
      <c r="E7" s="16"/>
      <c r="G7" s="276"/>
      <c r="H7" s="276"/>
      <c r="I7" s="276"/>
      <c r="J7" s="276"/>
      <c r="K7" s="276"/>
    </row>
    <row r="8" spans="1:11" s="17" customFormat="1" ht="22.15" customHeight="1">
      <c r="B8" s="26" t="s">
        <v>217</v>
      </c>
      <c r="C8" s="285" t="str">
        <f>IF(Summary!C7="","",Summary!C7)</f>
        <v/>
      </c>
      <c r="D8" s="286"/>
      <c r="E8" s="16"/>
      <c r="G8" s="276"/>
      <c r="H8" s="276"/>
      <c r="I8" s="276"/>
      <c r="J8" s="276"/>
      <c r="K8" s="276"/>
    </row>
    <row r="9" spans="1:11" s="17" customFormat="1" ht="22.15" customHeight="1">
      <c r="B9" s="26" t="s">
        <v>292</v>
      </c>
      <c r="C9" s="156"/>
      <c r="D9" s="27" t="s">
        <v>127</v>
      </c>
      <c r="E9" s="16"/>
      <c r="G9" s="276"/>
      <c r="H9" s="276"/>
      <c r="I9" s="276"/>
      <c r="J9" s="276"/>
      <c r="K9" s="276"/>
    </row>
    <row r="10" spans="1:11" s="17" customFormat="1" ht="22.15" customHeight="1">
      <c r="B10" s="62" t="s">
        <v>293</v>
      </c>
      <c r="C10" s="177"/>
      <c r="D10" s="92" t="s">
        <v>290</v>
      </c>
      <c r="E10" s="16"/>
      <c r="G10" s="276"/>
      <c r="H10" s="276"/>
      <c r="I10" s="276"/>
      <c r="J10" s="276"/>
      <c r="K10" s="276"/>
    </row>
    <row r="11" spans="1:11" s="17" customFormat="1" ht="22.15" customHeight="1">
      <c r="B11" s="26" t="s">
        <v>294</v>
      </c>
      <c r="C11" s="178"/>
      <c r="D11" s="27" t="s">
        <v>290</v>
      </c>
      <c r="E11" s="16"/>
      <c r="G11" s="276"/>
      <c r="H11" s="276"/>
      <c r="I11" s="276"/>
      <c r="J11" s="276"/>
      <c r="K11" s="276"/>
    </row>
    <row r="12" spans="1:11" s="17" customFormat="1" ht="22.15" customHeight="1">
      <c r="B12" s="62" t="s">
        <v>295</v>
      </c>
      <c r="C12" s="177"/>
      <c r="D12" s="92" t="s">
        <v>291</v>
      </c>
      <c r="E12" s="16"/>
      <c r="G12" s="276"/>
      <c r="H12" s="276"/>
      <c r="I12" s="276"/>
      <c r="J12" s="276"/>
      <c r="K12" s="276"/>
    </row>
    <row r="13" spans="1:11" s="17" customFormat="1" ht="22.15" customHeight="1">
      <c r="B13" s="26" t="s">
        <v>296</v>
      </c>
      <c r="C13" s="179"/>
      <c r="D13" s="27" t="s">
        <v>74</v>
      </c>
      <c r="E13" s="16"/>
      <c r="G13" s="276"/>
      <c r="H13" s="276"/>
      <c r="I13" s="276"/>
      <c r="J13" s="276"/>
      <c r="K13" s="276"/>
    </row>
    <row r="14" spans="1:11" s="17" customFormat="1" ht="22.15" customHeight="1">
      <c r="B14" s="62" t="s">
        <v>299</v>
      </c>
      <c r="C14" s="180"/>
      <c r="D14" s="92" t="s">
        <v>96</v>
      </c>
      <c r="E14" s="16"/>
      <c r="G14" s="276"/>
      <c r="H14" s="276"/>
      <c r="I14" s="276"/>
      <c r="J14" s="276"/>
      <c r="K14" s="276"/>
    </row>
    <row r="15" spans="1:11" s="17" customFormat="1" ht="22.15" customHeight="1">
      <c r="B15" s="62" t="s">
        <v>298</v>
      </c>
      <c r="C15" s="177"/>
      <c r="D15" s="92" t="s">
        <v>297</v>
      </c>
      <c r="E15" s="16"/>
      <c r="G15" s="276"/>
      <c r="H15" s="276"/>
      <c r="I15" s="276"/>
      <c r="J15" s="276"/>
      <c r="K15" s="276"/>
    </row>
    <row r="16" spans="1:11" s="17" customFormat="1" ht="22.15" customHeight="1" thickBot="1">
      <c r="B16" s="28" t="s">
        <v>178</v>
      </c>
      <c r="C16" s="149"/>
      <c r="D16" s="29" t="s">
        <v>59</v>
      </c>
      <c r="E16" s="16"/>
      <c r="G16" s="276"/>
      <c r="H16" s="276"/>
      <c r="I16" s="276"/>
      <c r="J16" s="276"/>
      <c r="K16" s="276"/>
    </row>
    <row r="17" spans="1:11" s="17" customFormat="1" ht="21.75" customHeight="1" thickBot="1">
      <c r="B17" s="30"/>
      <c r="C17" s="30"/>
      <c r="D17" s="30"/>
      <c r="E17" s="16"/>
      <c r="G17" s="276"/>
      <c r="H17" s="276"/>
      <c r="I17" s="276"/>
      <c r="J17" s="276"/>
      <c r="K17" s="276"/>
    </row>
    <row r="18" spans="1:11" s="17" customFormat="1" ht="22.15" customHeight="1">
      <c r="B18" s="139" t="s">
        <v>29</v>
      </c>
      <c r="C18" s="164" t="str">
        <f>IFERROR(IF(C9="Agricultural",C15*(C10-C11)*C12*0.746*C13/(1714*C14),(C10-C11)*C12*0.746*C13/(1714*C14)),"")</f>
        <v/>
      </c>
      <c r="D18" s="141" t="s">
        <v>1</v>
      </c>
      <c r="E18" s="16"/>
      <c r="G18" s="276"/>
      <c r="H18" s="276"/>
      <c r="I18" s="276"/>
      <c r="J18" s="276"/>
      <c r="K18" s="276"/>
    </row>
    <row r="19" spans="1:11" s="17" customFormat="1" ht="22.15" customHeight="1">
      <c r="B19" s="155" t="s">
        <v>31</v>
      </c>
      <c r="C19" s="165">
        <f>IFERROR(IF(C9="Agricultural",C18*0.0026,0),"")</f>
        <v>0</v>
      </c>
      <c r="D19" s="171" t="s">
        <v>32</v>
      </c>
      <c r="E19" s="16"/>
      <c r="G19" s="276"/>
      <c r="H19" s="276"/>
      <c r="I19" s="276"/>
      <c r="J19" s="276"/>
      <c r="K19" s="276"/>
    </row>
    <row r="20" spans="1:11" s="17" customFormat="1" ht="22.15" customHeight="1" thickBot="1">
      <c r="B20" s="145" t="s">
        <v>30</v>
      </c>
      <c r="C20" s="154" t="str">
        <f>IF(OR(C9="",C11="",C12="",C13="",C14="",C16=""),"",C18*0.05)</f>
        <v/>
      </c>
      <c r="D20" s="147" t="s">
        <v>59</v>
      </c>
      <c r="E20" s="16"/>
      <c r="G20" s="276"/>
      <c r="H20" s="276"/>
      <c r="I20" s="276"/>
      <c r="J20" s="276"/>
      <c r="K20" s="276"/>
    </row>
    <row r="21" spans="1:11" s="17" customFormat="1" ht="22.15" customHeight="1">
      <c r="B21" s="13"/>
      <c r="C21" s="13"/>
      <c r="D21" s="13"/>
      <c r="E21" s="16"/>
      <c r="G21" s="276"/>
      <c r="H21" s="276"/>
      <c r="I21" s="276"/>
      <c r="J21" s="276"/>
      <c r="K21" s="276"/>
    </row>
    <row r="22" spans="1:11" s="17" customFormat="1" ht="22.15" customHeight="1">
      <c r="B22" s="52"/>
      <c r="C22" s="14"/>
      <c r="D22" s="14"/>
      <c r="E22" s="16"/>
      <c r="G22" s="276"/>
      <c r="H22" s="276"/>
      <c r="I22" s="276"/>
      <c r="J22" s="276"/>
      <c r="K22" s="276"/>
    </row>
    <row r="23" spans="1:11" s="13" customFormat="1" ht="21.75" customHeight="1">
      <c r="A23" s="17"/>
      <c r="B23" s="14"/>
      <c r="C23" s="14"/>
      <c r="D23" s="14"/>
      <c r="G23" s="276"/>
      <c r="H23" s="276"/>
      <c r="I23" s="276"/>
      <c r="J23" s="276"/>
      <c r="K23" s="276"/>
    </row>
    <row r="24" spans="1:11" ht="14.25">
      <c r="A24" s="17"/>
      <c r="G24" s="174"/>
      <c r="H24" s="174"/>
      <c r="I24" s="174"/>
      <c r="J24" s="174"/>
      <c r="K24" s="174"/>
    </row>
    <row r="25" spans="1:11" ht="14.25"/>
    <row r="26" spans="1:11" ht="14.25" hidden="1"/>
  </sheetData>
  <sheetProtection algorithmName="SHA-512" hashValue="71TxbpmAIJIctZVGRTPNbcV/T38+m50ZZ2iVWGBIUnFEZ1pOWfy1R85j8po+1jJFr1Otze/cq3gJR2GP9fHTbg==" saltValue="qvP3/MrJoDJ6DvXR5rM5Wg==" spinCount="100000" sheet="1" formatColumns="0"/>
  <mergeCells count="7">
    <mergeCell ref="C8:D8"/>
    <mergeCell ref="G4:K23"/>
    <mergeCell ref="B3:D3"/>
    <mergeCell ref="G3:I3"/>
    <mergeCell ref="B4:D4"/>
    <mergeCell ref="C6:D6"/>
    <mergeCell ref="C7:D7"/>
  </mergeCells>
  <dataValidations count="7">
    <dataValidation type="list" allowBlank="1" showInputMessage="1" showErrorMessage="1" sqref="C9" xr:uid="{C4009AAB-4219-457F-850E-EA1EE257723A}">
      <formula1>"Agricultural, Golf Course"</formula1>
    </dataValidation>
    <dataValidation allowBlank="1" showInputMessage="1" showErrorMessage="1" prompt="Enter new lower pressure in psi" sqref="C11" xr:uid="{C5452DDA-E239-4DBC-98C4-727FAA68DF44}"/>
    <dataValidation type="decimal" allowBlank="1" showInputMessage="1" showErrorMessage="1" prompt="Enter existing pump pressure in psi" sqref="C10" xr:uid="{73FC83BF-AC32-46F5-8425-F2192BF816EE}">
      <formula1>0</formula1>
      <formula2>5000</formula2>
    </dataValidation>
    <dataValidation allowBlank="1" showInputMessage="1" showErrorMessage="1" promptTitle="Flow rate" prompt="Input pump flow rate in GPM._x000a_ -For agricultural, enter GPM per acre._x000a_ -For golf courses, enter total GPM" sqref="C12" xr:uid="{11CA9A30-ABF6-48B6-A426-AC6061BC3CEF}"/>
    <dataValidation allowBlank="1" showInputMessage="1" showErrorMessage="1" prompt="Enter total hours of irrigation per year, on average." sqref="C13" xr:uid="{8B64163F-CAB3-4AC4-BC01-6EB8ABEFE15D}"/>
    <dataValidation allowBlank="1" showInputMessage="1" showErrorMessage="1" prompt="Use conservative default value of 0.956, if unknown" sqref="C14" xr:uid="{7DCDEC34-672D-419C-BF14-01F5D4A5CBCE}"/>
    <dataValidation allowBlank="1" showInputMessage="1" showErrorMessage="1" prompt="Required for agricultural only" sqref="C15" xr:uid="{D6D47985-087C-44EA-A8FF-95C1F3235459}"/>
  </dataValidations>
  <pageMargins left="0.5" right="0.5" top="0.5" bottom="0.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11B6-B135-417B-8D1C-95D201F56170}">
  <sheetPr codeName="Sheet4"/>
  <dimension ref="A1:AG9"/>
  <sheetViews>
    <sheetView zoomScale="90" zoomScaleNormal="90" workbookViewId="0">
      <selection activeCell="G9" sqref="G9"/>
    </sheetView>
  </sheetViews>
  <sheetFormatPr defaultRowHeight="14.25"/>
  <cols>
    <col min="1" max="1" width="8.5" customWidth="1"/>
    <col min="2" max="3" width="9" customWidth="1"/>
    <col min="4" max="4" width="15.5" customWidth="1"/>
    <col min="5" max="6" width="9" customWidth="1"/>
    <col min="7" max="7" width="9" style="258" customWidth="1"/>
    <col min="8" max="18" width="9" customWidth="1"/>
  </cols>
  <sheetData>
    <row r="1" spans="1:33" ht="57">
      <c r="A1" s="250"/>
      <c r="B1" s="251" t="s">
        <v>369</v>
      </c>
      <c r="C1" s="252" t="s">
        <v>370</v>
      </c>
      <c r="D1" s="251" t="s">
        <v>371</v>
      </c>
      <c r="E1" s="253" t="s">
        <v>30</v>
      </c>
      <c r="F1" s="253" t="s">
        <v>372</v>
      </c>
      <c r="G1" s="257" t="s">
        <v>373</v>
      </c>
      <c r="H1" s="254" t="s">
        <v>374</v>
      </c>
      <c r="I1" s="255" t="s">
        <v>375</v>
      </c>
      <c r="J1" s="259" t="s">
        <v>384</v>
      </c>
      <c r="K1" t="s">
        <v>116</v>
      </c>
      <c r="L1" s="259" t="s">
        <v>385</v>
      </c>
      <c r="M1" s="259" t="s">
        <v>386</v>
      </c>
      <c r="N1" s="259" t="s">
        <v>387</v>
      </c>
      <c r="O1" s="259" t="s">
        <v>388</v>
      </c>
      <c r="P1" s="259" t="s">
        <v>389</v>
      </c>
      <c r="Q1" s="259" t="s">
        <v>390</v>
      </c>
      <c r="R1" s="259" t="s">
        <v>391</v>
      </c>
      <c r="S1" s="259" t="s">
        <v>392</v>
      </c>
      <c r="T1" s="259" t="s">
        <v>393</v>
      </c>
      <c r="U1" s="259" t="s">
        <v>365</v>
      </c>
      <c r="V1" s="259" t="s">
        <v>394</v>
      </c>
      <c r="W1" s="259" t="s">
        <v>395</v>
      </c>
      <c r="X1" s="259" t="s">
        <v>396</v>
      </c>
      <c r="Y1" s="259" t="s">
        <v>397</v>
      </c>
      <c r="Z1" s="259" t="s">
        <v>398</v>
      </c>
      <c r="AA1" s="259" t="s">
        <v>399</v>
      </c>
      <c r="AB1" s="259" t="s">
        <v>400</v>
      </c>
      <c r="AC1" s="259" t="s">
        <v>401</v>
      </c>
      <c r="AD1" s="259" t="s">
        <v>402</v>
      </c>
      <c r="AE1" s="259" t="s">
        <v>403</v>
      </c>
      <c r="AF1" s="259" t="s">
        <v>404</v>
      </c>
      <c r="AG1" s="259" t="s">
        <v>405</v>
      </c>
    </row>
    <row r="2" spans="1:33">
      <c r="A2" t="s">
        <v>376</v>
      </c>
      <c r="B2">
        <v>1</v>
      </c>
      <c r="C2">
        <f>IF(Summary!$H$7="","",1)</f>
        <v>1</v>
      </c>
      <c r="E2" t="str">
        <f>Summary!I7</f>
        <v/>
      </c>
      <c r="F2" s="256" t="str">
        <f>IF(Summary!$C$5="","",Summary!$C$5)</f>
        <v/>
      </c>
      <c r="G2" s="258">
        <f>IF(Summary!H7="","",Summary!H7)</f>
        <v>0</v>
      </c>
      <c r="H2" s="258">
        <f>IF(Summary!G7="","",Summary!G7)</f>
        <v>0</v>
      </c>
      <c r="I2">
        <f>Summary!$I$2</f>
        <v>4</v>
      </c>
      <c r="P2">
        <f>'Auto Milker Takeoff Calculator'!C9</f>
        <v>0</v>
      </c>
    </row>
    <row r="3" spans="1:33">
      <c r="A3" t="s">
        <v>377</v>
      </c>
      <c r="B3">
        <v>2</v>
      </c>
      <c r="C3" t="str">
        <f>IF('Dairy Scroll Comp Calculator'!$C$9="","",'Dairy Scroll Comp Calculator'!$C$9)</f>
        <v/>
      </c>
      <c r="E3" t="str">
        <f>Summary!I8</f>
        <v/>
      </c>
      <c r="F3" s="256" t="str">
        <f>IF(Summary!$C$5="","",Summary!$C$5)</f>
        <v/>
      </c>
      <c r="G3" s="258">
        <f>IF(Summary!H8="","",Summary!H8)</f>
        <v>0</v>
      </c>
      <c r="H3" s="258">
        <f>IF(Summary!G8="","",Summary!G8)</f>
        <v>0</v>
      </c>
      <c r="I3">
        <f>Summary!$I$2</f>
        <v>4</v>
      </c>
      <c r="L3">
        <f>'Dairy Scroll Comp Calculator'!C10</f>
        <v>0</v>
      </c>
      <c r="M3">
        <f>'Dairy Scroll Comp Calculator'!C10</f>
        <v>0</v>
      </c>
      <c r="Q3">
        <f>'Dairy Scroll Comp Calculator'!C11</f>
        <v>0</v>
      </c>
    </row>
    <row r="4" spans="1:33">
      <c r="A4" t="s">
        <v>381</v>
      </c>
      <c r="B4">
        <v>6</v>
      </c>
      <c r="C4">
        <f>'Livestock Waterer Calculator'!C10</f>
        <v>0</v>
      </c>
      <c r="E4" t="str">
        <f>Summary!I9</f>
        <v/>
      </c>
      <c r="F4" s="256" t="str">
        <f>IF(Summary!$C$5="","",Summary!$C$5)</f>
        <v/>
      </c>
      <c r="G4" s="258">
        <f>IF(Summary!H9="","",Summary!H9)</f>
        <v>0</v>
      </c>
      <c r="H4" s="258">
        <f>IF(Summary!G9="","",Summary!G9)</f>
        <v>0</v>
      </c>
      <c r="I4">
        <f>Summary!$I$2</f>
        <v>4</v>
      </c>
      <c r="R4">
        <f>'Livestock Waterer Calculator'!C10</f>
        <v>0</v>
      </c>
    </row>
    <row r="5" spans="1:33">
      <c r="A5" t="s">
        <v>382</v>
      </c>
      <c r="B5">
        <v>7</v>
      </c>
      <c r="C5">
        <f>IF(Summary!$H$10="","",1)</f>
        <v>1</v>
      </c>
      <c r="E5" t="str">
        <f>Summary!I10</f>
        <v/>
      </c>
      <c r="F5" s="256" t="str">
        <f>IF(Summary!$C$5="","",Summary!$C$5)</f>
        <v/>
      </c>
      <c r="G5" s="258">
        <f>IF(Summary!H10="","",Summary!H10)</f>
        <v>0</v>
      </c>
      <c r="H5" s="258">
        <f>IF(Summary!G10="","",Summary!G10)</f>
        <v>0</v>
      </c>
      <c r="I5">
        <f>Summary!$I$2</f>
        <v>4</v>
      </c>
      <c r="J5">
        <f>'VSD Controller'!$C$9</f>
        <v>0</v>
      </c>
      <c r="O5">
        <f>'VSD Controller'!C11</f>
        <v>0</v>
      </c>
    </row>
    <row r="6" spans="1:33">
      <c r="A6" t="s">
        <v>378</v>
      </c>
      <c r="B6">
        <v>3</v>
      </c>
      <c r="C6">
        <f>'Hi Eff Vent Fans'!C12</f>
        <v>0</v>
      </c>
      <c r="E6" t="str">
        <f>Summary!I11</f>
        <v/>
      </c>
      <c r="F6" s="256" t="str">
        <f>IF(Summary!$C$5="","",Summary!$C$5)</f>
        <v/>
      </c>
      <c r="G6" s="258">
        <f>IF(Summary!H11="","",Summary!H11)</f>
        <v>0</v>
      </c>
      <c r="H6" s="258">
        <f>IF(Summary!G11="","",Summary!G11)</f>
        <v>0</v>
      </c>
      <c r="I6">
        <f>Summary!$I$2</f>
        <v>4</v>
      </c>
      <c r="K6">
        <f>'Hi Eff Vent Fans'!C13</f>
        <v>0</v>
      </c>
      <c r="X6" s="260">
        <f>'Hi Eff Vent Fans'!C15</f>
        <v>0</v>
      </c>
      <c r="AE6">
        <f>'Hi Eff Vent Fans'!C14</f>
        <v>0</v>
      </c>
      <c r="AF6">
        <f>'Hi Eff Vent Fans'!C10</f>
        <v>0</v>
      </c>
      <c r="AG6">
        <f>'Hi Eff Vent Fans'!C12</f>
        <v>0</v>
      </c>
    </row>
    <row r="7" spans="1:33">
      <c r="A7" t="s">
        <v>380</v>
      </c>
      <c r="B7">
        <v>5</v>
      </c>
      <c r="C7">
        <f>'Hi Vol Low Speed Fans'!C10</f>
        <v>0</v>
      </c>
      <c r="E7" t="str">
        <f>Summary!I12</f>
        <v/>
      </c>
      <c r="F7" s="256" t="str">
        <f>IF(Summary!$C$5="","",Summary!$C$5)</f>
        <v/>
      </c>
      <c r="G7" s="258">
        <f>IF(Summary!H12="","",Summary!H12)</f>
        <v>0</v>
      </c>
      <c r="H7" s="258">
        <f>IF(Summary!G12="","",Summary!G12)</f>
        <v>0</v>
      </c>
      <c r="I7">
        <f>Summary!$I$2</f>
        <v>4</v>
      </c>
      <c r="K7">
        <f>'Hi Vol Low Speed Fans'!C12</f>
        <v>0</v>
      </c>
      <c r="V7" t="e">
        <f>'Ag Measures Calcs'!G71</f>
        <v>#N/A</v>
      </c>
      <c r="W7" s="260" t="e">
        <f>'Ag Measures Calcs'!F71</f>
        <v>#N/A</v>
      </c>
    </row>
    <row r="8" spans="1:33">
      <c r="A8" t="s">
        <v>379</v>
      </c>
      <c r="B8">
        <v>4</v>
      </c>
      <c r="C8">
        <v>1</v>
      </c>
      <c r="E8" t="str">
        <f>Summary!I13</f>
        <v/>
      </c>
      <c r="F8" s="256" t="str">
        <f>IF(Summary!$C$5="","",Summary!$C$5)</f>
        <v/>
      </c>
      <c r="G8" s="258">
        <f>IF(Summary!H13="","",Summary!H13)</f>
        <v>0</v>
      </c>
      <c r="H8" s="258">
        <f>IF(Summary!G13="","",Summary!G13)</f>
        <v>0</v>
      </c>
      <c r="I8">
        <f>Summary!$I$2</f>
        <v>4</v>
      </c>
      <c r="Q8">
        <f>'Heat Reclaimers'!C10</f>
        <v>0</v>
      </c>
      <c r="T8">
        <f>'Heat Reclaimers'!C9</f>
        <v>0</v>
      </c>
      <c r="U8" t="e">
        <f>VLOOKUP('Heat Reclaimers'!C14,'Ag Measures Calcs'!Q74:R75,2,FALSE)</f>
        <v>#N/A</v>
      </c>
    </row>
    <row r="9" spans="1:33">
      <c r="A9" t="s">
        <v>383</v>
      </c>
      <c r="B9">
        <v>8</v>
      </c>
      <c r="C9" t="str">
        <f>IF(Summary!$H$14="","",1)</f>
        <v/>
      </c>
      <c r="E9" t="str">
        <f>Summary!I14</f>
        <v/>
      </c>
      <c r="F9" s="256" t="str">
        <f>IF(Summary!$C$5="","",Summary!$C$5)</f>
        <v/>
      </c>
      <c r="G9" s="258" t="str">
        <f>IF(Summary!H14="","",Summary!H14)</f>
        <v/>
      </c>
      <c r="H9" s="258">
        <f>IF(Summary!G14="","",Summary!G14)</f>
        <v>0</v>
      </c>
      <c r="I9">
        <f>Summary!$I$2</f>
        <v>4</v>
      </c>
      <c r="N9" s="246">
        <f>'Low Pressure Irrigation System'!C13</f>
        <v>0</v>
      </c>
      <c r="S9" s="246">
        <f>'Low Pressure Irrigation System'!C15</f>
        <v>0</v>
      </c>
      <c r="Y9" s="246">
        <f>'Low Pressure Irrigation System'!C10</f>
        <v>0</v>
      </c>
      <c r="Z9" s="246">
        <f>'Low Pressure Irrigation System'!C11</f>
        <v>0</v>
      </c>
      <c r="AA9" s="246">
        <f>'Low Pressure Irrigation System'!C12</f>
        <v>0</v>
      </c>
      <c r="AB9">
        <f>'Low Pressure Irrigation System'!C14</f>
        <v>0</v>
      </c>
      <c r="AC9" s="246">
        <f>'Low Pressure Irrigation System'!C13/365</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1241-6AAB-4B63-B351-687B880CAD14}">
  <sheetPr codeName="Sheet13"/>
  <dimension ref="A1:AZ128"/>
  <sheetViews>
    <sheetView topLeftCell="A45" zoomScale="70" zoomScaleNormal="70" workbookViewId="0">
      <selection activeCell="J72" sqref="J72"/>
    </sheetView>
  </sheetViews>
  <sheetFormatPr defaultRowHeight="14.25"/>
  <cols>
    <col min="2" max="2" width="61.875" bestFit="1" customWidth="1"/>
    <col min="3" max="3" width="11.75" bestFit="1" customWidth="1"/>
    <col min="4" max="4" width="16.125" bestFit="1" customWidth="1"/>
    <col min="5" max="5" width="55.375" bestFit="1" customWidth="1"/>
    <col min="6" max="6" width="22.125" bestFit="1" customWidth="1"/>
    <col min="8" max="8" width="12.625" customWidth="1"/>
    <col min="9" max="9" width="11.25" customWidth="1"/>
    <col min="10" max="10" width="11.625" customWidth="1"/>
    <col min="11" max="11" width="11.5" customWidth="1"/>
    <col min="12" max="12" width="12.625" customWidth="1"/>
    <col min="13" max="13" width="10.625" customWidth="1"/>
    <col min="15" max="15" width="12.875" customWidth="1"/>
    <col min="19" max="19" width="30.875" customWidth="1"/>
    <col min="44" max="44" width="15.25" customWidth="1"/>
  </cols>
  <sheetData>
    <row r="1" spans="1:51">
      <c r="A1" s="204"/>
      <c r="B1" s="125"/>
      <c r="C1" s="125"/>
      <c r="D1" s="125"/>
      <c r="E1" s="125"/>
      <c r="F1" s="125"/>
      <c r="G1" s="125"/>
      <c r="H1" s="125"/>
      <c r="I1" s="125"/>
      <c r="J1" s="125"/>
      <c r="K1" s="125"/>
      <c r="L1" s="125"/>
      <c r="M1" s="125"/>
      <c r="N1" s="125"/>
      <c r="O1" s="125"/>
      <c r="P1" s="125"/>
      <c r="Q1" s="125"/>
      <c r="R1" s="125"/>
      <c r="S1" s="125"/>
      <c r="T1" s="125"/>
      <c r="U1" s="125"/>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row>
    <row r="2" spans="1:51" ht="18.75" thickBot="1">
      <c r="A2" s="204"/>
      <c r="B2" s="205" t="s">
        <v>10</v>
      </c>
      <c r="C2" s="206"/>
      <c r="D2" s="205"/>
      <c r="E2" s="205" t="s">
        <v>73</v>
      </c>
      <c r="F2" s="205" t="s">
        <v>262</v>
      </c>
      <c r="G2" s="125"/>
      <c r="H2" s="125"/>
      <c r="I2" s="125"/>
      <c r="J2" s="243" t="s">
        <v>366</v>
      </c>
      <c r="K2" s="125" t="s">
        <v>184</v>
      </c>
      <c r="L2" s="125"/>
      <c r="M2" s="125"/>
      <c r="N2" s="125"/>
      <c r="O2" s="125"/>
      <c r="P2" s="125"/>
      <c r="Q2" s="125"/>
      <c r="R2" s="125"/>
      <c r="S2" s="125"/>
      <c r="T2" s="125"/>
      <c r="U2" s="125"/>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row>
    <row r="3" spans="1:51" ht="15" thickBot="1">
      <c r="A3" s="204"/>
      <c r="B3" s="35" t="s">
        <v>69</v>
      </c>
      <c r="C3" s="35">
        <f>'Dairy Scroll Comp Calculator'!C9</f>
        <v>0</v>
      </c>
      <c r="D3" s="35" t="s">
        <v>68</v>
      </c>
      <c r="E3" s="221" t="s">
        <v>342</v>
      </c>
      <c r="F3" s="35" t="s">
        <v>275</v>
      </c>
      <c r="G3" s="125"/>
      <c r="H3" s="233"/>
      <c r="I3" s="234"/>
      <c r="J3" s="243" t="s">
        <v>366</v>
      </c>
      <c r="K3" s="125" t="s">
        <v>185</v>
      </c>
      <c r="L3" s="235"/>
      <c r="M3" s="235"/>
      <c r="N3" s="235"/>
      <c r="O3" s="235"/>
      <c r="P3" s="235"/>
      <c r="Q3" s="235"/>
      <c r="R3" s="235"/>
      <c r="S3" s="235"/>
      <c r="T3" s="125"/>
      <c r="U3" s="125"/>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row>
    <row r="4" spans="1:51" ht="15" thickBot="1">
      <c r="A4" s="204"/>
      <c r="B4" s="35" t="s">
        <v>54</v>
      </c>
      <c r="C4" s="35">
        <f>'Dairy Scroll Comp Calculator'!C10</f>
        <v>0</v>
      </c>
      <c r="D4" s="35" t="s">
        <v>39</v>
      </c>
      <c r="E4" s="222" t="s">
        <v>343</v>
      </c>
      <c r="F4" s="35" t="s">
        <v>276</v>
      </c>
      <c r="G4" s="125"/>
      <c r="H4" s="125"/>
      <c r="I4" s="125"/>
      <c r="J4" s="243" t="s">
        <v>366</v>
      </c>
      <c r="K4" s="125" t="s">
        <v>188</v>
      </c>
      <c r="L4" s="235"/>
      <c r="M4" s="235"/>
      <c r="N4" s="235"/>
      <c r="O4" s="235"/>
      <c r="P4" s="235"/>
      <c r="Q4" s="235"/>
      <c r="R4" s="235"/>
      <c r="S4" s="235"/>
      <c r="T4" s="125"/>
      <c r="U4" s="125"/>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row>
    <row r="5" spans="1:51" ht="15" thickBot="1">
      <c r="A5" s="204"/>
      <c r="B5" s="35" t="s">
        <v>42</v>
      </c>
      <c r="C5" s="35">
        <f>'Dairy Scroll Comp Calculator'!C11</f>
        <v>0</v>
      </c>
      <c r="D5" s="35" t="s">
        <v>27</v>
      </c>
      <c r="E5" s="222" t="s">
        <v>344</v>
      </c>
      <c r="F5" s="35" t="s">
        <v>277</v>
      </c>
      <c r="G5" s="125"/>
      <c r="H5" s="125"/>
      <c r="I5" s="125"/>
      <c r="J5" s="243" t="s">
        <v>366</v>
      </c>
      <c r="K5" s="125" t="s">
        <v>282</v>
      </c>
      <c r="L5" s="235"/>
      <c r="M5" s="235"/>
      <c r="N5" s="235"/>
      <c r="O5" s="235"/>
      <c r="P5" s="235"/>
      <c r="Q5" s="235"/>
      <c r="R5" s="235"/>
      <c r="S5" s="235"/>
      <c r="T5" s="125"/>
      <c r="U5" s="125"/>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row>
    <row r="6" spans="1:51" ht="15" thickBot="1">
      <c r="A6" s="204"/>
      <c r="B6" s="35" t="s">
        <v>65</v>
      </c>
      <c r="C6" s="35">
        <f>'Dairy Scroll Comp Calculator'!C12</f>
        <v>0</v>
      </c>
      <c r="D6" s="35" t="s">
        <v>57</v>
      </c>
      <c r="E6" s="223" t="s">
        <v>345</v>
      </c>
      <c r="F6" s="35" t="s">
        <v>278</v>
      </c>
      <c r="G6" s="125"/>
      <c r="H6" s="125"/>
      <c r="I6" s="125"/>
      <c r="J6" s="243" t="s">
        <v>366</v>
      </c>
      <c r="K6" s="125" t="s">
        <v>156</v>
      </c>
      <c r="L6" s="235"/>
      <c r="M6" s="235"/>
      <c r="N6" s="235"/>
      <c r="O6" s="235"/>
      <c r="P6" s="235"/>
      <c r="Q6" s="235"/>
      <c r="R6" s="235"/>
      <c r="S6" s="235"/>
      <c r="T6" s="125"/>
      <c r="U6" s="125"/>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row>
    <row r="7" spans="1:51" ht="15" thickBot="1">
      <c r="A7" s="204"/>
      <c r="B7" s="35" t="s">
        <v>89</v>
      </c>
      <c r="C7" s="35">
        <f>'Livestock Waterer Calculator'!C10</f>
        <v>0</v>
      </c>
      <c r="D7" s="35" t="s">
        <v>68</v>
      </c>
      <c r="E7" s="222" t="s">
        <v>346</v>
      </c>
      <c r="F7" s="35" t="s">
        <v>279</v>
      </c>
      <c r="G7" s="125"/>
      <c r="H7" s="125"/>
      <c r="I7" s="125"/>
      <c r="J7" s="243" t="s">
        <v>366</v>
      </c>
      <c r="K7" s="125" t="s">
        <v>358</v>
      </c>
      <c r="L7" s="125"/>
      <c r="M7" s="125"/>
      <c r="N7" s="125"/>
      <c r="O7" s="125"/>
      <c r="P7" s="125"/>
      <c r="Q7" s="125"/>
      <c r="R7" s="125"/>
      <c r="S7" s="125"/>
      <c r="T7" s="125"/>
      <c r="U7" s="125"/>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row>
    <row r="8" spans="1:51" ht="15" thickBot="1">
      <c r="A8" s="204"/>
      <c r="B8" s="35" t="s">
        <v>90</v>
      </c>
      <c r="C8" s="35">
        <f>'Livestock Waterer Calculator'!C11</f>
        <v>0</v>
      </c>
      <c r="D8" s="35" t="s">
        <v>77</v>
      </c>
      <c r="E8" s="222" t="s">
        <v>347</v>
      </c>
      <c r="F8" s="35" t="s">
        <v>280</v>
      </c>
      <c r="G8" s="125"/>
      <c r="H8" s="125"/>
      <c r="I8" s="125"/>
      <c r="J8" s="243" t="s">
        <v>366</v>
      </c>
      <c r="K8" s="125" t="s">
        <v>359</v>
      </c>
      <c r="L8" s="125"/>
      <c r="M8" s="125"/>
      <c r="N8" s="125"/>
      <c r="O8" s="125"/>
      <c r="P8" s="125"/>
      <c r="Q8" s="125"/>
      <c r="R8" s="125"/>
      <c r="S8" s="125"/>
      <c r="T8" s="125"/>
      <c r="U8" s="125"/>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row>
    <row r="9" spans="1:51" ht="15" thickBot="1">
      <c r="A9" s="204"/>
      <c r="B9" s="35" t="s">
        <v>94</v>
      </c>
      <c r="C9" s="35">
        <f>'VSD Controller'!C9</f>
        <v>0</v>
      </c>
      <c r="D9" s="35" t="s">
        <v>92</v>
      </c>
      <c r="E9" s="222" t="s">
        <v>348</v>
      </c>
      <c r="F9" s="35" t="s">
        <v>281</v>
      </c>
      <c r="G9" s="125"/>
      <c r="H9" s="125"/>
      <c r="I9" s="125"/>
      <c r="J9" s="243"/>
      <c r="K9" s="125" t="s">
        <v>300</v>
      </c>
      <c r="L9" s="125"/>
      <c r="M9" s="125"/>
      <c r="N9" s="125"/>
      <c r="O9" s="125"/>
      <c r="P9" s="125"/>
      <c r="Q9" s="125"/>
      <c r="R9" s="125"/>
      <c r="S9" s="125"/>
      <c r="T9" s="125"/>
      <c r="U9" s="125"/>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row>
    <row r="10" spans="1:51" ht="15" thickBot="1">
      <c r="A10" s="204"/>
      <c r="B10" s="35" t="s">
        <v>95</v>
      </c>
      <c r="C10" s="85">
        <f>'VSD Controller'!C10</f>
        <v>0</v>
      </c>
      <c r="D10" s="35" t="s">
        <v>87</v>
      </c>
      <c r="E10" s="222" t="s">
        <v>349</v>
      </c>
      <c r="F10" s="125"/>
      <c r="G10" s="125"/>
      <c r="H10" s="125"/>
      <c r="I10" s="125"/>
      <c r="J10" s="125"/>
      <c r="K10" s="125"/>
      <c r="L10" s="125"/>
      <c r="M10" s="125"/>
      <c r="N10" s="125"/>
      <c r="O10" s="125"/>
      <c r="P10" s="125"/>
      <c r="Q10" s="125"/>
      <c r="R10" s="125"/>
      <c r="S10" s="125"/>
      <c r="T10" s="125"/>
      <c r="U10" s="125"/>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row>
    <row r="11" spans="1:51" ht="15" thickBot="1">
      <c r="A11" s="204"/>
      <c r="B11" s="35" t="s">
        <v>98</v>
      </c>
      <c r="C11" s="88">
        <f>'VSD Controller'!C11</f>
        <v>0</v>
      </c>
      <c r="D11" s="35" t="s">
        <v>74</v>
      </c>
      <c r="E11" s="222" t="s">
        <v>350</v>
      </c>
      <c r="F11" s="125"/>
      <c r="G11" s="125"/>
      <c r="H11" s="125"/>
      <c r="I11" s="125"/>
      <c r="J11" s="125"/>
      <c r="K11" s="125"/>
      <c r="L11" s="125"/>
      <c r="M11" s="125"/>
      <c r="N11" s="125"/>
      <c r="O11" s="125"/>
      <c r="P11" s="125"/>
      <c r="Q11" s="125"/>
      <c r="R11" s="125"/>
      <c r="S11" s="125"/>
      <c r="T11" s="125"/>
      <c r="U11" s="125"/>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row>
    <row r="12" spans="1:51">
      <c r="A12" s="204"/>
      <c r="B12" s="35" t="s">
        <v>99</v>
      </c>
      <c r="C12" s="88">
        <f>'VSD Controller'!C12</f>
        <v>0</v>
      </c>
      <c r="D12" s="35" t="s">
        <v>41</v>
      </c>
      <c r="E12" s="125"/>
      <c r="F12" s="125"/>
      <c r="G12" s="125"/>
      <c r="H12" s="125"/>
      <c r="I12" s="125"/>
      <c r="J12" s="125"/>
      <c r="K12" s="125"/>
      <c r="L12" s="125"/>
      <c r="M12" s="125"/>
      <c r="N12" s="125"/>
      <c r="O12" s="125"/>
      <c r="P12" s="125"/>
      <c r="Q12" s="125"/>
      <c r="R12" s="125"/>
      <c r="S12" s="125"/>
      <c r="T12" s="125"/>
      <c r="U12" s="125"/>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row>
    <row r="13" spans="1:51">
      <c r="A13" s="204"/>
      <c r="B13" s="35" t="s">
        <v>145</v>
      </c>
      <c r="C13" s="88">
        <f>'Hi Eff Vent Fans'!C10</f>
        <v>0</v>
      </c>
      <c r="D13" s="35" t="s">
        <v>68</v>
      </c>
      <c r="E13" s="125"/>
      <c r="F13" s="125"/>
      <c r="G13" s="125"/>
      <c r="H13" s="125"/>
      <c r="I13" s="125"/>
      <c r="J13" s="125"/>
      <c r="K13" s="125"/>
      <c r="L13" s="125"/>
      <c r="M13" s="125"/>
      <c r="N13" s="125"/>
      <c r="O13" s="125"/>
      <c r="P13" s="125"/>
      <c r="Q13" s="125"/>
      <c r="R13" s="125"/>
      <c r="S13" s="125"/>
      <c r="T13" s="125"/>
      <c r="U13" s="125"/>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row>
    <row r="14" spans="1:51">
      <c r="A14" s="204"/>
      <c r="B14" s="35" t="s">
        <v>246</v>
      </c>
      <c r="C14" s="88">
        <f>'Hi Eff Vent Fans'!C11</f>
        <v>0</v>
      </c>
      <c r="D14" s="35" t="s">
        <v>116</v>
      </c>
      <c r="E14" s="125"/>
      <c r="F14" s="125"/>
      <c r="G14" s="125"/>
      <c r="H14" s="125"/>
      <c r="I14" s="125"/>
      <c r="J14" s="125"/>
      <c r="K14" s="125"/>
      <c r="L14" s="125"/>
      <c r="M14" s="125"/>
      <c r="N14" s="125"/>
      <c r="O14" s="125"/>
      <c r="P14" s="125"/>
      <c r="Q14" s="125"/>
      <c r="R14" s="125"/>
      <c r="S14" s="125"/>
      <c r="T14" s="125"/>
      <c r="U14" s="125"/>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row>
    <row r="15" spans="1:51">
      <c r="A15" s="204"/>
      <c r="B15" s="35" t="s">
        <v>146</v>
      </c>
      <c r="C15" s="88">
        <f>'Hi Eff Vent Fans'!C12</f>
        <v>0</v>
      </c>
      <c r="D15" s="35" t="s">
        <v>68</v>
      </c>
      <c r="E15" s="125"/>
      <c r="F15" s="125"/>
      <c r="G15" s="125"/>
      <c r="H15" s="125"/>
      <c r="I15" s="125"/>
      <c r="J15" s="125"/>
      <c r="K15" s="125"/>
      <c r="L15" s="125"/>
      <c r="M15" s="125"/>
      <c r="N15" s="125"/>
      <c r="O15" s="125"/>
      <c r="P15" s="125"/>
      <c r="Q15" s="125"/>
      <c r="R15" s="125"/>
      <c r="S15" s="125"/>
      <c r="T15" s="125"/>
      <c r="U15" s="125"/>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row>
    <row r="16" spans="1:51">
      <c r="A16" s="204"/>
      <c r="B16" s="35" t="s">
        <v>247</v>
      </c>
      <c r="C16" s="88">
        <f>'Hi Eff Vent Fans'!C13</f>
        <v>0</v>
      </c>
      <c r="D16" s="35" t="s">
        <v>116</v>
      </c>
      <c r="E16" s="125"/>
      <c r="F16" s="125"/>
      <c r="G16" s="125"/>
      <c r="H16" s="125"/>
      <c r="I16" s="125"/>
      <c r="J16" s="125"/>
      <c r="K16" s="125"/>
      <c r="L16" s="125"/>
      <c r="M16" s="125"/>
      <c r="N16" s="125"/>
      <c r="O16" s="125"/>
      <c r="P16" s="125"/>
      <c r="Q16" s="125"/>
      <c r="R16" s="125"/>
      <c r="S16" s="125"/>
      <c r="T16" s="125"/>
      <c r="U16" s="125"/>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row>
    <row r="17" spans="1:51">
      <c r="A17" s="204"/>
      <c r="B17" s="35" t="s">
        <v>243</v>
      </c>
      <c r="C17" s="88">
        <f>'Hi Eff Vent Fans'!$C$14</f>
        <v>0</v>
      </c>
      <c r="D17" s="35" t="s">
        <v>242</v>
      </c>
      <c r="E17" s="125"/>
      <c r="F17" s="125"/>
      <c r="G17" s="125"/>
      <c r="H17" s="125"/>
      <c r="I17" s="125"/>
      <c r="J17" s="125"/>
      <c r="K17" s="125"/>
      <c r="L17" s="125"/>
      <c r="M17" s="125"/>
      <c r="N17" s="125"/>
      <c r="O17" s="125"/>
      <c r="P17" s="125"/>
      <c r="Q17" s="125"/>
      <c r="R17" s="125"/>
      <c r="S17" s="125"/>
      <c r="T17" s="125"/>
      <c r="U17" s="125"/>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row>
    <row r="18" spans="1:51">
      <c r="A18" s="204"/>
      <c r="B18" s="35" t="s">
        <v>148</v>
      </c>
      <c r="C18" s="88">
        <f>'Hi Eff Vent Fans'!C15</f>
        <v>0</v>
      </c>
      <c r="D18" s="35" t="s">
        <v>144</v>
      </c>
      <c r="E18" s="125"/>
      <c r="F18" s="125"/>
      <c r="G18" s="125"/>
      <c r="H18" s="125"/>
      <c r="I18" s="125"/>
      <c r="J18" s="125"/>
      <c r="K18" s="125"/>
      <c r="L18" s="125"/>
      <c r="M18" s="125"/>
      <c r="N18" s="125"/>
      <c r="O18" s="125"/>
      <c r="P18" s="125"/>
      <c r="Q18" s="125"/>
      <c r="R18" s="125"/>
      <c r="S18" s="125"/>
      <c r="T18" s="125"/>
      <c r="U18" s="125"/>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row>
    <row r="19" spans="1:51">
      <c r="A19" s="204"/>
      <c r="B19" s="35" t="s">
        <v>149</v>
      </c>
      <c r="C19" s="88">
        <f>Summary!$C$8</f>
        <v>0</v>
      </c>
      <c r="D19" s="35" t="s">
        <v>77</v>
      </c>
      <c r="E19" s="125"/>
      <c r="F19" s="125"/>
      <c r="G19" s="125"/>
      <c r="H19" s="125"/>
      <c r="I19" s="125"/>
      <c r="J19" s="125"/>
      <c r="K19" s="125"/>
      <c r="L19" s="125"/>
      <c r="M19" s="125"/>
      <c r="N19" s="125"/>
      <c r="O19" s="125"/>
      <c r="P19" s="125"/>
      <c r="Q19" s="125"/>
      <c r="R19" s="125"/>
      <c r="S19" s="125"/>
      <c r="T19" s="125"/>
      <c r="U19" s="125"/>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row>
    <row r="20" spans="1:51">
      <c r="A20" s="204"/>
      <c r="B20" s="35" t="s">
        <v>233</v>
      </c>
      <c r="C20" s="88">
        <f>'Hi Vol Low Speed Fans'!C9</f>
        <v>0</v>
      </c>
      <c r="D20" s="35" t="s">
        <v>68</v>
      </c>
      <c r="E20" s="125"/>
      <c r="F20" s="125"/>
      <c r="G20" s="125"/>
      <c r="H20" s="125"/>
      <c r="I20" s="125"/>
      <c r="J20" s="125"/>
      <c r="K20" s="125"/>
      <c r="L20" s="125"/>
      <c r="M20" s="125"/>
      <c r="N20" s="125"/>
      <c r="O20" s="125"/>
      <c r="P20" s="125"/>
      <c r="Q20" s="125"/>
      <c r="R20" s="125"/>
      <c r="S20" s="125"/>
      <c r="T20" s="125"/>
      <c r="U20" s="125"/>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row>
    <row r="21" spans="1:51">
      <c r="A21" s="204"/>
      <c r="B21" s="35" t="s">
        <v>170</v>
      </c>
      <c r="C21" s="88">
        <f>'Hi Vol Low Speed Fans'!C10</f>
        <v>0</v>
      </c>
      <c r="D21" s="35" t="s">
        <v>68</v>
      </c>
      <c r="E21" s="125"/>
      <c r="F21" s="125"/>
      <c r="G21" s="125"/>
      <c r="H21" s="125"/>
      <c r="I21" s="125"/>
      <c r="J21" s="125"/>
      <c r="K21" s="125"/>
      <c r="L21" s="125"/>
      <c r="M21" s="125"/>
      <c r="N21" s="125"/>
      <c r="O21" s="125"/>
      <c r="P21" s="125"/>
      <c r="Q21" s="125"/>
      <c r="R21" s="125"/>
      <c r="S21" s="125"/>
      <c r="T21" s="125"/>
      <c r="U21" s="125"/>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row>
    <row r="22" spans="1:51">
      <c r="A22" s="204"/>
      <c r="B22" s="35" t="s">
        <v>234</v>
      </c>
      <c r="C22" s="88">
        <f>'Hi Vol Low Speed Fans'!C11</f>
        <v>0</v>
      </c>
      <c r="D22" s="35" t="s">
        <v>168</v>
      </c>
      <c r="E22" s="125"/>
      <c r="F22" s="125"/>
      <c r="G22" s="125"/>
      <c r="H22" s="125"/>
      <c r="I22" s="125"/>
      <c r="J22" s="125"/>
      <c r="K22" s="125"/>
      <c r="L22" s="125"/>
      <c r="M22" s="125"/>
      <c r="N22" s="125"/>
      <c r="O22" s="125"/>
      <c r="P22" s="125"/>
      <c r="Q22" s="125"/>
      <c r="R22" s="125"/>
      <c r="S22" s="125"/>
      <c r="T22" s="125"/>
      <c r="U22" s="125"/>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row>
    <row r="23" spans="1:51">
      <c r="A23" s="204"/>
      <c r="B23" s="35" t="s">
        <v>171</v>
      </c>
      <c r="C23" s="88">
        <f>'Hi Vol Low Speed Fans'!C12</f>
        <v>0</v>
      </c>
      <c r="D23" s="35" t="s">
        <v>168</v>
      </c>
      <c r="E23" s="125"/>
      <c r="F23" s="125"/>
      <c r="G23" s="125"/>
      <c r="H23" s="125"/>
      <c r="I23" s="125"/>
      <c r="J23" s="125"/>
      <c r="K23" s="125"/>
      <c r="L23" s="125"/>
      <c r="M23" s="125"/>
      <c r="N23" s="125"/>
      <c r="O23" s="125"/>
      <c r="P23" s="125"/>
      <c r="Q23" s="125"/>
      <c r="R23" s="125"/>
      <c r="S23" s="125"/>
      <c r="T23" s="125"/>
      <c r="U23" s="125"/>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row>
    <row r="24" spans="1:51">
      <c r="A24" s="204"/>
      <c r="B24" s="35" t="s">
        <v>172</v>
      </c>
      <c r="C24" s="88">
        <f>Summary!$C$8</f>
        <v>0</v>
      </c>
      <c r="D24" s="35" t="s">
        <v>77</v>
      </c>
      <c r="E24" s="125"/>
      <c r="F24" s="125"/>
      <c r="G24" s="125"/>
      <c r="H24" s="125"/>
      <c r="I24" s="125"/>
      <c r="J24" s="125"/>
      <c r="K24" s="125"/>
      <c r="L24" s="125"/>
      <c r="M24" s="125"/>
      <c r="N24" s="125"/>
      <c r="O24" s="125"/>
      <c r="P24" s="125"/>
      <c r="Q24" s="125"/>
      <c r="R24" s="125"/>
      <c r="S24" s="125"/>
      <c r="T24" s="125"/>
      <c r="U24" s="125"/>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row>
    <row r="25" spans="1:51">
      <c r="A25" s="204"/>
      <c r="B25" s="125"/>
      <c r="C25" s="206"/>
      <c r="D25" s="125"/>
      <c r="E25" s="125"/>
      <c r="F25" s="125"/>
      <c r="G25" s="125"/>
      <c r="H25" s="125"/>
      <c r="I25" s="125"/>
      <c r="J25" s="125"/>
      <c r="K25" s="125"/>
      <c r="L25" s="125"/>
      <c r="M25" s="125"/>
      <c r="N25" s="125"/>
      <c r="O25" s="125"/>
      <c r="P25" s="125"/>
      <c r="Q25" s="125"/>
      <c r="R25" s="125"/>
      <c r="S25" s="125"/>
      <c r="T25" s="125"/>
      <c r="U25" s="125"/>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row>
    <row r="26" spans="1:51">
      <c r="A26" s="204"/>
      <c r="B26" s="125"/>
      <c r="C26" s="125"/>
      <c r="D26" s="125"/>
      <c r="E26" s="125"/>
      <c r="F26" s="125"/>
      <c r="G26" s="125"/>
      <c r="H26" s="125"/>
      <c r="I26" s="125"/>
      <c r="J26" s="125"/>
      <c r="K26" s="125"/>
      <c r="L26" s="125"/>
      <c r="M26" s="125"/>
      <c r="N26" s="125"/>
      <c r="O26" s="125"/>
      <c r="P26" s="125"/>
      <c r="Q26" s="125"/>
      <c r="R26" s="125"/>
      <c r="S26" s="125"/>
      <c r="T26" s="125"/>
      <c r="U26" s="125"/>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row>
    <row r="27" spans="1:51" ht="18">
      <c r="A27" s="204"/>
      <c r="B27" s="205" t="s">
        <v>9</v>
      </c>
      <c r="C27" s="125"/>
      <c r="D27" s="125"/>
      <c r="E27" s="125"/>
      <c r="F27" s="125"/>
      <c r="G27" s="125"/>
      <c r="H27" s="125"/>
      <c r="I27" s="125"/>
      <c r="J27" s="125"/>
      <c r="K27" s="125"/>
      <c r="L27" s="125"/>
      <c r="M27" s="125"/>
      <c r="N27" s="125"/>
      <c r="O27" s="125"/>
      <c r="P27" s="125"/>
      <c r="Q27" s="125"/>
      <c r="R27" s="125"/>
      <c r="S27" s="125"/>
      <c r="T27" s="125"/>
      <c r="U27" s="125"/>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row>
    <row r="28" spans="1:51">
      <c r="A28" s="204"/>
      <c r="B28" s="35" t="s">
        <v>44</v>
      </c>
      <c r="C28" s="35">
        <v>1.7000000000000001E-4</v>
      </c>
      <c r="D28" s="35" t="s">
        <v>43</v>
      </c>
      <c r="E28" s="125"/>
      <c r="F28" s="125"/>
      <c r="G28" s="125"/>
      <c r="H28" s="125"/>
      <c r="I28" s="125"/>
      <c r="J28" s="125"/>
      <c r="K28" s="125"/>
      <c r="L28" s="125"/>
      <c r="M28" s="125"/>
      <c r="N28" s="125"/>
      <c r="O28" s="125"/>
      <c r="P28" s="125"/>
      <c r="Q28" s="125"/>
      <c r="R28" s="125"/>
      <c r="S28" s="125"/>
      <c r="T28" s="125"/>
      <c r="U28" s="125"/>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row>
    <row r="29" spans="1:51">
      <c r="A29" s="204"/>
      <c r="B29" s="35" t="s">
        <v>38</v>
      </c>
      <c r="C29" s="35">
        <v>5.85</v>
      </c>
      <c r="D29" s="35" t="s">
        <v>39</v>
      </c>
      <c r="E29" s="125"/>
      <c r="F29" s="125"/>
      <c r="G29" s="125"/>
      <c r="H29" s="125"/>
      <c r="I29" s="125"/>
      <c r="J29" s="125"/>
      <c r="K29" s="125"/>
      <c r="L29" s="125"/>
      <c r="M29" s="125"/>
      <c r="N29" s="125"/>
      <c r="O29" s="125"/>
      <c r="P29" s="125"/>
      <c r="Q29" s="125"/>
      <c r="R29" s="125"/>
      <c r="S29" s="125"/>
      <c r="T29" s="125"/>
      <c r="U29" s="125"/>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row>
    <row r="30" spans="1:51">
      <c r="A30" s="204"/>
      <c r="B30" s="35" t="s">
        <v>40</v>
      </c>
      <c r="C30" s="35">
        <v>365</v>
      </c>
      <c r="D30" s="35" t="s">
        <v>41</v>
      </c>
      <c r="E30" s="125"/>
      <c r="F30" s="125"/>
      <c r="G30" s="125"/>
      <c r="H30" s="125"/>
      <c r="I30" s="125"/>
      <c r="J30" s="125"/>
      <c r="K30" s="125"/>
      <c r="L30" s="125"/>
      <c r="M30" s="125"/>
      <c r="N30" s="125"/>
      <c r="O30" s="125"/>
      <c r="P30" s="125"/>
      <c r="Q30" s="125"/>
      <c r="R30" s="125"/>
      <c r="S30" s="125"/>
      <c r="T30" s="125"/>
      <c r="U30" s="125"/>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row>
    <row r="31" spans="1:51">
      <c r="A31" s="204"/>
      <c r="B31" s="35" t="s">
        <v>63</v>
      </c>
      <c r="C31" s="89">
        <f>1/1000</f>
        <v>1E-3</v>
      </c>
      <c r="D31" s="36" t="s">
        <v>64</v>
      </c>
      <c r="E31" s="125"/>
      <c r="F31" s="125"/>
      <c r="G31" s="125"/>
      <c r="H31" s="125"/>
      <c r="I31" s="125"/>
      <c r="J31" s="125"/>
      <c r="K31" s="125"/>
      <c r="L31" s="125"/>
      <c r="M31" s="125"/>
      <c r="N31" s="125"/>
      <c r="O31" s="125"/>
      <c r="P31" s="125"/>
      <c r="Q31" s="125"/>
      <c r="R31" s="125"/>
      <c r="S31" s="125"/>
      <c r="T31" s="125"/>
      <c r="U31" s="125"/>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row>
    <row r="32" spans="1:51">
      <c r="A32" s="204"/>
      <c r="B32" s="35" t="s">
        <v>58</v>
      </c>
      <c r="C32" s="63">
        <v>1000</v>
      </c>
      <c r="D32" s="35" t="s">
        <v>59</v>
      </c>
      <c r="E32" s="125"/>
      <c r="F32" s="125"/>
      <c r="G32" s="125"/>
      <c r="H32" s="125"/>
      <c r="I32" s="125"/>
      <c r="J32" s="125"/>
      <c r="K32" s="125"/>
      <c r="L32" s="125"/>
      <c r="M32" s="125"/>
      <c r="N32" s="125"/>
      <c r="O32" s="125"/>
      <c r="P32" s="125"/>
      <c r="Q32" s="125"/>
      <c r="R32" s="125"/>
      <c r="S32" s="125"/>
      <c r="T32" s="125"/>
      <c r="U32" s="125"/>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row>
    <row r="33" spans="1:52">
      <c r="A33" s="204"/>
      <c r="B33" s="35" t="s">
        <v>83</v>
      </c>
      <c r="C33" s="71">
        <v>0.5</v>
      </c>
      <c r="D33" s="35" t="s">
        <v>86</v>
      </c>
      <c r="E33" s="125"/>
      <c r="F33" s="125"/>
      <c r="G33" s="125"/>
      <c r="H33" s="125"/>
      <c r="I33" s="125"/>
      <c r="J33" s="125"/>
      <c r="K33" s="125"/>
      <c r="L33" s="125"/>
      <c r="M33" s="125"/>
      <c r="N33" s="125"/>
      <c r="O33" s="125"/>
      <c r="P33" s="125"/>
      <c r="Q33" s="125"/>
      <c r="R33" s="125"/>
      <c r="S33" s="125"/>
      <c r="T33" s="125"/>
      <c r="U33" s="125"/>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row>
    <row r="34" spans="1:52">
      <c r="A34" s="204"/>
      <c r="B34" s="35" t="s">
        <v>84</v>
      </c>
      <c r="C34" s="85">
        <v>0.8</v>
      </c>
      <c r="D34" s="35" t="s">
        <v>88</v>
      </c>
      <c r="E34" s="125"/>
      <c r="F34" s="125"/>
      <c r="G34" s="125"/>
      <c r="H34" s="125"/>
      <c r="I34" s="125"/>
      <c r="J34" s="125"/>
      <c r="K34" s="125"/>
      <c r="L34" s="125"/>
      <c r="M34" s="125"/>
      <c r="N34" s="125"/>
      <c r="O34" s="125"/>
      <c r="P34" s="125"/>
      <c r="Q34" s="125"/>
      <c r="R34" s="125"/>
      <c r="S34" s="125"/>
      <c r="T34" s="125"/>
      <c r="U34" s="125"/>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row>
    <row r="35" spans="1:52">
      <c r="A35" s="204"/>
      <c r="B35" s="35" t="s">
        <v>85</v>
      </c>
      <c r="C35" s="63">
        <v>80</v>
      </c>
      <c r="D35" s="35" t="s">
        <v>59</v>
      </c>
      <c r="E35" s="125"/>
      <c r="F35" s="125"/>
      <c r="G35" s="125"/>
      <c r="H35" s="125"/>
      <c r="I35" s="125"/>
      <c r="J35" s="125"/>
      <c r="K35" s="125"/>
      <c r="L35" s="125"/>
      <c r="M35" s="125"/>
      <c r="N35" s="125"/>
      <c r="O35" s="125"/>
      <c r="P35" s="125"/>
      <c r="Q35" s="125"/>
      <c r="R35" s="125"/>
      <c r="S35" s="125"/>
      <c r="T35" s="125"/>
      <c r="U35" s="125"/>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row>
    <row r="36" spans="1:52">
      <c r="A36" s="204"/>
      <c r="B36" s="35" t="s">
        <v>101</v>
      </c>
      <c r="C36" s="89">
        <v>0.746</v>
      </c>
      <c r="D36" s="35" t="s">
        <v>102</v>
      </c>
      <c r="E36" s="125"/>
      <c r="F36" s="125"/>
      <c r="G36" s="125"/>
      <c r="H36" s="125"/>
      <c r="I36" s="125"/>
      <c r="J36" s="125"/>
      <c r="K36" s="125"/>
      <c r="L36" s="125"/>
      <c r="M36" s="125"/>
      <c r="N36" s="125"/>
      <c r="O36" s="125"/>
      <c r="P36" s="125"/>
      <c r="Q36" s="125"/>
      <c r="R36" s="125"/>
      <c r="S36" s="125"/>
      <c r="T36" s="125"/>
      <c r="U36" s="125"/>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row>
    <row r="37" spans="1:52">
      <c r="A37" s="204"/>
      <c r="B37" s="35" t="s">
        <v>103</v>
      </c>
      <c r="C37" s="85">
        <v>0.9</v>
      </c>
      <c r="D37" s="35" t="s">
        <v>104</v>
      </c>
      <c r="E37" s="125"/>
      <c r="F37" s="125"/>
      <c r="G37" s="125"/>
      <c r="H37" s="125"/>
      <c r="I37" s="125"/>
      <c r="J37" s="125"/>
      <c r="K37" s="125"/>
      <c r="L37" s="125"/>
      <c r="M37" s="125"/>
      <c r="N37" s="125"/>
      <c r="O37" s="125"/>
      <c r="P37" s="125"/>
      <c r="Q37" s="125"/>
      <c r="R37" s="125"/>
      <c r="S37" s="125"/>
      <c r="T37" s="125"/>
      <c r="U37" s="125"/>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row>
    <row r="38" spans="1:52">
      <c r="A38" s="204"/>
      <c r="B38" s="35" t="s">
        <v>105</v>
      </c>
      <c r="C38" s="85">
        <v>0.46</v>
      </c>
      <c r="D38" s="35" t="s">
        <v>104</v>
      </c>
      <c r="E38" s="125"/>
      <c r="F38" s="125"/>
      <c r="G38" s="125"/>
      <c r="H38" s="125"/>
      <c r="I38" s="125"/>
      <c r="J38" s="125"/>
      <c r="K38" s="125"/>
      <c r="L38" s="125"/>
      <c r="M38" s="125"/>
      <c r="N38" s="125"/>
      <c r="O38" s="125"/>
      <c r="P38" s="125"/>
      <c r="Q38" s="125"/>
      <c r="R38" s="125"/>
      <c r="S38" s="125"/>
      <c r="T38" s="125"/>
      <c r="U38" s="125"/>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row>
    <row r="39" spans="1:52">
      <c r="A39" s="204"/>
      <c r="B39" s="35" t="s">
        <v>113</v>
      </c>
      <c r="C39" s="63">
        <v>1000</v>
      </c>
      <c r="D39" s="35" t="s">
        <v>59</v>
      </c>
      <c r="E39" s="125"/>
      <c r="F39" s="125"/>
      <c r="G39" s="125"/>
      <c r="H39" s="125"/>
      <c r="I39" s="125"/>
      <c r="J39" s="125"/>
      <c r="K39" s="125"/>
      <c r="L39" s="125"/>
      <c r="M39" s="125"/>
      <c r="N39" s="125"/>
      <c r="O39" s="125"/>
      <c r="P39" s="125"/>
      <c r="Q39" s="125"/>
      <c r="R39" s="125"/>
      <c r="S39" s="125"/>
      <c r="T39" s="125"/>
      <c r="U39" s="125"/>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row>
    <row r="40" spans="1:52">
      <c r="A40" s="204"/>
      <c r="B40" s="35" t="s">
        <v>154</v>
      </c>
      <c r="C40" s="63">
        <v>215</v>
      </c>
      <c r="D40" s="35" t="s">
        <v>59</v>
      </c>
      <c r="E40" s="125"/>
      <c r="F40" s="125"/>
      <c r="G40" s="125"/>
      <c r="H40" s="125"/>
      <c r="I40" s="125"/>
      <c r="J40" s="125"/>
      <c r="K40" s="125"/>
      <c r="L40" s="125"/>
      <c r="M40" s="125"/>
      <c r="N40" s="125"/>
      <c r="O40" s="125"/>
      <c r="P40" s="125"/>
      <c r="Q40" s="125"/>
      <c r="R40" s="125"/>
      <c r="S40" s="125"/>
      <c r="T40" s="125"/>
      <c r="U40" s="125"/>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row>
    <row r="41" spans="1:52">
      <c r="A41" s="204"/>
      <c r="B41" s="35" t="s">
        <v>173</v>
      </c>
      <c r="C41" s="95">
        <v>1</v>
      </c>
      <c r="D41" s="35" t="s">
        <v>43</v>
      </c>
      <c r="E41" s="125"/>
      <c r="F41" s="125"/>
      <c r="G41" s="125"/>
      <c r="H41" s="125"/>
      <c r="I41" s="125"/>
      <c r="J41" s="125"/>
      <c r="K41" s="125"/>
      <c r="L41" s="125"/>
      <c r="M41" s="125"/>
      <c r="N41" s="125"/>
      <c r="O41" s="125"/>
      <c r="P41" s="125"/>
      <c r="Q41" s="125"/>
      <c r="R41" s="125"/>
      <c r="S41" s="125"/>
      <c r="T41" s="125"/>
      <c r="U41" s="125"/>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row>
    <row r="42" spans="1:52">
      <c r="A42" s="204"/>
      <c r="B42" s="35" t="s">
        <v>174</v>
      </c>
      <c r="C42" s="63">
        <v>125</v>
      </c>
      <c r="D42" s="35" t="s">
        <v>59</v>
      </c>
      <c r="E42" s="125"/>
      <c r="F42" s="125"/>
      <c r="G42" s="125"/>
      <c r="H42" s="125"/>
      <c r="I42" s="125"/>
      <c r="J42" s="125"/>
      <c r="K42" s="125"/>
      <c r="L42" s="125"/>
      <c r="M42" s="125"/>
      <c r="N42" s="125"/>
      <c r="O42" s="125"/>
      <c r="P42" s="125"/>
      <c r="Q42" s="125"/>
      <c r="R42" s="125"/>
      <c r="S42" s="125"/>
      <c r="T42" s="125"/>
      <c r="U42" s="125"/>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row>
    <row r="43" spans="1:52">
      <c r="A43" s="204"/>
      <c r="B43" s="207"/>
      <c r="C43" s="93"/>
      <c r="D43" s="207"/>
      <c r="E43" s="125"/>
      <c r="F43" s="125"/>
      <c r="G43" s="125"/>
      <c r="H43" s="125"/>
      <c r="I43" s="125"/>
      <c r="J43" s="125"/>
      <c r="K43" s="125"/>
      <c r="L43" s="125"/>
      <c r="M43" s="125"/>
      <c r="N43" s="125"/>
      <c r="O43" s="125"/>
      <c r="P43" s="125"/>
      <c r="Q43" s="125"/>
      <c r="R43" s="125"/>
      <c r="S43" s="125"/>
      <c r="T43" s="125"/>
      <c r="U43" s="125"/>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row>
    <row r="44" spans="1:52">
      <c r="A44" s="204"/>
      <c r="B44" s="125"/>
      <c r="C44" s="206"/>
      <c r="D44" s="125"/>
      <c r="E44" s="125"/>
      <c r="F44" s="125"/>
      <c r="G44" s="125"/>
      <c r="H44" s="125"/>
      <c r="I44" s="125"/>
      <c r="J44" s="125"/>
      <c r="K44" s="125"/>
      <c r="L44" s="125"/>
      <c r="M44" s="125"/>
      <c r="N44" s="125"/>
      <c r="O44" s="125"/>
      <c r="P44" s="125"/>
      <c r="Q44" s="125"/>
      <c r="R44" s="125"/>
      <c r="S44" s="125"/>
      <c r="T44" s="125"/>
      <c r="U44" s="125"/>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row>
    <row r="45" spans="1:52">
      <c r="A45" s="204"/>
      <c r="B45" s="125"/>
      <c r="C45" s="125"/>
      <c r="D45" s="125"/>
      <c r="E45" s="125"/>
      <c r="F45" s="125"/>
      <c r="G45" s="125"/>
      <c r="H45" s="125"/>
      <c r="I45" s="125"/>
      <c r="J45" s="125"/>
      <c r="K45" s="125"/>
      <c r="L45" s="125"/>
      <c r="M45" s="125"/>
      <c r="N45" s="125"/>
      <c r="O45" s="204"/>
      <c r="P45" s="125"/>
      <c r="Q45" s="125"/>
      <c r="R45" s="125"/>
      <c r="S45" s="125"/>
      <c r="T45" s="125"/>
      <c r="U45" s="125"/>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row>
    <row r="46" spans="1:52" ht="18">
      <c r="A46" s="204"/>
      <c r="B46" s="205" t="s">
        <v>53</v>
      </c>
      <c r="C46" s="125"/>
      <c r="D46" s="125"/>
      <c r="E46" s="205" t="s">
        <v>367</v>
      </c>
      <c r="F46" s="125"/>
      <c r="G46" s="125"/>
      <c r="H46" s="205" t="s">
        <v>128</v>
      </c>
      <c r="I46" s="125"/>
      <c r="J46" s="125"/>
      <c r="K46" s="125"/>
      <c r="L46" s="125"/>
      <c r="M46" s="208"/>
      <c r="N46" s="125"/>
      <c r="O46" s="125"/>
      <c r="P46" s="125"/>
      <c r="Q46" s="125"/>
      <c r="R46" s="2"/>
      <c r="S46" s="10"/>
      <c r="T46" s="2"/>
      <c r="U46" s="2"/>
      <c r="V46" s="2"/>
      <c r="W46" s="2"/>
      <c r="X46" s="2"/>
      <c r="Y46" s="2"/>
      <c r="Z46" s="2"/>
      <c r="AA46" s="2"/>
      <c r="AB46" s="10"/>
      <c r="AC46" s="2"/>
      <c r="AD46" s="2"/>
      <c r="AE46" s="2"/>
      <c r="AF46" s="2"/>
      <c r="AG46" s="204"/>
      <c r="AH46" s="205" t="s">
        <v>164</v>
      </c>
      <c r="AI46" s="125"/>
      <c r="AJ46" s="125"/>
      <c r="AK46" s="204"/>
      <c r="AL46" s="204"/>
      <c r="AM46" s="205"/>
      <c r="AN46" s="125"/>
      <c r="AO46" s="204"/>
      <c r="AP46" s="291"/>
      <c r="AQ46" s="291"/>
      <c r="AR46" s="291"/>
      <c r="AS46" s="291"/>
      <c r="AT46" s="204"/>
      <c r="AU46" s="291"/>
      <c r="AV46" s="291"/>
      <c r="AW46" s="204"/>
      <c r="AX46" s="291"/>
      <c r="AY46" s="291"/>
    </row>
    <row r="47" spans="1:52" ht="60">
      <c r="A47" s="209"/>
      <c r="B47" s="37" t="s">
        <v>50</v>
      </c>
      <c r="C47" s="38" t="s">
        <v>66</v>
      </c>
      <c r="D47" s="125"/>
      <c r="E47" s="37" t="s">
        <v>73</v>
      </c>
      <c r="F47" s="38" t="s">
        <v>74</v>
      </c>
      <c r="G47" s="125"/>
      <c r="H47" s="37" t="s">
        <v>129</v>
      </c>
      <c r="I47" s="38" t="s">
        <v>130</v>
      </c>
      <c r="J47" s="38" t="s">
        <v>131</v>
      </c>
      <c r="K47" s="38" t="s">
        <v>132</v>
      </c>
      <c r="L47" s="125"/>
      <c r="M47" s="226"/>
      <c r="N47" s="227"/>
      <c r="O47" s="227"/>
      <c r="P47" s="227"/>
      <c r="Q47" s="227"/>
      <c r="R47" s="2"/>
      <c r="S47" s="226"/>
      <c r="T47" s="227"/>
      <c r="U47" s="227"/>
      <c r="V47" s="227"/>
      <c r="W47" s="227"/>
      <c r="X47" s="227"/>
      <c r="Y47" s="227"/>
      <c r="Z47" s="227"/>
      <c r="AA47" s="2"/>
      <c r="AB47" s="226"/>
      <c r="AC47" s="227"/>
      <c r="AD47" s="227"/>
      <c r="AE47" s="227"/>
      <c r="AF47" s="227"/>
      <c r="AG47" s="204"/>
      <c r="AH47" s="37" t="s">
        <v>157</v>
      </c>
      <c r="AI47" s="38" t="s">
        <v>162</v>
      </c>
      <c r="AJ47" s="38" t="s">
        <v>163</v>
      </c>
      <c r="AK47" s="38" t="s">
        <v>165</v>
      </c>
      <c r="AL47" s="247" t="s">
        <v>32</v>
      </c>
      <c r="AM47" s="226"/>
      <c r="AN47" s="227"/>
      <c r="AO47" s="19"/>
      <c r="AP47" s="226"/>
      <c r="AQ47" s="227"/>
      <c r="AR47" s="227"/>
      <c r="AS47" s="227"/>
      <c r="AT47" s="19"/>
      <c r="AU47" s="226"/>
      <c r="AV47" s="227"/>
      <c r="AW47" s="19"/>
      <c r="AX47" s="226"/>
      <c r="AY47" s="227"/>
      <c r="AZ47" s="2"/>
    </row>
    <row r="48" spans="1:52">
      <c r="A48" s="204"/>
      <c r="B48" s="91" t="s">
        <v>51</v>
      </c>
      <c r="C48" s="69">
        <v>922</v>
      </c>
      <c r="D48" s="125"/>
      <c r="E48" s="35" t="s">
        <v>342</v>
      </c>
      <c r="F48" s="72">
        <v>1498</v>
      </c>
      <c r="G48" s="125"/>
      <c r="H48" s="35" t="s">
        <v>133</v>
      </c>
      <c r="I48" s="69">
        <v>3600</v>
      </c>
      <c r="J48" s="91">
        <v>9.1999999999999993</v>
      </c>
      <c r="K48" s="91">
        <v>12.4</v>
      </c>
      <c r="L48" s="125"/>
      <c r="M48" s="231"/>
      <c r="N48" s="228"/>
      <c r="O48" s="228"/>
      <c r="P48" s="228"/>
      <c r="Q48" s="228"/>
      <c r="R48" s="2"/>
      <c r="S48" s="78"/>
      <c r="T48" s="228"/>
      <c r="U48" s="228"/>
      <c r="V48" s="228"/>
      <c r="W48" s="228"/>
      <c r="X48" s="228"/>
      <c r="Y48" s="228"/>
      <c r="Z48" s="228"/>
      <c r="AA48" s="2"/>
      <c r="AB48" s="78"/>
      <c r="AC48" s="228"/>
      <c r="AD48" s="228"/>
      <c r="AE48" s="228"/>
      <c r="AF48" s="228"/>
      <c r="AG48" s="204"/>
      <c r="AH48" s="35" t="s">
        <v>158</v>
      </c>
      <c r="AI48" s="72">
        <v>761</v>
      </c>
      <c r="AJ48" s="72">
        <v>4497</v>
      </c>
      <c r="AK48" s="72">
        <f>AJ48-AI48</f>
        <v>3736</v>
      </c>
      <c r="AL48" s="248">
        <f>AK48/1000</f>
        <v>3.7360000000000002</v>
      </c>
      <c r="AM48" s="78"/>
      <c r="AN48" s="228"/>
      <c r="AO48" s="9"/>
      <c r="AP48" s="78"/>
      <c r="AQ48" s="249"/>
      <c r="AR48" s="249"/>
      <c r="AS48" s="249"/>
      <c r="AT48" s="9"/>
      <c r="AU48" s="78"/>
      <c r="AV48" s="249"/>
      <c r="AW48" s="9"/>
      <c r="AX48" s="78"/>
      <c r="AY48" s="249"/>
      <c r="AZ48" s="2"/>
    </row>
    <row r="49" spans="1:52">
      <c r="A49" s="204"/>
      <c r="B49" s="91" t="s">
        <v>46</v>
      </c>
      <c r="C49" s="69">
        <v>2864</v>
      </c>
      <c r="D49" s="125"/>
      <c r="E49" s="35" t="s">
        <v>343</v>
      </c>
      <c r="F49" s="72">
        <v>2083</v>
      </c>
      <c r="G49" s="125"/>
      <c r="H49" s="35" t="s">
        <v>134</v>
      </c>
      <c r="I49" s="69">
        <v>6274</v>
      </c>
      <c r="J49" s="91">
        <v>11.2</v>
      </c>
      <c r="K49" s="91">
        <v>15.3</v>
      </c>
      <c r="L49" s="125"/>
      <c r="M49" s="2"/>
      <c r="N49" s="2"/>
      <c r="O49" s="2"/>
      <c r="P49" s="2"/>
      <c r="Q49" s="2"/>
      <c r="R49" s="2"/>
      <c r="S49" s="2"/>
      <c r="T49" s="2"/>
      <c r="U49" s="2"/>
      <c r="V49" s="9"/>
      <c r="W49" s="9"/>
      <c r="X49" s="9"/>
      <c r="Y49" s="9"/>
      <c r="Z49" s="9"/>
      <c r="AA49" s="2"/>
      <c r="AB49" s="9"/>
      <c r="AC49" s="9"/>
      <c r="AD49" s="9"/>
      <c r="AE49" s="9"/>
      <c r="AF49" s="9"/>
      <c r="AG49" s="204"/>
      <c r="AH49" s="35" t="s">
        <v>159</v>
      </c>
      <c r="AI49" s="72">
        <v>850</v>
      </c>
      <c r="AJ49" s="72">
        <v>5026</v>
      </c>
      <c r="AK49" s="72">
        <f t="shared" ref="AK49:AK51" si="0">AJ49-AI49</f>
        <v>4176</v>
      </c>
      <c r="AL49" s="248">
        <f t="shared" ref="AL49:AL51" si="1">AK49/1000</f>
        <v>4.1760000000000002</v>
      </c>
      <c r="AM49" s="9"/>
      <c r="AN49" s="9"/>
      <c r="AO49" s="9"/>
      <c r="AP49" s="9"/>
      <c r="AQ49" s="9"/>
      <c r="AR49" s="9"/>
      <c r="AS49" s="9"/>
      <c r="AT49" s="9"/>
      <c r="AU49" s="78"/>
      <c r="AV49" s="249"/>
      <c r="AW49" s="9"/>
      <c r="AX49" s="78"/>
      <c r="AY49" s="249"/>
      <c r="AZ49" s="2"/>
    </row>
    <row r="50" spans="1:52" ht="15.75" thickBot="1">
      <c r="A50" s="204"/>
      <c r="B50" s="210"/>
      <c r="C50" s="79"/>
      <c r="D50" s="125"/>
      <c r="E50" s="35" t="s">
        <v>344</v>
      </c>
      <c r="F50" s="72">
        <v>2510</v>
      </c>
      <c r="G50" s="125"/>
      <c r="H50" s="35" t="s">
        <v>135</v>
      </c>
      <c r="I50" s="69">
        <v>10837</v>
      </c>
      <c r="J50" s="91">
        <v>15</v>
      </c>
      <c r="K50" s="91">
        <v>19.2</v>
      </c>
      <c r="L50" s="125"/>
      <c r="M50" s="94"/>
      <c r="N50" s="2"/>
      <c r="O50" s="2"/>
      <c r="P50" s="2"/>
      <c r="Q50" s="2"/>
      <c r="R50" s="2"/>
      <c r="S50" s="208" t="s">
        <v>355</v>
      </c>
      <c r="U50" s="125"/>
      <c r="V50" s="204"/>
      <c r="W50" s="204"/>
      <c r="X50" s="204"/>
      <c r="Y50" s="204"/>
      <c r="Z50" s="204"/>
      <c r="AA50" s="125"/>
      <c r="AB50" s="204"/>
      <c r="AC50" s="204"/>
      <c r="AD50" s="204"/>
      <c r="AE50" s="204"/>
      <c r="AF50" s="204"/>
      <c r="AG50" s="204"/>
      <c r="AH50" s="35" t="s">
        <v>160</v>
      </c>
      <c r="AI50" s="72">
        <v>940</v>
      </c>
      <c r="AJ50" s="72">
        <v>5555</v>
      </c>
      <c r="AK50" s="72">
        <f t="shared" si="0"/>
        <v>4615</v>
      </c>
      <c r="AL50" s="248">
        <f t="shared" si="1"/>
        <v>4.6150000000000002</v>
      </c>
      <c r="AM50" s="204"/>
      <c r="AN50" s="204"/>
      <c r="AO50" s="204"/>
      <c r="AP50" s="204"/>
      <c r="AQ50" s="204"/>
      <c r="AR50" s="204"/>
      <c r="AS50" s="204"/>
      <c r="AT50" s="204"/>
      <c r="AU50" s="204"/>
      <c r="AV50" s="204"/>
      <c r="AW50" s="204"/>
      <c r="AX50" s="204"/>
      <c r="AY50" s="204"/>
    </row>
    <row r="51" spans="1:52" ht="60.75" thickBot="1">
      <c r="A51" s="204"/>
      <c r="B51" s="210"/>
      <c r="C51" s="79"/>
      <c r="D51" s="125"/>
      <c r="E51" s="35" t="s">
        <v>345</v>
      </c>
      <c r="F51" s="72">
        <v>1778</v>
      </c>
      <c r="G51" s="125"/>
      <c r="H51" s="35" t="s">
        <v>136</v>
      </c>
      <c r="I51" s="69">
        <v>22626</v>
      </c>
      <c r="J51" s="91">
        <v>17.8</v>
      </c>
      <c r="K51" s="91">
        <v>22.7</v>
      </c>
      <c r="L51" s="125"/>
      <c r="M51" s="226"/>
      <c r="N51" s="227"/>
      <c r="O51" s="227"/>
      <c r="P51" s="227"/>
      <c r="Q51" s="227"/>
      <c r="R51" s="2"/>
      <c r="S51" s="229" t="s">
        <v>144</v>
      </c>
      <c r="T51" s="225" t="s">
        <v>342</v>
      </c>
      <c r="U51" s="225" t="s">
        <v>343</v>
      </c>
      <c r="V51" s="225" t="s">
        <v>344</v>
      </c>
      <c r="W51" s="225" t="s">
        <v>345</v>
      </c>
      <c r="X51" s="225" t="s">
        <v>346</v>
      </c>
      <c r="Y51" s="225" t="s">
        <v>347</v>
      </c>
      <c r="Z51" s="225" t="s">
        <v>348</v>
      </c>
      <c r="AA51" s="225" t="s">
        <v>349</v>
      </c>
      <c r="AB51" s="225" t="s">
        <v>350</v>
      </c>
      <c r="AC51" s="204"/>
      <c r="AD51" s="204"/>
      <c r="AE51" s="204"/>
      <c r="AF51" s="204"/>
      <c r="AG51" s="204"/>
      <c r="AH51" s="35" t="s">
        <v>161</v>
      </c>
      <c r="AI51" s="72">
        <v>1119</v>
      </c>
      <c r="AJ51" s="72">
        <v>6613</v>
      </c>
      <c r="AK51" s="72">
        <f t="shared" si="0"/>
        <v>5494</v>
      </c>
      <c r="AL51" s="248">
        <f t="shared" si="1"/>
        <v>5.4939999999999998</v>
      </c>
      <c r="AM51" s="204"/>
      <c r="AN51" s="204"/>
      <c r="AO51" s="204"/>
      <c r="AP51" s="204"/>
      <c r="AQ51" s="204"/>
      <c r="AR51" s="204"/>
      <c r="AS51" s="204"/>
      <c r="AT51" s="204"/>
      <c r="AU51" s="204"/>
      <c r="AV51" s="204"/>
      <c r="AW51" s="204"/>
      <c r="AX51" s="204"/>
      <c r="AY51" s="204"/>
    </row>
    <row r="52" spans="1:52" ht="15.75" thickBot="1">
      <c r="A52" s="204"/>
      <c r="B52" s="210"/>
      <c r="C52" s="79"/>
      <c r="D52" s="125"/>
      <c r="E52" s="35" t="s">
        <v>346</v>
      </c>
      <c r="F52" s="72">
        <v>1309</v>
      </c>
      <c r="G52" s="125"/>
      <c r="H52" s="35"/>
      <c r="I52" s="72"/>
      <c r="J52" s="35"/>
      <c r="K52" s="35"/>
      <c r="L52" s="125"/>
      <c r="M52" s="231"/>
      <c r="N52" s="228"/>
      <c r="O52" s="228"/>
      <c r="P52" s="228"/>
      <c r="Q52" s="228"/>
      <c r="R52" s="2"/>
      <c r="S52" s="230" t="s">
        <v>122</v>
      </c>
      <c r="T52" s="219">
        <v>5071</v>
      </c>
      <c r="U52" s="219">
        <v>4596</v>
      </c>
      <c r="V52" s="219">
        <v>4336</v>
      </c>
      <c r="W52" s="220">
        <v>4807</v>
      </c>
      <c r="X52" s="219">
        <v>5163</v>
      </c>
      <c r="Y52" s="219">
        <v>5390</v>
      </c>
      <c r="Z52" s="219">
        <v>5010</v>
      </c>
      <c r="AA52" s="219">
        <v>4843</v>
      </c>
      <c r="AB52" s="219">
        <v>5020</v>
      </c>
      <c r="AC52" s="209"/>
      <c r="AD52" s="209"/>
      <c r="AE52" s="209"/>
      <c r="AF52" s="209"/>
      <c r="AG52" s="204"/>
      <c r="AH52" s="204"/>
      <c r="AI52" s="204"/>
      <c r="AJ52" s="204"/>
      <c r="AK52" s="204"/>
      <c r="AL52" s="204"/>
      <c r="AM52" s="204"/>
      <c r="AN52" s="204"/>
      <c r="AO52" s="204"/>
      <c r="AP52" s="204"/>
      <c r="AQ52" s="204"/>
      <c r="AR52" s="204"/>
      <c r="AS52" s="204"/>
      <c r="AT52" s="204"/>
      <c r="AU52" s="204"/>
      <c r="AV52" s="204"/>
      <c r="AW52" s="204"/>
      <c r="AX52" s="204"/>
      <c r="AY52" s="204"/>
    </row>
    <row r="53" spans="1:52" ht="15.75" thickBot="1">
      <c r="A53" s="204"/>
      <c r="B53" s="210"/>
      <c r="C53" s="79"/>
      <c r="D53" s="125"/>
      <c r="E53" s="35" t="s">
        <v>347</v>
      </c>
      <c r="F53" s="72">
        <v>1090</v>
      </c>
      <c r="G53" s="125"/>
      <c r="H53" s="35"/>
      <c r="I53" s="72"/>
      <c r="J53" s="72"/>
      <c r="K53" s="72"/>
      <c r="L53" s="125"/>
      <c r="M53" s="2"/>
      <c r="N53" s="2"/>
      <c r="O53" s="2"/>
      <c r="P53" s="2"/>
      <c r="Q53" s="2"/>
      <c r="R53" s="2"/>
      <c r="S53" s="230" t="s">
        <v>351</v>
      </c>
      <c r="T53" s="219">
        <v>3299</v>
      </c>
      <c r="U53" s="219">
        <v>2665</v>
      </c>
      <c r="V53" s="219">
        <v>2365</v>
      </c>
      <c r="W53" s="220">
        <v>2984</v>
      </c>
      <c r="X53" s="219">
        <v>3436</v>
      </c>
      <c r="Y53" s="219">
        <v>3732</v>
      </c>
      <c r="Z53" s="219">
        <v>3231</v>
      </c>
      <c r="AA53" s="219">
        <v>2985</v>
      </c>
      <c r="AB53" s="219">
        <v>3241</v>
      </c>
      <c r="AC53" s="204"/>
      <c r="AD53" s="204"/>
      <c r="AE53" s="204"/>
      <c r="AF53" s="204"/>
      <c r="AG53" s="204"/>
      <c r="AH53" s="204"/>
      <c r="AI53" s="204"/>
      <c r="AJ53" s="204"/>
      <c r="AK53" s="204"/>
      <c r="AL53" s="204"/>
      <c r="AM53" s="209"/>
      <c r="AN53" s="209"/>
      <c r="AO53" s="204"/>
      <c r="AP53" s="204"/>
      <c r="AQ53" s="204"/>
      <c r="AR53" s="204"/>
      <c r="AS53" s="204"/>
      <c r="AT53" s="204"/>
      <c r="AU53" s="204"/>
      <c r="AV53" s="204"/>
      <c r="AW53" s="204"/>
      <c r="AX53" s="204"/>
      <c r="AY53" s="204"/>
    </row>
    <row r="54" spans="1:52" ht="15" thickBot="1">
      <c r="A54" s="204"/>
      <c r="B54" s="125"/>
      <c r="C54" s="125"/>
      <c r="D54" s="125"/>
      <c r="E54" s="35" t="s">
        <v>348</v>
      </c>
      <c r="F54" s="72">
        <v>1360</v>
      </c>
      <c r="G54" s="125"/>
      <c r="H54" s="125"/>
      <c r="I54" s="211"/>
      <c r="J54" s="125"/>
      <c r="K54" s="125"/>
      <c r="L54" s="125"/>
      <c r="M54" s="125"/>
      <c r="N54" s="125"/>
      <c r="O54" s="125"/>
      <c r="P54" s="125"/>
      <c r="Q54" s="125"/>
      <c r="R54" s="125"/>
      <c r="S54" s="218" t="s">
        <v>124</v>
      </c>
      <c r="T54" s="232">
        <v>5864</v>
      </c>
      <c r="U54" s="232">
        <v>5864</v>
      </c>
      <c r="V54" s="232">
        <v>5864</v>
      </c>
      <c r="W54" s="232">
        <v>5864</v>
      </c>
      <c r="X54" s="232">
        <v>5864</v>
      </c>
      <c r="Y54" s="232">
        <v>5864</v>
      </c>
      <c r="Z54" s="232">
        <v>5864</v>
      </c>
      <c r="AA54" s="232">
        <v>5864</v>
      </c>
      <c r="AB54" s="232">
        <v>5864</v>
      </c>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row>
    <row r="55" spans="1:52" ht="15.75" thickBot="1">
      <c r="A55" s="204"/>
      <c r="B55" s="125"/>
      <c r="C55" s="125"/>
      <c r="D55" s="125"/>
      <c r="E55" s="35" t="s">
        <v>349</v>
      </c>
      <c r="F55" s="72">
        <v>1718</v>
      </c>
      <c r="G55" s="125"/>
      <c r="H55" s="125"/>
      <c r="I55" s="125"/>
      <c r="J55" s="125"/>
      <c r="K55" s="125"/>
      <c r="L55" s="125"/>
      <c r="M55" s="125"/>
      <c r="N55" s="125"/>
      <c r="O55" s="125"/>
      <c r="P55" s="125"/>
      <c r="Q55" s="125"/>
      <c r="R55" s="125"/>
      <c r="S55" s="218" t="s">
        <v>125</v>
      </c>
      <c r="T55" s="232">
        <v>4729</v>
      </c>
      <c r="U55" s="232">
        <v>4729</v>
      </c>
      <c r="V55" s="232">
        <v>4729</v>
      </c>
      <c r="W55" s="232">
        <v>4729</v>
      </c>
      <c r="X55" s="232">
        <v>4729</v>
      </c>
      <c r="Y55" s="232">
        <v>4729</v>
      </c>
      <c r="Z55" s="232">
        <v>4729</v>
      </c>
      <c r="AA55" s="232">
        <v>4729</v>
      </c>
      <c r="AB55" s="232">
        <v>4729</v>
      </c>
      <c r="AC55" s="209"/>
      <c r="AD55" s="209"/>
      <c r="AE55" s="209"/>
      <c r="AF55" s="209"/>
      <c r="AG55" s="204"/>
      <c r="AH55" s="204"/>
      <c r="AI55" s="204"/>
      <c r="AJ55" s="204"/>
      <c r="AK55" s="204"/>
      <c r="AL55" s="204"/>
      <c r="AM55" s="204"/>
      <c r="AN55" s="204"/>
      <c r="AO55" s="204"/>
      <c r="AP55" s="204"/>
      <c r="AQ55" s="204"/>
      <c r="AR55" s="204"/>
      <c r="AS55" s="204"/>
      <c r="AT55" s="204"/>
      <c r="AU55" s="204"/>
      <c r="AV55" s="204"/>
      <c r="AW55" s="204"/>
      <c r="AX55" s="204"/>
      <c r="AY55" s="204"/>
    </row>
    <row r="56" spans="1:52" ht="18.75" thickBot="1">
      <c r="A56" s="204"/>
      <c r="B56" s="205" t="s">
        <v>5</v>
      </c>
      <c r="C56" s="125"/>
      <c r="D56" s="125"/>
      <c r="E56" s="35" t="s">
        <v>350</v>
      </c>
      <c r="F56" s="72">
        <v>1575</v>
      </c>
      <c r="G56" s="125"/>
      <c r="H56" s="125"/>
      <c r="I56" s="125"/>
      <c r="J56" s="125"/>
      <c r="K56" s="125"/>
      <c r="L56" s="125"/>
      <c r="M56" s="125"/>
      <c r="N56" s="125"/>
      <c r="O56" s="125"/>
      <c r="P56" s="125"/>
      <c r="Q56" s="125"/>
      <c r="R56" s="125"/>
      <c r="S56" s="218" t="s">
        <v>352</v>
      </c>
      <c r="T56" s="219">
        <v>3299</v>
      </c>
      <c r="U56" s="219">
        <v>2665</v>
      </c>
      <c r="V56" s="219">
        <v>2365</v>
      </c>
      <c r="W56" s="219">
        <v>2984</v>
      </c>
      <c r="X56" s="219">
        <v>3436</v>
      </c>
      <c r="Y56" s="219">
        <v>3732</v>
      </c>
      <c r="Z56" s="219">
        <v>3231</v>
      </c>
      <c r="AA56" s="219">
        <v>2985</v>
      </c>
      <c r="AB56" s="219">
        <v>3241</v>
      </c>
      <c r="AC56" s="204"/>
      <c r="AD56" s="204"/>
      <c r="AE56" s="204"/>
      <c r="AF56" s="204"/>
      <c r="AG56" s="204"/>
      <c r="AH56" s="204"/>
      <c r="AI56" s="204"/>
      <c r="AJ56" s="204"/>
      <c r="AK56" s="204"/>
      <c r="AL56" s="204"/>
      <c r="AM56" s="209"/>
      <c r="AN56" s="209"/>
      <c r="AO56" s="204"/>
      <c r="AP56" s="204"/>
      <c r="AQ56" s="204"/>
      <c r="AR56" s="204"/>
      <c r="AS56" s="204"/>
      <c r="AT56" s="204"/>
      <c r="AU56" s="204"/>
      <c r="AV56" s="204"/>
      <c r="AW56" s="204"/>
      <c r="AX56" s="204"/>
      <c r="AY56" s="204"/>
    </row>
    <row r="57" spans="1:52" ht="45.75" thickBot="1">
      <c r="A57" s="209"/>
      <c r="B57" s="37"/>
      <c r="C57" s="38" t="s">
        <v>52</v>
      </c>
      <c r="D57" s="37" t="s">
        <v>61</v>
      </c>
      <c r="E57" s="37" t="s">
        <v>62</v>
      </c>
      <c r="F57" s="37" t="s">
        <v>47</v>
      </c>
      <c r="G57" s="37" t="s">
        <v>67</v>
      </c>
      <c r="H57" s="37" t="s">
        <v>30</v>
      </c>
      <c r="I57" s="37"/>
      <c r="J57" s="37"/>
      <c r="K57" s="37"/>
      <c r="L57" s="125"/>
      <c r="M57" s="125"/>
      <c r="N57" s="125"/>
      <c r="O57" s="125"/>
      <c r="P57" s="125"/>
      <c r="Q57" s="125"/>
      <c r="R57" s="125"/>
      <c r="S57" s="125" t="s">
        <v>356</v>
      </c>
      <c r="T57" s="125"/>
      <c r="U57" s="125"/>
      <c r="V57" s="204"/>
      <c r="W57" s="204"/>
      <c r="X57" s="204"/>
      <c r="Y57" s="204"/>
      <c r="Z57" s="204"/>
      <c r="AA57" s="209"/>
      <c r="AB57" s="204"/>
      <c r="AC57" s="204"/>
      <c r="AD57" s="204"/>
      <c r="AE57" s="204"/>
      <c r="AF57" s="204"/>
      <c r="AG57" s="209"/>
      <c r="AH57" s="209"/>
      <c r="AI57" s="209"/>
      <c r="AJ57" s="209"/>
      <c r="AK57" s="209"/>
      <c r="AL57" s="209"/>
      <c r="AM57" s="204"/>
      <c r="AN57" s="204"/>
      <c r="AO57" s="209"/>
      <c r="AP57" s="209"/>
      <c r="AQ57" s="209"/>
      <c r="AR57" s="209"/>
      <c r="AS57" s="209"/>
      <c r="AT57" s="209"/>
      <c r="AU57" s="209"/>
      <c r="AV57" s="209"/>
      <c r="AW57" s="209"/>
      <c r="AX57" s="209"/>
      <c r="AY57" s="209"/>
    </row>
    <row r="58" spans="1:52" ht="26.25" thickBot="1">
      <c r="A58" s="204"/>
      <c r="B58" s="35" t="s">
        <v>60</v>
      </c>
      <c r="C58" s="73">
        <f>IF(C6="Yes",C48,C49)</f>
        <v>2864</v>
      </c>
      <c r="D58" s="74">
        <f>C58/C29</f>
        <v>489.5726495726496</v>
      </c>
      <c r="E58" s="74" t="e">
        <f>C58/C4</f>
        <v>#DIV/0!</v>
      </c>
      <c r="F58" s="69" t="e">
        <f>(D58-E58)*C31*C30*C5</f>
        <v>#DIV/0!</v>
      </c>
      <c r="G58" s="77" t="e">
        <f>F58*C28</f>
        <v>#DIV/0!</v>
      </c>
      <c r="H58" s="63">
        <f>IF(C4&gt;5.85,C32*C3,0)</f>
        <v>0</v>
      </c>
      <c r="I58" s="36"/>
      <c r="J58" s="36"/>
      <c r="K58" s="36"/>
      <c r="L58" s="125"/>
      <c r="M58" s="125"/>
      <c r="N58" s="125"/>
      <c r="O58" s="125"/>
      <c r="P58" s="125"/>
      <c r="Q58" s="125"/>
      <c r="R58" s="125"/>
      <c r="S58" s="215" t="s">
        <v>144</v>
      </c>
      <c r="T58" s="216" t="s">
        <v>342</v>
      </c>
      <c r="U58" s="216" t="s">
        <v>343</v>
      </c>
      <c r="V58" s="216" t="s">
        <v>344</v>
      </c>
      <c r="W58" s="217" t="s">
        <v>345</v>
      </c>
      <c r="X58" s="216" t="s">
        <v>346</v>
      </c>
      <c r="Y58" s="216" t="s">
        <v>347</v>
      </c>
      <c r="Z58" s="216" t="s">
        <v>348</v>
      </c>
      <c r="AA58" s="216" t="s">
        <v>349</v>
      </c>
      <c r="AB58" s="216" t="s">
        <v>350</v>
      </c>
      <c r="AC58" s="209"/>
      <c r="AD58" s="209"/>
      <c r="AE58" s="209"/>
      <c r="AF58" s="209"/>
      <c r="AG58" s="204"/>
      <c r="AH58" s="204"/>
      <c r="AI58" s="204"/>
      <c r="AJ58" s="204"/>
      <c r="AK58" s="204"/>
      <c r="AL58" s="204"/>
      <c r="AM58" s="204"/>
      <c r="AN58" s="204"/>
      <c r="AO58" s="204"/>
      <c r="AP58" s="204"/>
      <c r="AQ58" s="204"/>
      <c r="AR58" s="204"/>
      <c r="AS58" s="204"/>
      <c r="AT58" s="204"/>
      <c r="AU58" s="204"/>
      <c r="AV58" s="204"/>
      <c r="AW58" s="204"/>
      <c r="AX58" s="204"/>
      <c r="AY58" s="204"/>
    </row>
    <row r="59" spans="1:52" ht="15.75" thickBot="1">
      <c r="A59" s="204"/>
      <c r="B59" s="210"/>
      <c r="C59" s="80"/>
      <c r="D59" s="212"/>
      <c r="E59" s="212"/>
      <c r="F59" s="79"/>
      <c r="G59" s="213"/>
      <c r="H59" s="83"/>
      <c r="I59" s="214"/>
      <c r="J59" s="214"/>
      <c r="K59" s="214"/>
      <c r="L59" s="125"/>
      <c r="M59" s="125"/>
      <c r="N59" s="125"/>
      <c r="O59" s="125"/>
      <c r="P59" s="125"/>
      <c r="Q59" s="125"/>
      <c r="R59" s="125"/>
      <c r="S59" s="218" t="s">
        <v>122</v>
      </c>
      <c r="T59" s="219">
        <v>3457</v>
      </c>
      <c r="U59" s="219">
        <v>3562</v>
      </c>
      <c r="V59" s="219">
        <v>3526</v>
      </c>
      <c r="W59" s="220">
        <v>3458</v>
      </c>
      <c r="X59" s="219">
        <v>3367</v>
      </c>
      <c r="Y59" s="219">
        <v>3285</v>
      </c>
      <c r="Z59" s="219">
        <v>3441</v>
      </c>
      <c r="AA59" s="219">
        <v>3594</v>
      </c>
      <c r="AB59" s="219">
        <v>3448</v>
      </c>
      <c r="AC59" s="204"/>
      <c r="AD59" s="204"/>
      <c r="AE59" s="204"/>
      <c r="AF59" s="204"/>
      <c r="AG59" s="204"/>
      <c r="AH59" s="204"/>
      <c r="AI59" s="204"/>
      <c r="AJ59" s="204"/>
      <c r="AK59" s="204"/>
      <c r="AL59" s="204"/>
      <c r="AM59" s="209"/>
      <c r="AN59" s="209"/>
      <c r="AO59" s="204"/>
      <c r="AP59" s="204"/>
      <c r="AQ59" s="204"/>
      <c r="AR59" s="204"/>
      <c r="AS59" s="204"/>
      <c r="AT59" s="204"/>
      <c r="AU59" s="204"/>
      <c r="AV59" s="204"/>
      <c r="AW59" s="204"/>
      <c r="AX59" s="204"/>
      <c r="AY59" s="204"/>
    </row>
    <row r="60" spans="1:52" ht="45.75" thickBot="1">
      <c r="A60" s="209"/>
      <c r="B60" s="37"/>
      <c r="C60" s="38" t="s">
        <v>79</v>
      </c>
      <c r="D60" s="37" t="s">
        <v>80</v>
      </c>
      <c r="E60" s="37" t="s">
        <v>81</v>
      </c>
      <c r="F60" s="37" t="s">
        <v>82</v>
      </c>
      <c r="G60" s="37" t="s">
        <v>47</v>
      </c>
      <c r="H60" s="37" t="s">
        <v>67</v>
      </c>
      <c r="I60" s="37" t="s">
        <v>30</v>
      </c>
      <c r="J60" s="37"/>
      <c r="K60" s="37"/>
      <c r="L60" s="125"/>
      <c r="M60" s="125"/>
      <c r="N60" s="125"/>
      <c r="O60" s="125"/>
      <c r="P60" s="125"/>
      <c r="Q60" s="125"/>
      <c r="R60" s="125"/>
      <c r="S60" s="218" t="s">
        <v>351</v>
      </c>
      <c r="T60" s="219">
        <v>1685</v>
      </c>
      <c r="U60" s="219">
        <v>1663</v>
      </c>
      <c r="V60" s="219">
        <v>1574</v>
      </c>
      <c r="W60" s="220">
        <v>1635</v>
      </c>
      <c r="X60" s="219">
        <v>1640</v>
      </c>
      <c r="Y60" s="219">
        <v>1627</v>
      </c>
      <c r="Z60" s="219">
        <v>1662</v>
      </c>
      <c r="AA60" s="219">
        <v>1736</v>
      </c>
      <c r="AB60" s="219">
        <v>1669</v>
      </c>
      <c r="AC60" s="204"/>
      <c r="AD60" s="204"/>
      <c r="AE60" s="204"/>
      <c r="AF60" s="204"/>
      <c r="AG60" s="209"/>
      <c r="AH60" s="209"/>
      <c r="AI60" s="209"/>
      <c r="AJ60" s="209"/>
      <c r="AK60" s="209"/>
      <c r="AL60" s="209"/>
      <c r="AM60" s="204"/>
      <c r="AN60" s="204"/>
      <c r="AO60" s="209"/>
      <c r="AP60" s="209"/>
      <c r="AQ60" s="209"/>
      <c r="AR60" s="209"/>
      <c r="AS60" s="209"/>
      <c r="AT60" s="209"/>
      <c r="AU60" s="209"/>
      <c r="AV60" s="209"/>
      <c r="AW60" s="209"/>
      <c r="AX60" s="209"/>
      <c r="AY60" s="209"/>
    </row>
    <row r="61" spans="1:52" ht="15.75" thickBot="1">
      <c r="A61" s="204"/>
      <c r="B61" s="35" t="s">
        <v>78</v>
      </c>
      <c r="C61" s="72">
        <f>C7</f>
        <v>0</v>
      </c>
      <c r="D61" s="72" t="e">
        <f>VLOOKUP('Livestock Waterer Calculator'!$C$9,$E$48:$F$56,2,FALSE)</f>
        <v>#N/A</v>
      </c>
      <c r="E61" s="74">
        <f>C33</f>
        <v>0.5</v>
      </c>
      <c r="F61" s="86">
        <f>C34</f>
        <v>0.8</v>
      </c>
      <c r="G61" s="72" t="e">
        <f>C61*D61*E61*F61</f>
        <v>#N/A</v>
      </c>
      <c r="H61" s="77" t="e">
        <f>G61*0</f>
        <v>#N/A</v>
      </c>
      <c r="I61" s="63">
        <f>C7*C35</f>
        <v>0</v>
      </c>
      <c r="J61" s="36"/>
      <c r="K61" s="36"/>
      <c r="L61" s="125"/>
      <c r="M61" s="125"/>
      <c r="N61" s="125"/>
      <c r="O61" s="125"/>
      <c r="P61" s="125"/>
      <c r="Q61" s="125"/>
      <c r="R61" s="125"/>
      <c r="S61" s="218" t="s">
        <v>124</v>
      </c>
      <c r="T61" s="219">
        <v>3235</v>
      </c>
      <c r="U61" s="219">
        <v>2581</v>
      </c>
      <c r="V61" s="219">
        <v>2139</v>
      </c>
      <c r="W61" s="220">
        <v>2879</v>
      </c>
      <c r="X61" s="219">
        <v>3541</v>
      </c>
      <c r="Y61" s="219">
        <v>3685</v>
      </c>
      <c r="Z61" s="219">
        <v>3132</v>
      </c>
      <c r="AA61" s="219">
        <v>2979</v>
      </c>
      <c r="AB61" s="219">
        <v>3198</v>
      </c>
      <c r="AC61" s="209"/>
      <c r="AD61" s="209"/>
      <c r="AE61" s="209"/>
      <c r="AF61" s="209"/>
      <c r="AG61" s="204"/>
      <c r="AH61" s="204"/>
      <c r="AI61" s="204"/>
      <c r="AJ61" s="204"/>
      <c r="AK61" s="204"/>
      <c r="AL61" s="204"/>
      <c r="AM61" s="204"/>
      <c r="AN61" s="204"/>
      <c r="AO61" s="204"/>
      <c r="AP61" s="204"/>
      <c r="AQ61" s="204"/>
      <c r="AR61" s="204"/>
      <c r="AS61" s="204"/>
      <c r="AT61" s="204"/>
      <c r="AU61" s="204"/>
      <c r="AV61" s="204"/>
      <c r="AW61" s="204"/>
      <c r="AX61" s="204"/>
      <c r="AY61" s="204"/>
    </row>
    <row r="62" spans="1:52" ht="15.75" thickBot="1">
      <c r="A62" s="204"/>
      <c r="B62" s="125"/>
      <c r="C62" s="125"/>
      <c r="D62" s="125"/>
      <c r="E62" s="125"/>
      <c r="F62" s="125"/>
      <c r="G62" s="125"/>
      <c r="H62" s="125"/>
      <c r="I62" s="125"/>
      <c r="J62" s="125"/>
      <c r="K62" s="125"/>
      <c r="L62" s="125"/>
      <c r="M62" s="125"/>
      <c r="N62" s="125"/>
      <c r="O62" s="125"/>
      <c r="P62" s="125"/>
      <c r="Q62" s="125"/>
      <c r="R62" s="125"/>
      <c r="S62" s="218" t="s">
        <v>125</v>
      </c>
      <c r="T62" s="219">
        <v>4729</v>
      </c>
      <c r="U62" s="219">
        <v>4729</v>
      </c>
      <c r="V62" s="219">
        <v>4729</v>
      </c>
      <c r="W62" s="220">
        <v>4729</v>
      </c>
      <c r="X62" s="219">
        <v>4729</v>
      </c>
      <c r="Y62" s="219">
        <v>4729</v>
      </c>
      <c r="Z62" s="219">
        <v>4729</v>
      </c>
      <c r="AA62" s="219">
        <v>4729</v>
      </c>
      <c r="AB62" s="219">
        <v>4729</v>
      </c>
      <c r="AC62" s="204"/>
      <c r="AD62" s="204"/>
      <c r="AE62" s="204"/>
      <c r="AF62" s="204"/>
      <c r="AG62" s="204"/>
      <c r="AH62" s="204"/>
      <c r="AI62" s="204"/>
      <c r="AJ62" s="204"/>
      <c r="AK62" s="204"/>
      <c r="AL62" s="204"/>
      <c r="AM62" s="209"/>
      <c r="AN62" s="209"/>
      <c r="AO62" s="204"/>
      <c r="AP62" s="204"/>
      <c r="AQ62" s="204"/>
      <c r="AR62" s="204"/>
      <c r="AS62" s="204"/>
      <c r="AT62" s="204"/>
      <c r="AU62" s="204"/>
      <c r="AV62" s="204"/>
      <c r="AW62" s="204"/>
      <c r="AX62" s="204"/>
      <c r="AY62" s="204"/>
    </row>
    <row r="63" spans="1:52" ht="45.75" thickBot="1">
      <c r="A63" s="209"/>
      <c r="B63" s="37"/>
      <c r="C63" s="38" t="s">
        <v>92</v>
      </c>
      <c r="D63" s="37" t="s">
        <v>107</v>
      </c>
      <c r="E63" s="37" t="s">
        <v>108</v>
      </c>
      <c r="F63" s="37" t="s">
        <v>109</v>
      </c>
      <c r="G63" s="37" t="s">
        <v>110</v>
      </c>
      <c r="H63" s="37" t="s">
        <v>111</v>
      </c>
      <c r="I63" s="37" t="s">
        <v>112</v>
      </c>
      <c r="J63" s="37" t="s">
        <v>47</v>
      </c>
      <c r="K63" s="37" t="s">
        <v>67</v>
      </c>
      <c r="L63" s="37" t="s">
        <v>30</v>
      </c>
      <c r="M63" s="125"/>
      <c r="N63" s="125"/>
      <c r="O63" s="125"/>
      <c r="P63" s="125"/>
      <c r="Q63" s="125"/>
      <c r="R63" s="125"/>
      <c r="S63" s="218" t="s">
        <v>352</v>
      </c>
      <c r="T63" s="219">
        <v>1685</v>
      </c>
      <c r="U63" s="219">
        <v>1663</v>
      </c>
      <c r="V63" s="219">
        <v>1574</v>
      </c>
      <c r="W63" s="220">
        <v>1635</v>
      </c>
      <c r="X63" s="219">
        <v>1640</v>
      </c>
      <c r="Y63" s="219">
        <v>1627</v>
      </c>
      <c r="Z63" s="219">
        <v>1662</v>
      </c>
      <c r="AA63" s="219">
        <v>1736</v>
      </c>
      <c r="AB63" s="219">
        <v>1669</v>
      </c>
      <c r="AC63" s="204"/>
      <c r="AD63" s="204"/>
      <c r="AE63" s="204"/>
      <c r="AF63" s="204"/>
      <c r="AG63" s="209"/>
      <c r="AH63" s="209"/>
      <c r="AI63" s="209"/>
      <c r="AJ63" s="209"/>
      <c r="AK63" s="209"/>
      <c r="AL63" s="209"/>
      <c r="AM63" s="204"/>
      <c r="AN63" s="204"/>
      <c r="AO63" s="209"/>
      <c r="AP63" s="209"/>
      <c r="AQ63" s="209"/>
      <c r="AR63" s="209"/>
      <c r="AS63" s="209"/>
      <c r="AT63" s="209"/>
      <c r="AU63" s="209"/>
      <c r="AV63" s="209"/>
      <c r="AW63" s="209"/>
      <c r="AX63" s="209"/>
      <c r="AY63" s="209"/>
    </row>
    <row r="64" spans="1:52" ht="15" thickBot="1">
      <c r="A64" s="204"/>
      <c r="B64" s="35" t="s">
        <v>106</v>
      </c>
      <c r="C64" s="72">
        <f>C9</f>
        <v>0</v>
      </c>
      <c r="D64" s="76">
        <f>C36</f>
        <v>0.746</v>
      </c>
      <c r="E64" s="74">
        <f>C37</f>
        <v>0.9</v>
      </c>
      <c r="F64" s="86">
        <f>C10</f>
        <v>0</v>
      </c>
      <c r="G64" s="74">
        <f>C38</f>
        <v>0.46</v>
      </c>
      <c r="H64" s="72">
        <f>C11</f>
        <v>0</v>
      </c>
      <c r="I64" s="72">
        <f>C12</f>
        <v>0</v>
      </c>
      <c r="J64" s="73" t="e">
        <f>C64*D64*(E64/F64)*G64*H64*I64</f>
        <v>#DIV/0!</v>
      </c>
      <c r="K64" s="77" t="e">
        <f>J64*0.00014</f>
        <v>#DIV/0!</v>
      </c>
      <c r="L64" s="63" t="e">
        <f>IF(J64&gt;0,C39,0)</f>
        <v>#DIV/0!</v>
      </c>
      <c r="M64" s="125"/>
      <c r="N64" s="125"/>
      <c r="O64" s="125"/>
      <c r="P64" s="125"/>
      <c r="Q64" s="125"/>
      <c r="R64" s="125"/>
      <c r="S64" s="292" t="s">
        <v>353</v>
      </c>
      <c r="T64" s="293"/>
      <c r="U64" s="293"/>
      <c r="V64" s="293"/>
      <c r="W64" s="293"/>
      <c r="X64" s="293"/>
      <c r="Y64" s="293"/>
      <c r="Z64" s="293"/>
      <c r="AA64" s="293"/>
      <c r="AB64" s="29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row>
    <row r="65" spans="1:51" ht="15">
      <c r="A65" s="204"/>
      <c r="B65" s="125"/>
      <c r="C65" s="125"/>
      <c r="D65" s="125"/>
      <c r="E65" s="125"/>
      <c r="F65" s="125"/>
      <c r="G65" s="125"/>
      <c r="H65" s="125"/>
      <c r="I65" s="125"/>
      <c r="J65" s="125"/>
      <c r="K65" s="125"/>
      <c r="L65" s="125"/>
      <c r="M65" s="125"/>
      <c r="N65" s="125"/>
      <c r="O65" s="125"/>
      <c r="P65" s="125"/>
      <c r="Q65" s="125"/>
      <c r="R65" s="125"/>
      <c r="S65" s="125"/>
      <c r="T65" s="125"/>
      <c r="U65" s="204"/>
      <c r="V65" s="204"/>
      <c r="W65" s="204"/>
      <c r="X65" s="204"/>
      <c r="Y65" s="204"/>
      <c r="Z65" s="204"/>
      <c r="AA65" s="204"/>
      <c r="AB65" s="209"/>
      <c r="AC65" s="209"/>
      <c r="AD65" s="209"/>
      <c r="AE65" s="209"/>
      <c r="AF65" s="209"/>
      <c r="AG65" s="204"/>
      <c r="AH65" s="204"/>
      <c r="AI65" s="204"/>
      <c r="AJ65" s="204"/>
      <c r="AK65" s="204"/>
      <c r="AL65" s="204"/>
      <c r="AM65" s="204"/>
      <c r="AN65" s="204"/>
      <c r="AO65" s="204"/>
      <c r="AP65" s="204"/>
      <c r="AQ65" s="204"/>
      <c r="AR65" s="204"/>
      <c r="AS65" s="204"/>
      <c r="AT65" s="204"/>
      <c r="AU65" s="204"/>
      <c r="AV65" s="204"/>
      <c r="AW65" s="204"/>
      <c r="AX65" s="204"/>
      <c r="AY65" s="204"/>
    </row>
    <row r="66" spans="1:51" ht="45">
      <c r="A66" s="209"/>
      <c r="B66" s="37"/>
      <c r="C66" s="38" t="s">
        <v>141</v>
      </c>
      <c r="D66" s="37" t="s">
        <v>140</v>
      </c>
      <c r="E66" s="37" t="s">
        <v>248</v>
      </c>
      <c r="F66" s="37" t="s">
        <v>249</v>
      </c>
      <c r="G66" s="37" t="s">
        <v>152</v>
      </c>
      <c r="H66" s="38" t="s">
        <v>142</v>
      </c>
      <c r="I66" s="37" t="s">
        <v>143</v>
      </c>
      <c r="J66" s="37"/>
      <c r="K66" s="37" t="s">
        <v>47</v>
      </c>
      <c r="L66" s="37" t="s">
        <v>67</v>
      </c>
      <c r="M66" s="37" t="s">
        <v>30</v>
      </c>
      <c r="N66" s="125"/>
      <c r="O66" s="125"/>
      <c r="P66" s="125"/>
      <c r="Q66" s="125"/>
      <c r="R66" s="125"/>
      <c r="S66" s="125"/>
      <c r="T66" s="125"/>
      <c r="U66" s="125"/>
      <c r="V66" s="204"/>
      <c r="W66" s="204"/>
      <c r="X66" s="204"/>
      <c r="Y66" s="204"/>
      <c r="Z66" s="204"/>
      <c r="AA66" s="204"/>
      <c r="AB66" s="204"/>
      <c r="AC66" s="204"/>
      <c r="AD66" s="204"/>
      <c r="AE66" s="204"/>
      <c r="AF66" s="204"/>
      <c r="AG66" s="204"/>
      <c r="AH66" s="209"/>
      <c r="AI66" s="209"/>
      <c r="AJ66" s="209"/>
      <c r="AK66" s="209"/>
      <c r="AL66" s="209"/>
      <c r="AM66" s="209"/>
      <c r="AN66" s="209"/>
      <c r="AO66" s="209"/>
      <c r="AP66" s="209"/>
      <c r="AQ66" s="209"/>
      <c r="AR66" s="209"/>
      <c r="AS66" s="209"/>
      <c r="AT66" s="209"/>
      <c r="AU66" s="209"/>
      <c r="AV66" s="209"/>
      <c r="AW66" s="209"/>
      <c r="AX66" s="209"/>
      <c r="AY66" s="209"/>
    </row>
    <row r="67" spans="1:51">
      <c r="A67" s="204"/>
      <c r="B67" s="35" t="s">
        <v>138</v>
      </c>
      <c r="C67" s="72">
        <f>C13</f>
        <v>0</v>
      </c>
      <c r="D67" s="74" t="e">
        <f>VLOOKUP(C14,H48:K51,3,FALSE)</f>
        <v>#N/A</v>
      </c>
      <c r="E67" s="74" t="e">
        <f>VLOOKUP(C14,H47:K53,2,FALSE)</f>
        <v>#N/A</v>
      </c>
      <c r="F67" s="73" t="e">
        <f>VLOOKUP(C16,H48:K51,2,FALSE)</f>
        <v>#N/A</v>
      </c>
      <c r="G67" s="73" t="e">
        <f>IF($C$17=$B$48,INDEX($T$59:$AB$63,MATCH($C$18,$S$59:$S$63,0),MATCH($C$24,$T$58:$AB$58,0)),INDEX($T$52:$AB$56,MATCH($C$18,$S$52:$S$56,0),MATCH($C$24,$T$51:$AB$51,0)))</f>
        <v>#N/A</v>
      </c>
      <c r="H67" s="72">
        <f>C15</f>
        <v>0</v>
      </c>
      <c r="I67" s="74" t="e">
        <f>VLOOKUP(C16,H48:K51,4,FALSE)</f>
        <v>#N/A</v>
      </c>
      <c r="J67" s="73"/>
      <c r="K67" s="73" t="e">
        <f>(C67*(1/D67)*E67*G67*(1/1000))-(H67*(1/I67)*F67*G67*(1/1000))</f>
        <v>#N/A</v>
      </c>
      <c r="L67" s="77" t="e">
        <f>K67*C$28</f>
        <v>#N/A</v>
      </c>
      <c r="M67" s="63">
        <f>IF(C15&gt;0,C15*C40,0)</f>
        <v>0</v>
      </c>
      <c r="N67" s="125"/>
      <c r="O67" s="125"/>
      <c r="P67" s="125"/>
      <c r="Q67" s="125"/>
      <c r="R67" s="125"/>
      <c r="S67" s="125"/>
      <c r="T67" s="125"/>
      <c r="U67" s="125"/>
      <c r="V67" s="125"/>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row>
    <row r="68" spans="1:51">
      <c r="A68" s="204"/>
      <c r="B68" s="35"/>
      <c r="C68" s="72"/>
      <c r="D68" s="74"/>
      <c r="E68" s="74"/>
      <c r="F68" s="73"/>
      <c r="G68" s="73"/>
      <c r="H68" s="72"/>
      <c r="I68" s="74"/>
      <c r="J68" s="73"/>
      <c r="K68" s="73"/>
      <c r="L68" s="77"/>
      <c r="M68" s="63"/>
      <c r="N68" s="125"/>
      <c r="O68" s="125"/>
      <c r="P68" s="125"/>
      <c r="Q68" s="125"/>
      <c r="R68" s="125"/>
      <c r="S68" s="125"/>
      <c r="T68" s="125"/>
      <c r="U68" s="125"/>
      <c r="V68" s="125"/>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row>
    <row r="69" spans="1:51" ht="15" thickBot="1">
      <c r="A69" s="204"/>
      <c r="B69" s="125"/>
      <c r="C69" s="125"/>
      <c r="D69" s="125"/>
      <c r="E69" s="125"/>
      <c r="F69" s="125"/>
      <c r="G69" s="125"/>
      <c r="H69" s="125"/>
      <c r="I69" s="125"/>
      <c r="J69" s="125"/>
      <c r="K69" s="125"/>
      <c r="L69" s="125"/>
      <c r="M69" s="125"/>
      <c r="N69" s="125"/>
      <c r="O69" s="125"/>
      <c r="P69" s="125"/>
      <c r="Q69" s="125"/>
      <c r="R69" s="125"/>
      <c r="S69" s="125"/>
      <c r="T69" s="125"/>
      <c r="U69" s="125"/>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row>
    <row r="70" spans="1:51" ht="45.75" thickBot="1">
      <c r="A70" s="209"/>
      <c r="B70" s="37"/>
      <c r="C70" s="37" t="s">
        <v>235</v>
      </c>
      <c r="D70" s="37" t="s">
        <v>236</v>
      </c>
      <c r="E70" s="37" t="s">
        <v>237</v>
      </c>
      <c r="F70" s="37" t="s">
        <v>238</v>
      </c>
      <c r="G70" s="38" t="s">
        <v>165</v>
      </c>
      <c r="H70" s="37" t="s">
        <v>152</v>
      </c>
      <c r="I70" s="37" t="s">
        <v>47</v>
      </c>
      <c r="J70" s="37" t="s">
        <v>67</v>
      </c>
      <c r="K70" s="37" t="s">
        <v>30</v>
      </c>
      <c r="L70" s="125"/>
      <c r="M70" s="125"/>
      <c r="N70" s="125"/>
      <c r="O70" s="125"/>
      <c r="P70" s="125"/>
      <c r="Q70" s="125"/>
      <c r="R70" s="125"/>
      <c r="S70" s="125"/>
      <c r="T70" s="215" t="s">
        <v>73</v>
      </c>
      <c r="U70" s="244"/>
      <c r="V70" s="204"/>
      <c r="W70" s="204"/>
      <c r="X70" s="204"/>
      <c r="Y70" s="204"/>
      <c r="Z70" s="204"/>
      <c r="AA70" s="209"/>
      <c r="AB70" s="204"/>
      <c r="AC70" s="204"/>
      <c r="AD70" s="204"/>
      <c r="AE70" s="204"/>
      <c r="AF70" s="204"/>
      <c r="AG70" s="209"/>
      <c r="AH70" s="209"/>
      <c r="AI70" s="209"/>
      <c r="AJ70" s="209"/>
      <c r="AK70" s="209"/>
      <c r="AL70" s="209"/>
      <c r="AM70" s="204"/>
      <c r="AN70" s="204"/>
      <c r="AO70" s="209"/>
      <c r="AP70" s="209"/>
      <c r="AQ70" s="209"/>
      <c r="AR70" s="209"/>
      <c r="AS70" s="209"/>
      <c r="AT70" s="209"/>
      <c r="AU70" s="209"/>
      <c r="AV70" s="209"/>
      <c r="AW70" s="209"/>
      <c r="AX70" s="209"/>
      <c r="AY70" s="209"/>
    </row>
    <row r="71" spans="1:51" ht="15" thickBot="1">
      <c r="A71" s="204"/>
      <c r="B71" s="35" t="s">
        <v>156</v>
      </c>
      <c r="C71" s="72">
        <f>C20</f>
        <v>0</v>
      </c>
      <c r="D71" s="72">
        <f>C21</f>
        <v>0</v>
      </c>
      <c r="E71" s="72" t="e">
        <f>VLOOKUP($C$22,$AH$47:$AK$51,3,FALSE)</f>
        <v>#N/A</v>
      </c>
      <c r="F71" s="72" t="e">
        <f>VLOOKUP($C$23,$AH$47:$AK$51,2,FALSE)</f>
        <v>#N/A</v>
      </c>
      <c r="G71" s="73" t="e">
        <f>E71-F71</f>
        <v>#N/A</v>
      </c>
      <c r="H71" s="73" t="e">
        <f>VLOOKUP($C$24,$T$71:$U$79,2,FALSE)</f>
        <v>#N/A</v>
      </c>
      <c r="I71" s="73" t="e">
        <f>G71/1000*H71</f>
        <v>#N/A</v>
      </c>
      <c r="J71" s="96" t="e">
        <f>D71*G71/1000*C$41</f>
        <v>#N/A</v>
      </c>
      <c r="K71" s="63">
        <f>IF(C21&gt;0,C21*C42,0)</f>
        <v>0</v>
      </c>
      <c r="L71" s="125"/>
      <c r="M71" s="125"/>
      <c r="N71" s="125"/>
      <c r="O71" s="125"/>
      <c r="P71" s="125"/>
      <c r="Q71" s="125"/>
      <c r="R71" s="125"/>
      <c r="S71" s="125"/>
      <c r="T71" s="245" t="s">
        <v>342</v>
      </c>
      <c r="U71" s="219">
        <v>2459</v>
      </c>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row>
    <row r="72" spans="1:51" ht="24.75" thickBot="1">
      <c r="A72" s="204"/>
      <c r="B72" s="125"/>
      <c r="C72" s="125"/>
      <c r="D72" s="125"/>
      <c r="E72" s="125"/>
      <c r="F72" s="125"/>
      <c r="G72" s="125"/>
      <c r="H72" s="125"/>
      <c r="I72" s="125"/>
      <c r="J72" s="125"/>
      <c r="K72" s="125"/>
      <c r="L72" s="125"/>
      <c r="M72" s="125"/>
      <c r="N72" s="125"/>
      <c r="O72" s="125"/>
      <c r="P72" s="125"/>
      <c r="Q72" s="125"/>
      <c r="R72" s="125"/>
      <c r="S72" s="125"/>
      <c r="T72" s="245" t="s">
        <v>343</v>
      </c>
      <c r="U72" s="219">
        <v>1526</v>
      </c>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row>
    <row r="73" spans="1:51" ht="17.25" thickBot="1">
      <c r="A73" s="204"/>
      <c r="B73" s="37"/>
      <c r="C73" s="37" t="s">
        <v>269</v>
      </c>
      <c r="D73" s="37" t="s">
        <v>362</v>
      </c>
      <c r="E73" s="37" t="s">
        <v>273</v>
      </c>
      <c r="F73" s="37" t="s">
        <v>41</v>
      </c>
      <c r="G73" s="37" t="s">
        <v>27</v>
      </c>
      <c r="H73" s="37" t="s">
        <v>1</v>
      </c>
      <c r="I73" s="37" t="s">
        <v>32</v>
      </c>
      <c r="J73" s="37"/>
      <c r="K73" s="37"/>
      <c r="L73" s="125"/>
      <c r="M73" s="295" t="s">
        <v>361</v>
      </c>
      <c r="N73" s="297"/>
      <c r="O73" s="295" t="s">
        <v>362</v>
      </c>
      <c r="P73" s="296"/>
      <c r="Q73" s="295" t="s">
        <v>365</v>
      </c>
      <c r="R73" s="296"/>
      <c r="S73" s="125"/>
      <c r="T73" s="245" t="s">
        <v>344</v>
      </c>
      <c r="U73" s="219">
        <v>1340</v>
      </c>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row>
    <row r="74" spans="1:51" ht="15" thickBot="1">
      <c r="A74" s="204"/>
      <c r="B74" s="35" t="s">
        <v>360</v>
      </c>
      <c r="C74" s="236" t="e">
        <f>VLOOKUP('Heat Reclaimers'!$C$13,'Ag Measures Calcs'!$M$74:$N$75,2,FALSE)</f>
        <v>#N/A</v>
      </c>
      <c r="D74" s="236" t="e">
        <f>VLOOKUP('Heat Reclaimers'!$C$9,'Ag Measures Calcs'!$O$74:$P$75,2,FALSE)</f>
        <v>#N/A</v>
      </c>
      <c r="E74" s="236" t="e">
        <f>VLOOKUP('Heat Reclaimers'!$C$14,'Ag Measures Calcs'!$Q$74:$R$75,2,FALSE)</f>
        <v>#N/A</v>
      </c>
      <c r="F74" s="72">
        <f>'Heat Reclaimers'!$C$11</f>
        <v>0</v>
      </c>
      <c r="G74" s="73">
        <f>'Heat Reclaimers'!$C$10</f>
        <v>0</v>
      </c>
      <c r="H74" s="73" t="e">
        <f>($C$74/$D$74)*$F$74*$G$74*$E$74</f>
        <v>#N/A</v>
      </c>
      <c r="I74" s="77" t="e">
        <f>H74*$C$28</f>
        <v>#N/A</v>
      </c>
      <c r="J74" s="96"/>
      <c r="K74" s="63"/>
      <c r="L74" s="125"/>
      <c r="M74" s="240" t="s">
        <v>51</v>
      </c>
      <c r="N74" s="241">
        <v>0.28999999999999998</v>
      </c>
      <c r="O74" s="240" t="s">
        <v>363</v>
      </c>
      <c r="P74" s="242">
        <v>0.9</v>
      </c>
      <c r="Q74" s="240" t="s">
        <v>51</v>
      </c>
      <c r="R74" s="242">
        <v>1</v>
      </c>
      <c r="S74" s="125"/>
      <c r="T74" s="245" t="s">
        <v>345</v>
      </c>
      <c r="U74" s="219">
        <v>2124</v>
      </c>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row>
    <row r="75" spans="1:51" ht="15" thickBot="1">
      <c r="A75" s="204"/>
      <c r="B75" s="125"/>
      <c r="C75" s="125"/>
      <c r="D75" s="125"/>
      <c r="E75" s="125"/>
      <c r="F75" s="125"/>
      <c r="G75" s="125"/>
      <c r="H75" s="125"/>
      <c r="I75" s="125"/>
      <c r="J75" s="125"/>
      <c r="K75" s="125"/>
      <c r="L75" s="125"/>
      <c r="M75" s="237" t="s">
        <v>46</v>
      </c>
      <c r="N75" s="239">
        <v>0.38</v>
      </c>
      <c r="O75" s="237" t="s">
        <v>364</v>
      </c>
      <c r="P75" s="238">
        <v>2</v>
      </c>
      <c r="Q75" s="237" t="s">
        <v>46</v>
      </c>
      <c r="R75" s="238">
        <v>0.5</v>
      </c>
      <c r="S75" s="125"/>
      <c r="T75" s="245" t="s">
        <v>346</v>
      </c>
      <c r="U75" s="219">
        <v>2718</v>
      </c>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row>
    <row r="76" spans="1:51" ht="24.75" thickBot="1">
      <c r="A76" s="204"/>
      <c r="B76" s="125"/>
      <c r="C76" s="125"/>
      <c r="D76" s="125"/>
      <c r="E76" s="125"/>
      <c r="F76" s="125"/>
      <c r="G76" s="125"/>
      <c r="H76" s="125"/>
      <c r="I76" s="125"/>
      <c r="J76" s="125"/>
      <c r="K76" s="125"/>
      <c r="L76" s="125"/>
      <c r="M76" s="125"/>
      <c r="N76" s="125"/>
      <c r="O76" s="125"/>
      <c r="P76" s="125"/>
      <c r="Q76" s="125"/>
      <c r="R76" s="125"/>
      <c r="S76" s="125"/>
      <c r="T76" s="245" t="s">
        <v>347</v>
      </c>
      <c r="U76" s="219">
        <v>2914</v>
      </c>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row>
    <row r="77" spans="1:51" ht="15" thickBot="1">
      <c r="A77" s="204"/>
      <c r="B77" s="125"/>
      <c r="C77" s="125"/>
      <c r="D77" s="125"/>
      <c r="E77" s="125"/>
      <c r="F77" s="125"/>
      <c r="G77" s="125"/>
      <c r="H77" s="125"/>
      <c r="I77" s="125"/>
      <c r="J77" s="125"/>
      <c r="K77" s="125"/>
      <c r="L77" s="125"/>
      <c r="M77" s="125"/>
      <c r="N77" s="125"/>
      <c r="O77" s="125"/>
      <c r="P77" s="125"/>
      <c r="Q77" s="125"/>
      <c r="R77" s="125"/>
      <c r="S77" s="125"/>
      <c r="T77" s="245" t="s">
        <v>348</v>
      </c>
      <c r="U77" s="219">
        <v>2296</v>
      </c>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row>
    <row r="78" spans="1:51" ht="15" thickBot="1">
      <c r="A78" s="204"/>
      <c r="B78" s="125"/>
      <c r="C78" s="125"/>
      <c r="D78" s="125"/>
      <c r="E78" s="125"/>
      <c r="F78" s="125"/>
      <c r="G78" s="125"/>
      <c r="H78" s="125"/>
      <c r="I78" s="125"/>
      <c r="J78" s="125"/>
      <c r="K78" s="125"/>
      <c r="L78" s="125"/>
      <c r="M78" s="125"/>
      <c r="N78" s="125"/>
      <c r="O78" s="125"/>
      <c r="P78" s="125"/>
      <c r="Q78" s="125"/>
      <c r="R78" s="125"/>
      <c r="S78" s="125"/>
      <c r="T78" s="245" t="s">
        <v>349</v>
      </c>
      <c r="U78" s="219">
        <v>2154</v>
      </c>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row>
    <row r="79" spans="1:51" ht="24.75" thickBot="1">
      <c r="A79" s="204"/>
      <c r="B79" s="125"/>
      <c r="C79" s="125"/>
      <c r="D79" s="125"/>
      <c r="E79" s="125"/>
      <c r="F79" s="125"/>
      <c r="G79" s="125"/>
      <c r="H79" s="125"/>
      <c r="I79" s="125"/>
      <c r="J79" s="125"/>
      <c r="K79" s="125"/>
      <c r="L79" s="125"/>
      <c r="M79" s="125"/>
      <c r="N79" s="125"/>
      <c r="O79" s="125"/>
      <c r="P79" s="125"/>
      <c r="Q79" s="125"/>
      <c r="R79" s="125"/>
      <c r="S79" s="125"/>
      <c r="T79" s="245" t="s">
        <v>350</v>
      </c>
      <c r="U79" s="219">
        <v>2371</v>
      </c>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row>
    <row r="80" spans="1:51">
      <c r="A80" s="204"/>
      <c r="B80" s="125"/>
      <c r="C80" s="125"/>
      <c r="D80" s="125"/>
      <c r="E80" s="125"/>
      <c r="F80" s="125"/>
      <c r="G80" s="125"/>
      <c r="H80" s="125"/>
      <c r="I80" s="125"/>
      <c r="J80" s="125"/>
      <c r="K80" s="125"/>
      <c r="L80" s="125"/>
      <c r="M80" s="125"/>
      <c r="N80" s="125"/>
      <c r="O80" s="125"/>
      <c r="P80" s="125"/>
      <c r="Q80" s="125"/>
      <c r="R80" s="125"/>
      <c r="S80" s="125"/>
      <c r="T80" s="125"/>
      <c r="U80" s="125"/>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row>
    <row r="81" spans="1:51">
      <c r="A81" s="204"/>
      <c r="B81" s="125"/>
      <c r="C81" s="125"/>
      <c r="D81" s="125"/>
      <c r="E81" s="125"/>
      <c r="F81" s="125"/>
      <c r="G81" s="125"/>
      <c r="H81" s="125"/>
      <c r="I81" s="125"/>
      <c r="J81" s="125"/>
      <c r="K81" s="125"/>
      <c r="L81" s="125"/>
      <c r="M81" s="125"/>
      <c r="N81" s="125"/>
      <c r="O81" s="125"/>
      <c r="P81" s="125"/>
      <c r="Q81" s="125"/>
      <c r="R81" s="125"/>
      <c r="S81" s="125"/>
      <c r="T81" s="125"/>
      <c r="U81" s="125"/>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row>
    <row r="82" spans="1:51">
      <c r="A82" s="204"/>
      <c r="B82" s="125"/>
      <c r="C82" s="125"/>
      <c r="D82" s="125"/>
      <c r="E82" s="125"/>
      <c r="F82" s="125"/>
      <c r="G82" s="125"/>
      <c r="H82" s="125"/>
      <c r="I82" s="125"/>
      <c r="J82" s="125"/>
      <c r="K82" s="125"/>
      <c r="L82" s="125"/>
      <c r="M82" s="125"/>
      <c r="N82" s="125"/>
      <c r="O82" s="125"/>
      <c r="P82" s="125"/>
      <c r="Q82" s="125"/>
      <c r="R82" s="125"/>
      <c r="S82" s="125"/>
      <c r="T82" s="125"/>
      <c r="U82" s="125"/>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row>
    <row r="83" spans="1:51">
      <c r="A83" s="204"/>
      <c r="B83" s="125"/>
      <c r="C83" s="125"/>
      <c r="D83" s="125"/>
      <c r="E83" s="125"/>
      <c r="F83" s="125"/>
      <c r="G83" s="125"/>
      <c r="H83" s="125"/>
      <c r="I83" s="125"/>
      <c r="J83" s="125"/>
      <c r="K83" s="125"/>
      <c r="L83" s="125"/>
      <c r="M83" s="125"/>
      <c r="N83" s="125"/>
      <c r="O83" s="125"/>
      <c r="P83" s="125"/>
      <c r="Q83" s="125"/>
      <c r="R83" s="125"/>
      <c r="S83" s="125"/>
      <c r="T83" s="125"/>
      <c r="U83" s="125"/>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row>
    <row r="84" spans="1:51">
      <c r="A84" s="204"/>
      <c r="B84" s="125"/>
      <c r="C84" s="125"/>
      <c r="D84" s="125"/>
      <c r="E84" s="125"/>
      <c r="F84" s="125"/>
      <c r="G84" s="125"/>
      <c r="H84" s="125"/>
      <c r="I84" s="125"/>
      <c r="J84" s="125"/>
      <c r="K84" s="125"/>
      <c r="L84" s="125"/>
      <c r="M84" s="125"/>
      <c r="N84" s="125"/>
      <c r="O84" s="125"/>
      <c r="P84" s="125"/>
      <c r="Q84" s="125"/>
      <c r="R84" s="125"/>
      <c r="S84" s="125"/>
      <c r="T84" s="125"/>
      <c r="U84" s="125"/>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row>
    <row r="85" spans="1:51">
      <c r="A85" s="204"/>
      <c r="B85" s="125"/>
      <c r="C85" s="125"/>
      <c r="D85" s="125"/>
      <c r="E85" s="125"/>
      <c r="F85" s="125"/>
      <c r="G85" s="125"/>
      <c r="H85" s="125"/>
      <c r="I85" s="125"/>
      <c r="J85" s="125"/>
      <c r="K85" s="125"/>
      <c r="L85" s="125"/>
      <c r="M85" s="125"/>
      <c r="N85" s="125"/>
      <c r="O85" s="125"/>
      <c r="P85" s="125"/>
      <c r="Q85" s="125"/>
      <c r="R85" s="125"/>
      <c r="S85" s="125"/>
      <c r="T85" s="125"/>
      <c r="U85" s="125"/>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row>
    <row r="86" spans="1:51">
      <c r="A86" s="204"/>
      <c r="B86" s="125"/>
      <c r="C86" s="125"/>
      <c r="D86" s="125"/>
      <c r="E86" s="125"/>
      <c r="F86" s="125"/>
      <c r="G86" s="125"/>
      <c r="H86" s="125"/>
      <c r="I86" s="125"/>
      <c r="J86" s="125"/>
      <c r="K86" s="125"/>
      <c r="L86" s="125"/>
      <c r="M86" s="125"/>
      <c r="N86" s="125"/>
      <c r="O86" s="125"/>
      <c r="P86" s="125"/>
      <c r="Q86" s="125"/>
      <c r="R86" s="125"/>
      <c r="S86" s="125"/>
      <c r="T86" s="125"/>
      <c r="U86" s="125"/>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row>
    <row r="87" spans="1:51">
      <c r="A87" s="204"/>
      <c r="B87" s="125"/>
      <c r="C87" s="125"/>
      <c r="D87" s="125"/>
      <c r="E87" s="125"/>
      <c r="F87" s="125"/>
      <c r="G87" s="125"/>
      <c r="H87" s="125"/>
      <c r="I87" s="125"/>
      <c r="J87" s="125"/>
      <c r="K87" s="125"/>
      <c r="L87" s="125"/>
      <c r="M87" s="125"/>
      <c r="N87" s="125"/>
      <c r="O87" s="125"/>
      <c r="P87" s="125"/>
      <c r="Q87" s="125"/>
      <c r="R87" s="125"/>
      <c r="S87" s="125"/>
      <c r="T87" s="125"/>
      <c r="U87" s="125"/>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row>
    <row r="88" spans="1:51">
      <c r="A88" s="204"/>
      <c r="B88" s="125"/>
      <c r="C88" s="125"/>
      <c r="D88" s="125"/>
      <c r="E88" s="125"/>
      <c r="F88" s="125"/>
      <c r="G88" s="125"/>
      <c r="H88" s="125"/>
      <c r="I88" s="125"/>
      <c r="J88" s="125"/>
      <c r="K88" s="125"/>
      <c r="L88" s="125"/>
      <c r="M88" s="125"/>
      <c r="N88" s="125"/>
      <c r="O88" s="125"/>
      <c r="P88" s="125"/>
      <c r="Q88" s="125"/>
      <c r="R88" s="125"/>
      <c r="S88" s="125"/>
      <c r="T88" s="125"/>
      <c r="U88" s="125"/>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row>
    <row r="89" spans="1:51" ht="18">
      <c r="A89" s="204"/>
      <c r="B89" s="205"/>
      <c r="C89" s="206"/>
      <c r="D89" s="205"/>
      <c r="E89" s="125"/>
      <c r="F89" s="205"/>
      <c r="G89" s="125"/>
      <c r="H89" s="125"/>
      <c r="I89" s="125"/>
      <c r="J89" s="125"/>
      <c r="K89" s="125"/>
      <c r="L89" s="125"/>
      <c r="M89" s="125"/>
      <c r="N89" s="125"/>
      <c r="O89" s="125"/>
      <c r="P89" s="125"/>
      <c r="Q89" s="125"/>
      <c r="R89" s="125"/>
      <c r="S89" s="125"/>
      <c r="T89" s="125"/>
      <c r="U89" s="125"/>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row>
    <row r="90" spans="1:51">
      <c r="A90" s="204"/>
      <c r="B90" s="35"/>
      <c r="C90" s="35"/>
      <c r="D90" s="35"/>
      <c r="E90" s="125"/>
      <c r="F90" s="35"/>
      <c r="G90" s="125"/>
      <c r="H90" s="125"/>
      <c r="I90" s="125"/>
      <c r="J90" s="125"/>
      <c r="K90" s="125"/>
      <c r="L90" s="125"/>
      <c r="M90" s="125"/>
      <c r="N90" s="125"/>
      <c r="O90" s="125"/>
      <c r="P90" s="125"/>
      <c r="Q90" s="125"/>
      <c r="R90" s="125"/>
      <c r="S90" s="125"/>
      <c r="T90" s="125"/>
      <c r="U90" s="125"/>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row>
    <row r="91" spans="1:51">
      <c r="A91" s="204"/>
      <c r="B91" s="125"/>
      <c r="C91" s="125"/>
      <c r="D91" s="125"/>
      <c r="E91" s="125"/>
      <c r="F91" s="125"/>
      <c r="G91" s="125"/>
      <c r="H91" s="125"/>
      <c r="I91" s="125"/>
      <c r="J91" s="125"/>
      <c r="K91" s="125"/>
      <c r="L91" s="125"/>
      <c r="M91" s="125"/>
      <c r="N91" s="125"/>
      <c r="O91" s="125"/>
      <c r="P91" s="125"/>
      <c r="Q91" s="125"/>
      <c r="R91" s="125"/>
      <c r="S91" s="125"/>
      <c r="T91" s="125"/>
      <c r="U91" s="125"/>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row>
    <row r="92" spans="1:51">
      <c r="A92" s="204"/>
      <c r="B92" s="125"/>
      <c r="C92" s="125"/>
      <c r="D92" s="125"/>
      <c r="E92" s="125"/>
      <c r="F92" s="125"/>
      <c r="G92" s="125"/>
      <c r="H92" s="125"/>
      <c r="I92" s="125"/>
      <c r="J92" s="125"/>
      <c r="K92" s="125"/>
      <c r="L92" s="125"/>
      <c r="M92" s="125"/>
      <c r="N92" s="125"/>
      <c r="O92" s="125"/>
      <c r="P92" s="125"/>
      <c r="Q92" s="125"/>
      <c r="R92" s="125"/>
      <c r="S92" s="125"/>
      <c r="T92" s="125"/>
      <c r="U92" s="125"/>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row>
    <row r="93" spans="1:51">
      <c r="A93" s="204"/>
      <c r="B93" s="125"/>
      <c r="C93" s="125"/>
      <c r="D93" s="125"/>
      <c r="E93" s="125"/>
      <c r="F93" s="125"/>
      <c r="G93" s="125"/>
      <c r="H93" s="125"/>
      <c r="I93" s="125"/>
      <c r="J93" s="125"/>
      <c r="K93" s="125"/>
      <c r="L93" s="125"/>
      <c r="M93" s="125"/>
      <c r="N93" s="125"/>
      <c r="O93" s="125"/>
      <c r="P93" s="125"/>
      <c r="Q93" s="125"/>
      <c r="R93" s="125"/>
      <c r="S93" s="125"/>
      <c r="T93" s="125"/>
      <c r="U93" s="125"/>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row>
    <row r="94" spans="1:51">
      <c r="A94" s="204"/>
      <c r="B94" s="125"/>
      <c r="C94" s="125"/>
      <c r="D94" s="125"/>
      <c r="E94" s="125"/>
      <c r="F94" s="125"/>
      <c r="G94" s="125"/>
      <c r="H94" s="125"/>
      <c r="I94" s="125"/>
      <c r="J94" s="125"/>
      <c r="K94" s="125"/>
      <c r="L94" s="125"/>
      <c r="M94" s="125"/>
      <c r="N94" s="125"/>
      <c r="O94" s="125"/>
      <c r="P94" s="125"/>
      <c r="Q94" s="125"/>
      <c r="R94" s="125"/>
      <c r="S94" s="125"/>
      <c r="T94" s="125"/>
      <c r="U94" s="125"/>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row>
    <row r="95" spans="1:51">
      <c r="A95" s="204"/>
      <c r="B95" s="125"/>
      <c r="C95" s="125"/>
      <c r="D95" s="125"/>
      <c r="E95" s="125"/>
      <c r="F95" s="125"/>
      <c r="G95" s="125"/>
      <c r="H95" s="125"/>
      <c r="I95" s="125"/>
      <c r="J95" s="125"/>
      <c r="K95" s="125"/>
      <c r="L95" s="125"/>
      <c r="M95" s="125"/>
      <c r="N95" s="125"/>
      <c r="O95" s="125"/>
      <c r="P95" s="125"/>
      <c r="Q95" s="125"/>
      <c r="R95" s="125"/>
      <c r="S95" s="125"/>
      <c r="T95" s="125"/>
      <c r="U95" s="125"/>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row>
    <row r="96" spans="1:51">
      <c r="A96" s="204"/>
      <c r="B96" s="125"/>
      <c r="C96" s="125"/>
      <c r="D96" s="125"/>
      <c r="E96" s="125"/>
      <c r="F96" s="125"/>
      <c r="G96" s="125"/>
      <c r="H96" s="125"/>
      <c r="I96" s="125"/>
      <c r="J96" s="125"/>
      <c r="K96" s="125"/>
      <c r="L96" s="125"/>
      <c r="M96" s="125"/>
      <c r="N96" s="125"/>
      <c r="O96" s="125"/>
      <c r="P96" s="125"/>
      <c r="Q96" s="125"/>
      <c r="R96" s="125"/>
      <c r="S96" s="125"/>
      <c r="T96" s="125"/>
      <c r="U96" s="125"/>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row>
    <row r="97" spans="1:45">
      <c r="A97" s="204"/>
      <c r="B97" s="125"/>
      <c r="C97" s="125"/>
      <c r="D97" s="125"/>
      <c r="E97" s="125"/>
      <c r="F97" s="125"/>
      <c r="G97" s="125"/>
      <c r="H97" s="125"/>
      <c r="I97" s="125"/>
      <c r="J97" s="125"/>
      <c r="K97" s="125"/>
      <c r="L97" s="125"/>
      <c r="M97" s="125"/>
      <c r="N97" s="125"/>
      <c r="O97" s="125"/>
      <c r="P97" s="125"/>
      <c r="Q97" s="125"/>
      <c r="R97" s="125"/>
      <c r="S97" s="125"/>
      <c r="T97" s="125"/>
      <c r="U97" s="125"/>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row>
    <row r="98" spans="1:45">
      <c r="A98" s="204"/>
      <c r="B98" s="125"/>
      <c r="C98" s="125"/>
      <c r="D98" s="125"/>
      <c r="E98" s="125"/>
      <c r="F98" s="125"/>
      <c r="G98" s="125"/>
      <c r="H98" s="125"/>
      <c r="I98" s="125"/>
      <c r="J98" s="125"/>
      <c r="K98" s="125"/>
      <c r="L98" s="125"/>
      <c r="M98" s="125"/>
      <c r="N98" s="125"/>
      <c r="O98" s="125"/>
      <c r="P98" s="125"/>
      <c r="Q98" s="125"/>
      <c r="R98" s="125"/>
      <c r="S98" s="125"/>
      <c r="T98" s="125"/>
      <c r="U98" s="125"/>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row>
    <row r="99" spans="1:45">
      <c r="A99" s="204"/>
      <c r="B99" s="125"/>
      <c r="C99" s="125"/>
      <c r="D99" s="125"/>
      <c r="E99" s="125"/>
      <c r="F99" s="125"/>
      <c r="G99" s="125"/>
      <c r="H99" s="125"/>
      <c r="I99" s="125"/>
      <c r="J99" s="125"/>
      <c r="K99" s="125"/>
      <c r="L99" s="125"/>
      <c r="M99" s="125"/>
      <c r="N99" s="125"/>
      <c r="O99" s="125"/>
      <c r="P99" s="125"/>
      <c r="Q99" s="125"/>
      <c r="R99" s="125"/>
      <c r="S99" s="125"/>
      <c r="T99" s="125"/>
      <c r="U99" s="125"/>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row>
    <row r="100" spans="1:45">
      <c r="A100" s="204"/>
      <c r="B100" s="125"/>
      <c r="C100" s="125"/>
      <c r="D100" s="125"/>
      <c r="E100" s="125"/>
      <c r="F100" s="125"/>
      <c r="G100" s="125"/>
      <c r="H100" s="125"/>
      <c r="I100" s="125"/>
      <c r="J100" s="125"/>
      <c r="K100" s="125"/>
      <c r="L100" s="125"/>
      <c r="M100" s="125"/>
      <c r="N100" s="125"/>
      <c r="O100" s="125"/>
      <c r="P100" s="125"/>
      <c r="Q100" s="125"/>
      <c r="R100" s="125"/>
      <c r="S100" s="125"/>
      <c r="T100" s="125"/>
      <c r="U100" s="125"/>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row>
    <row r="101" spans="1:45">
      <c r="A101" s="204"/>
      <c r="B101" s="125"/>
      <c r="C101" s="125"/>
      <c r="D101" s="125"/>
      <c r="E101" s="125"/>
      <c r="F101" s="125"/>
      <c r="G101" s="125"/>
      <c r="H101" s="125"/>
      <c r="I101" s="125"/>
      <c r="J101" s="125"/>
      <c r="K101" s="125"/>
      <c r="L101" s="125"/>
      <c r="M101" s="125"/>
      <c r="N101" s="125"/>
      <c r="O101" s="125"/>
      <c r="P101" s="125"/>
      <c r="Q101" s="125"/>
      <c r="R101" s="125"/>
      <c r="S101" s="125"/>
      <c r="T101" s="125"/>
      <c r="U101" s="125"/>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row>
    <row r="102" spans="1:45">
      <c r="A102" s="204"/>
      <c r="B102" s="125"/>
      <c r="C102" s="125"/>
      <c r="D102" s="125"/>
      <c r="E102" s="125"/>
      <c r="F102" s="125"/>
      <c r="G102" s="125"/>
      <c r="H102" s="125"/>
      <c r="I102" s="125"/>
      <c r="J102" s="125"/>
      <c r="K102" s="125"/>
      <c r="L102" s="125"/>
      <c r="M102" s="125"/>
      <c r="N102" s="125"/>
      <c r="O102" s="125"/>
      <c r="P102" s="125"/>
      <c r="Q102" s="125"/>
      <c r="R102" s="125"/>
      <c r="S102" s="125"/>
      <c r="T102" s="125"/>
      <c r="U102" s="125"/>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row>
    <row r="103" spans="1:45">
      <c r="A103" s="204"/>
      <c r="B103" s="125"/>
      <c r="C103" s="125"/>
      <c r="D103" s="125"/>
      <c r="E103" s="125"/>
      <c r="F103" s="125"/>
      <c r="G103" s="125"/>
      <c r="H103" s="125"/>
      <c r="I103" s="125"/>
      <c r="J103" s="125"/>
      <c r="K103" s="125"/>
      <c r="L103" s="125"/>
      <c r="M103" s="125"/>
      <c r="N103" s="125"/>
      <c r="O103" s="125"/>
      <c r="P103" s="125"/>
      <c r="Q103" s="125"/>
      <c r="R103" s="125"/>
      <c r="S103" s="125"/>
      <c r="T103" s="125"/>
      <c r="U103" s="125"/>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row>
    <row r="104" spans="1:45">
      <c r="A104" s="204"/>
      <c r="B104" s="125"/>
      <c r="C104" s="125"/>
      <c r="D104" s="125"/>
      <c r="E104" s="125"/>
      <c r="F104" s="125"/>
      <c r="G104" s="125"/>
      <c r="H104" s="125"/>
      <c r="I104" s="125"/>
      <c r="J104" s="125"/>
      <c r="K104" s="125"/>
      <c r="L104" s="125"/>
      <c r="M104" s="125"/>
      <c r="N104" s="125"/>
      <c r="O104" s="125"/>
      <c r="P104" s="125"/>
      <c r="Q104" s="125"/>
      <c r="R104" s="125"/>
      <c r="S104" s="125"/>
      <c r="T104" s="125"/>
      <c r="U104" s="125"/>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row>
    <row r="105" spans="1:45">
      <c r="A105" s="204"/>
      <c r="B105" s="125"/>
      <c r="C105" s="125"/>
      <c r="D105" s="125"/>
      <c r="E105" s="125"/>
      <c r="F105" s="125"/>
      <c r="G105" s="125"/>
      <c r="H105" s="125"/>
      <c r="I105" s="125"/>
      <c r="J105" s="125"/>
      <c r="K105" s="125"/>
      <c r="L105" s="125"/>
      <c r="M105" s="125"/>
      <c r="N105" s="125"/>
      <c r="O105" s="125"/>
      <c r="P105" s="125"/>
      <c r="Q105" s="125"/>
      <c r="R105" s="125"/>
      <c r="S105" s="125"/>
      <c r="T105" s="125"/>
      <c r="U105" s="125"/>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row>
    <row r="106" spans="1:45">
      <c r="A106" s="204"/>
      <c r="B106" s="125"/>
      <c r="C106" s="125"/>
      <c r="D106" s="125"/>
      <c r="E106" s="125"/>
      <c r="F106" s="125"/>
      <c r="G106" s="125"/>
      <c r="H106" s="125"/>
      <c r="I106" s="125"/>
      <c r="J106" s="125"/>
      <c r="K106" s="125"/>
      <c r="L106" s="125"/>
      <c r="M106" s="125"/>
      <c r="N106" s="125"/>
      <c r="O106" s="125"/>
      <c r="P106" s="125"/>
      <c r="Q106" s="125"/>
      <c r="R106" s="125"/>
      <c r="S106" s="125"/>
      <c r="T106" s="125"/>
      <c r="U106" s="125"/>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row>
    <row r="107" spans="1:45">
      <c r="A107" s="204"/>
      <c r="B107" s="125"/>
      <c r="C107" s="125"/>
      <c r="D107" s="125"/>
      <c r="E107" s="125"/>
      <c r="F107" s="125"/>
      <c r="G107" s="125"/>
      <c r="H107" s="125"/>
      <c r="I107" s="125"/>
      <c r="J107" s="125"/>
      <c r="K107" s="125"/>
      <c r="L107" s="125"/>
      <c r="M107" s="125"/>
      <c r="N107" s="125"/>
      <c r="O107" s="125"/>
      <c r="P107" s="125"/>
      <c r="Q107" s="125"/>
      <c r="R107" s="125"/>
      <c r="S107" s="125"/>
      <c r="T107" s="125"/>
      <c r="U107" s="125"/>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row>
    <row r="108" spans="1:45">
      <c r="A108" s="204"/>
      <c r="B108" s="125"/>
      <c r="C108" s="125"/>
      <c r="D108" s="125"/>
      <c r="E108" s="125"/>
      <c r="F108" s="125"/>
      <c r="G108" s="125"/>
      <c r="H108" s="125"/>
      <c r="I108" s="125"/>
      <c r="J108" s="125"/>
      <c r="K108" s="125"/>
      <c r="L108" s="125"/>
      <c r="M108" s="125"/>
      <c r="N108" s="125"/>
      <c r="O108" s="125"/>
      <c r="P108" s="125"/>
      <c r="Q108" s="125"/>
      <c r="R108" s="125"/>
      <c r="S108" s="125"/>
      <c r="T108" s="125"/>
      <c r="U108" s="125"/>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row>
    <row r="109" spans="1:45">
      <c r="A109" s="204"/>
      <c r="B109" s="125"/>
      <c r="C109" s="125"/>
      <c r="D109" s="125"/>
      <c r="E109" s="125"/>
      <c r="F109" s="125"/>
      <c r="G109" s="125"/>
      <c r="H109" s="125"/>
      <c r="I109" s="125"/>
      <c r="J109" s="125"/>
      <c r="K109" s="125"/>
      <c r="L109" s="125"/>
      <c r="M109" s="125"/>
      <c r="N109" s="125"/>
      <c r="O109" s="125"/>
      <c r="P109" s="125"/>
      <c r="Q109" s="125"/>
      <c r="R109" s="125"/>
      <c r="S109" s="125"/>
      <c r="T109" s="125"/>
      <c r="U109" s="125"/>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row>
    <row r="110" spans="1:45">
      <c r="A110" s="204"/>
      <c r="B110" s="125"/>
      <c r="C110" s="125"/>
      <c r="D110" s="125"/>
      <c r="E110" s="125"/>
      <c r="F110" s="125"/>
      <c r="G110" s="125"/>
      <c r="H110" s="125"/>
      <c r="I110" s="125"/>
      <c r="J110" s="125"/>
      <c r="K110" s="125"/>
      <c r="L110" s="125"/>
      <c r="M110" s="125"/>
      <c r="N110" s="125"/>
      <c r="O110" s="125"/>
      <c r="P110" s="125"/>
      <c r="Q110" s="125"/>
      <c r="R110" s="125"/>
      <c r="S110" s="125"/>
      <c r="T110" s="125"/>
      <c r="U110" s="125"/>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row>
    <row r="111" spans="1:45">
      <c r="A111" s="204"/>
      <c r="B111" s="125"/>
      <c r="C111" s="125"/>
      <c r="D111" s="125"/>
      <c r="E111" s="125"/>
      <c r="F111" s="125"/>
      <c r="G111" s="125"/>
      <c r="H111" s="125"/>
      <c r="I111" s="125"/>
      <c r="J111" s="125"/>
      <c r="K111" s="125"/>
      <c r="L111" s="125"/>
      <c r="M111" s="125"/>
      <c r="N111" s="125"/>
      <c r="O111" s="125"/>
      <c r="P111" s="125"/>
      <c r="Q111" s="125"/>
      <c r="R111" s="125"/>
      <c r="S111" s="125"/>
      <c r="T111" s="125"/>
      <c r="U111" s="125"/>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row>
    <row r="112" spans="1:45">
      <c r="A112" s="204"/>
      <c r="B112" s="125"/>
      <c r="C112" s="125"/>
      <c r="D112" s="125"/>
      <c r="E112" s="125"/>
      <c r="F112" s="125"/>
      <c r="G112" s="125"/>
      <c r="H112" s="125"/>
      <c r="I112" s="125"/>
      <c r="J112" s="125"/>
      <c r="K112" s="125"/>
      <c r="L112" s="125"/>
      <c r="M112" s="125"/>
      <c r="N112" s="125"/>
      <c r="O112" s="125"/>
      <c r="P112" s="125"/>
      <c r="Q112" s="125"/>
      <c r="R112" s="125"/>
      <c r="S112" s="125"/>
      <c r="T112" s="125"/>
      <c r="U112" s="125"/>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row>
    <row r="113" spans="1:45">
      <c r="A113" s="204"/>
      <c r="B113" s="125"/>
      <c r="C113" s="125"/>
      <c r="D113" s="125"/>
      <c r="E113" s="125"/>
      <c r="F113" s="125"/>
      <c r="G113" s="125"/>
      <c r="H113" s="125"/>
      <c r="I113" s="125"/>
      <c r="J113" s="125"/>
      <c r="K113" s="125"/>
      <c r="L113" s="125"/>
      <c r="M113" s="125"/>
      <c r="N113" s="125"/>
      <c r="O113" s="125"/>
      <c r="P113" s="125"/>
      <c r="Q113" s="125"/>
      <c r="R113" s="125"/>
      <c r="S113" s="125"/>
      <c r="T113" s="125"/>
      <c r="U113" s="125"/>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row>
    <row r="114" spans="1:45">
      <c r="A114" s="204"/>
      <c r="B114" s="125"/>
      <c r="C114" s="125"/>
      <c r="D114" s="125"/>
      <c r="E114" s="125"/>
      <c r="F114" s="125"/>
      <c r="G114" s="125"/>
      <c r="H114" s="125"/>
      <c r="I114" s="125"/>
      <c r="J114" s="125"/>
      <c r="K114" s="125"/>
      <c r="L114" s="125"/>
      <c r="M114" s="125"/>
      <c r="N114" s="125"/>
      <c r="O114" s="125"/>
      <c r="P114" s="125"/>
      <c r="Q114" s="125"/>
      <c r="R114" s="125"/>
      <c r="S114" s="125"/>
      <c r="T114" s="125"/>
      <c r="U114" s="125"/>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row>
    <row r="115" spans="1:45">
      <c r="A115" s="204"/>
      <c r="B115" s="125"/>
      <c r="C115" s="125"/>
      <c r="D115" s="125"/>
      <c r="E115" s="125"/>
      <c r="F115" s="125"/>
      <c r="G115" s="125"/>
      <c r="H115" s="125"/>
      <c r="I115" s="125"/>
      <c r="J115" s="125"/>
      <c r="K115" s="125"/>
      <c r="L115" s="125"/>
      <c r="M115" s="125"/>
      <c r="N115" s="125"/>
      <c r="O115" s="125"/>
      <c r="P115" s="125"/>
      <c r="Q115" s="125"/>
      <c r="R115" s="125"/>
      <c r="S115" s="125"/>
      <c r="T115" s="125"/>
      <c r="U115" s="125"/>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row>
    <row r="116" spans="1:45">
      <c r="A116" s="204"/>
      <c r="B116" s="125"/>
      <c r="C116" s="125"/>
      <c r="D116" s="125"/>
      <c r="E116" s="125"/>
      <c r="F116" s="125"/>
      <c r="G116" s="125"/>
      <c r="H116" s="125"/>
      <c r="I116" s="125"/>
      <c r="J116" s="125"/>
      <c r="K116" s="125"/>
      <c r="L116" s="125"/>
      <c r="M116" s="125"/>
      <c r="N116" s="125"/>
      <c r="O116" s="125"/>
      <c r="P116" s="125"/>
      <c r="Q116" s="125"/>
      <c r="R116" s="125"/>
      <c r="S116" s="125"/>
      <c r="T116" s="125"/>
      <c r="U116" s="125"/>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row>
    <row r="117" spans="1:45">
      <c r="A117" s="204"/>
      <c r="B117" s="125"/>
      <c r="C117" s="125"/>
      <c r="D117" s="125"/>
      <c r="E117" s="125"/>
      <c r="F117" s="125"/>
      <c r="G117" s="125"/>
      <c r="H117" s="125"/>
      <c r="I117" s="125"/>
      <c r="J117" s="125"/>
      <c r="K117" s="125"/>
      <c r="L117" s="125"/>
      <c r="M117" s="125"/>
      <c r="N117" s="125"/>
      <c r="O117" s="125"/>
      <c r="P117" s="125"/>
      <c r="Q117" s="125"/>
      <c r="R117" s="125"/>
      <c r="S117" s="125"/>
      <c r="T117" s="125"/>
      <c r="U117" s="125"/>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row>
    <row r="118" spans="1:45">
      <c r="A118" s="204"/>
      <c r="B118" s="125"/>
      <c r="C118" s="125"/>
      <c r="D118" s="125"/>
      <c r="E118" s="125"/>
      <c r="F118" s="125"/>
      <c r="G118" s="125"/>
      <c r="H118" s="125"/>
      <c r="I118" s="125"/>
      <c r="J118" s="125"/>
      <c r="K118" s="125"/>
      <c r="L118" s="125"/>
      <c r="M118" s="125"/>
      <c r="N118" s="125"/>
      <c r="O118" s="125"/>
      <c r="P118" s="125"/>
      <c r="Q118" s="125"/>
      <c r="R118" s="125"/>
      <c r="S118" s="125"/>
      <c r="T118" s="125"/>
      <c r="U118" s="125"/>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row>
    <row r="119" spans="1:45">
      <c r="A119" s="204"/>
      <c r="B119" s="125"/>
      <c r="C119" s="125"/>
      <c r="D119" s="125"/>
      <c r="E119" s="125"/>
      <c r="F119" s="125"/>
      <c r="G119" s="125"/>
      <c r="H119" s="125"/>
      <c r="I119" s="125"/>
      <c r="J119" s="125"/>
      <c r="K119" s="125"/>
      <c r="L119" s="125"/>
      <c r="M119" s="125"/>
      <c r="N119" s="125"/>
      <c r="O119" s="125"/>
      <c r="P119" s="125"/>
      <c r="Q119" s="125"/>
      <c r="R119" s="125"/>
      <c r="S119" s="125"/>
      <c r="T119" s="125"/>
      <c r="U119" s="125"/>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row>
    <row r="120" spans="1:45">
      <c r="A120" s="204"/>
      <c r="B120" s="125"/>
      <c r="C120" s="125"/>
      <c r="D120" s="125"/>
      <c r="E120" s="125"/>
      <c r="F120" s="125"/>
      <c r="G120" s="125"/>
      <c r="H120" s="125"/>
      <c r="I120" s="125"/>
      <c r="J120" s="125"/>
      <c r="K120" s="125"/>
      <c r="L120" s="125"/>
      <c r="M120" s="125"/>
      <c r="N120" s="125"/>
      <c r="O120" s="125"/>
      <c r="P120" s="125"/>
      <c r="Q120" s="125"/>
      <c r="R120" s="125"/>
      <c r="S120" s="125"/>
      <c r="T120" s="125"/>
      <c r="U120" s="125"/>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row>
    <row r="121" spans="1:45">
      <c r="A121" s="204"/>
      <c r="B121" s="125"/>
      <c r="C121" s="125"/>
      <c r="D121" s="125"/>
      <c r="E121" s="125"/>
      <c r="F121" s="125"/>
      <c r="G121" s="125"/>
      <c r="H121" s="125"/>
      <c r="I121" s="125"/>
      <c r="J121" s="125"/>
      <c r="K121" s="125"/>
      <c r="L121" s="125"/>
      <c r="M121" s="125"/>
      <c r="N121" s="125"/>
      <c r="O121" s="125"/>
      <c r="P121" s="125"/>
      <c r="Q121" s="125"/>
      <c r="R121" s="125"/>
      <c r="S121" s="125"/>
      <c r="T121" s="125"/>
      <c r="U121" s="125"/>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row>
    <row r="122" spans="1:45">
      <c r="A122" s="204"/>
      <c r="B122" s="125"/>
      <c r="C122" s="125"/>
      <c r="D122" s="125"/>
      <c r="E122" s="125"/>
      <c r="F122" s="125"/>
      <c r="G122" s="125"/>
      <c r="H122" s="125"/>
      <c r="I122" s="125"/>
      <c r="J122" s="125"/>
      <c r="K122" s="125"/>
      <c r="L122" s="125"/>
      <c r="M122" s="125"/>
      <c r="N122" s="125"/>
      <c r="O122" s="125"/>
      <c r="P122" s="125"/>
      <c r="Q122" s="125"/>
      <c r="R122" s="125"/>
      <c r="S122" s="125"/>
      <c r="T122" s="125"/>
      <c r="U122" s="125"/>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c r="A123" s="204"/>
      <c r="B123" s="125"/>
      <c r="C123" s="125"/>
      <c r="D123" s="125"/>
      <c r="E123" s="125"/>
      <c r="F123" s="125"/>
      <c r="G123" s="125"/>
      <c r="H123" s="125"/>
      <c r="I123" s="125"/>
      <c r="J123" s="125"/>
      <c r="K123" s="125"/>
      <c r="L123" s="125"/>
      <c r="M123" s="125"/>
      <c r="N123" s="125"/>
      <c r="O123" s="125"/>
      <c r="P123" s="125"/>
      <c r="Q123" s="125"/>
      <c r="R123" s="125"/>
      <c r="S123" s="125"/>
      <c r="T123" s="125"/>
      <c r="U123" s="125"/>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c r="A124" s="204"/>
      <c r="B124" s="125"/>
      <c r="C124" s="125"/>
      <c r="D124" s="125"/>
      <c r="E124" s="125"/>
      <c r="F124" s="125"/>
      <c r="G124" s="125"/>
      <c r="H124" s="125"/>
      <c r="I124" s="125"/>
      <c r="J124" s="125"/>
      <c r="K124" s="125"/>
      <c r="L124" s="125"/>
      <c r="M124" s="125"/>
      <c r="N124" s="125"/>
      <c r="O124" s="125"/>
      <c r="P124" s="125"/>
      <c r="Q124" s="125"/>
      <c r="R124" s="125"/>
      <c r="S124" s="125"/>
      <c r="T124" s="125"/>
      <c r="U124" s="125"/>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c r="A125" s="204"/>
      <c r="B125" s="125"/>
      <c r="C125" s="125"/>
      <c r="D125" s="125"/>
      <c r="E125" s="125"/>
      <c r="F125" s="125"/>
      <c r="G125" s="125"/>
      <c r="H125" s="125"/>
      <c r="I125" s="125"/>
      <c r="J125" s="125"/>
      <c r="K125" s="125"/>
      <c r="L125" s="125"/>
      <c r="M125" s="125"/>
      <c r="N125" s="125"/>
      <c r="O125" s="125"/>
      <c r="P125" s="125"/>
      <c r="Q125" s="125"/>
      <c r="R125" s="125"/>
      <c r="S125" s="125"/>
      <c r="T125" s="125"/>
      <c r="U125" s="125"/>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c r="A126" s="204"/>
      <c r="B126" s="125"/>
      <c r="C126" s="125"/>
      <c r="D126" s="125"/>
      <c r="E126" s="125"/>
      <c r="F126" s="125"/>
      <c r="G126" s="125"/>
      <c r="H126" s="125"/>
      <c r="I126" s="125"/>
      <c r="J126" s="125"/>
      <c r="K126" s="125"/>
      <c r="L126" s="125"/>
      <c r="M126" s="125"/>
      <c r="N126" s="125"/>
      <c r="O126" s="125"/>
      <c r="P126" s="125"/>
      <c r="Q126" s="125"/>
      <c r="R126" s="125"/>
      <c r="S126" s="125"/>
      <c r="T126" s="125"/>
      <c r="U126" s="125"/>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c r="A127" s="204"/>
      <c r="B127" s="125"/>
      <c r="C127" s="125"/>
      <c r="D127" s="125"/>
      <c r="E127" s="125"/>
      <c r="F127" s="125"/>
      <c r="G127" s="125"/>
      <c r="H127" s="125"/>
      <c r="I127" s="125"/>
      <c r="J127" s="125"/>
      <c r="K127" s="125"/>
      <c r="L127" s="125"/>
      <c r="M127" s="125"/>
      <c r="N127" s="125"/>
      <c r="O127" s="125"/>
      <c r="P127" s="125"/>
      <c r="Q127" s="125"/>
      <c r="R127" s="125"/>
      <c r="S127" s="125"/>
      <c r="T127" s="125"/>
      <c r="U127" s="125"/>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c r="A128" s="204"/>
      <c r="B128" s="125"/>
      <c r="C128" s="125"/>
      <c r="D128" s="125"/>
      <c r="E128" s="125"/>
      <c r="F128" s="125"/>
      <c r="G128" s="125"/>
      <c r="H128" s="125"/>
      <c r="I128" s="125"/>
      <c r="J128" s="125"/>
      <c r="K128" s="125"/>
      <c r="L128" s="125"/>
      <c r="M128" s="125"/>
      <c r="N128" s="125"/>
      <c r="O128" s="125"/>
      <c r="P128" s="125"/>
      <c r="Q128" s="125"/>
      <c r="R128" s="125"/>
      <c r="S128" s="125"/>
      <c r="T128" s="125"/>
      <c r="U128" s="125"/>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sheetData>
  <mergeCells count="7">
    <mergeCell ref="AU46:AV46"/>
    <mergeCell ref="AX46:AY46"/>
    <mergeCell ref="S64:AB64"/>
    <mergeCell ref="O73:P73"/>
    <mergeCell ref="M73:N73"/>
    <mergeCell ref="Q73:R73"/>
    <mergeCell ref="AP46:AS4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0" tint="-0.14999847407452621"/>
  </sheetPr>
  <dimension ref="B1:AY71"/>
  <sheetViews>
    <sheetView topLeftCell="A43" zoomScale="80" zoomScaleNormal="80" workbookViewId="0">
      <selection activeCell="D61" sqref="D61"/>
    </sheetView>
  </sheetViews>
  <sheetFormatPr defaultColWidth="8.75" defaultRowHeight="14.25"/>
  <cols>
    <col min="1" max="1" width="3.625" style="9" customWidth="1"/>
    <col min="2" max="2" width="59.375" style="2" customWidth="1"/>
    <col min="3" max="3" width="17.875" style="2" customWidth="1"/>
    <col min="4" max="4" width="17.625" style="2" bestFit="1" customWidth="1"/>
    <col min="5" max="5" width="20.75" style="2" customWidth="1"/>
    <col min="6" max="6" width="22.875" style="2" customWidth="1"/>
    <col min="7" max="7" width="15.5" style="2" customWidth="1"/>
    <col min="8" max="8" width="16.25" style="2" customWidth="1"/>
    <col min="9" max="9" width="14.5" style="2" customWidth="1"/>
    <col min="10" max="10" width="14.125" style="2" customWidth="1"/>
    <col min="11" max="11" width="16.125" style="2" customWidth="1"/>
    <col min="12" max="12" width="13.75" style="2" customWidth="1"/>
    <col min="13" max="13" width="15.125" style="2" customWidth="1"/>
    <col min="14" max="14" width="12" style="2" customWidth="1"/>
    <col min="15" max="15" width="11.25" style="2" customWidth="1"/>
    <col min="16" max="16" width="8.75" style="2"/>
    <col min="17" max="21" width="13.25" style="2" customWidth="1"/>
    <col min="22" max="22" width="13.25" style="9" customWidth="1"/>
    <col min="23" max="33" width="8.75" style="9"/>
    <col min="34" max="34" width="15.25" style="9" customWidth="1"/>
    <col min="35" max="35" width="8.75" style="9"/>
    <col min="36" max="36" width="13.5" style="9" customWidth="1"/>
    <col min="37" max="38" width="8.75" style="9"/>
    <col min="39" max="39" width="58.625" style="9" bestFit="1" customWidth="1"/>
    <col min="40" max="41" width="8.75" style="9"/>
    <col min="42" max="42" width="8.875" style="9" bestFit="1" customWidth="1"/>
    <col min="43" max="43" width="12.25" style="9" customWidth="1"/>
    <col min="44" max="44" width="12.125" style="9" customWidth="1"/>
    <col min="45" max="45" width="10.25" style="9" customWidth="1"/>
    <col min="46" max="46" width="8.75" style="9"/>
    <col min="47" max="47" width="11.125" style="9" customWidth="1"/>
    <col min="48" max="49" width="8.75" style="9"/>
    <col min="50" max="50" width="16.125" style="9" customWidth="1"/>
    <col min="51" max="16384" width="8.75" style="9"/>
  </cols>
  <sheetData>
    <row r="1" spans="2:6" ht="18.600000000000001" customHeight="1"/>
    <row r="2" spans="2:6" ht="18">
      <c r="B2" s="10" t="s">
        <v>10</v>
      </c>
      <c r="C2" s="8"/>
      <c r="D2" s="10"/>
      <c r="F2" s="10" t="s">
        <v>262</v>
      </c>
    </row>
    <row r="3" spans="2:6">
      <c r="B3" s="54" t="s">
        <v>69</v>
      </c>
      <c r="C3" s="54">
        <f>'Dairy Scroll Comp Calculator'!C9</f>
        <v>0</v>
      </c>
      <c r="D3" s="31" t="s">
        <v>68</v>
      </c>
      <c r="F3" s="31" t="s">
        <v>275</v>
      </c>
    </row>
    <row r="4" spans="2:6">
      <c r="B4" s="54" t="s">
        <v>54</v>
      </c>
      <c r="C4" s="32">
        <f>'Dairy Scroll Comp Calculator'!C10</f>
        <v>0</v>
      </c>
      <c r="D4" s="31" t="s">
        <v>39</v>
      </c>
      <c r="F4" s="31" t="s">
        <v>276</v>
      </c>
    </row>
    <row r="5" spans="2:6">
      <c r="B5" s="32" t="s">
        <v>42</v>
      </c>
      <c r="C5" s="32">
        <f>'Dairy Scroll Comp Calculator'!C11</f>
        <v>0</v>
      </c>
      <c r="D5" s="31" t="s">
        <v>27</v>
      </c>
      <c r="E5" s="9"/>
      <c r="F5" s="31" t="s">
        <v>277</v>
      </c>
    </row>
    <row r="6" spans="2:6">
      <c r="B6" s="54" t="s">
        <v>65</v>
      </c>
      <c r="C6" s="32">
        <f>'Dairy Scroll Comp Calculator'!C12</f>
        <v>0</v>
      </c>
      <c r="D6" s="31" t="s">
        <v>57</v>
      </c>
      <c r="F6" s="31" t="s">
        <v>278</v>
      </c>
    </row>
    <row r="7" spans="2:6">
      <c r="B7" s="54" t="s">
        <v>89</v>
      </c>
      <c r="C7" s="54">
        <f>'Livestock Waterer Calculator'!C10</f>
        <v>0</v>
      </c>
      <c r="D7" s="31" t="s">
        <v>68</v>
      </c>
      <c r="F7" s="31" t="s">
        <v>279</v>
      </c>
    </row>
    <row r="8" spans="2:6">
      <c r="B8" s="54" t="s">
        <v>90</v>
      </c>
      <c r="C8" s="54">
        <f>'Livestock Waterer Calculator'!C11</f>
        <v>0</v>
      </c>
      <c r="D8" s="31" t="s">
        <v>77</v>
      </c>
      <c r="F8" s="31" t="s">
        <v>280</v>
      </c>
    </row>
    <row r="9" spans="2:6">
      <c r="B9" s="54" t="s">
        <v>94</v>
      </c>
      <c r="C9" s="54">
        <f>'VSD Controller'!C9</f>
        <v>0</v>
      </c>
      <c r="D9" s="31" t="s">
        <v>92</v>
      </c>
      <c r="F9" s="31" t="s">
        <v>281</v>
      </c>
    </row>
    <row r="10" spans="2:6">
      <c r="B10" s="54" t="s">
        <v>95</v>
      </c>
      <c r="C10" s="87">
        <f>'VSD Controller'!C10</f>
        <v>0</v>
      </c>
      <c r="D10" s="31" t="s">
        <v>87</v>
      </c>
    </row>
    <row r="11" spans="2:6">
      <c r="B11" s="54" t="s">
        <v>98</v>
      </c>
      <c r="C11" s="88">
        <f>'VSD Controller'!C11</f>
        <v>0</v>
      </c>
      <c r="D11" s="31" t="s">
        <v>74</v>
      </c>
    </row>
    <row r="12" spans="2:6">
      <c r="B12" s="54" t="s">
        <v>99</v>
      </c>
      <c r="C12" s="88">
        <f>'VSD Controller'!C12</f>
        <v>0</v>
      </c>
      <c r="D12" s="31" t="s">
        <v>41</v>
      </c>
    </row>
    <row r="13" spans="2:6">
      <c r="B13" s="54" t="s">
        <v>145</v>
      </c>
      <c r="C13" s="88">
        <f>'Hi Eff Vent Fans'!C10</f>
        <v>0</v>
      </c>
      <c r="D13" s="31" t="s">
        <v>68</v>
      </c>
    </row>
    <row r="14" spans="2:6">
      <c r="B14" s="161" t="s">
        <v>246</v>
      </c>
      <c r="C14" s="88">
        <f>'Hi Eff Vent Fans'!C11</f>
        <v>0</v>
      </c>
      <c r="D14" s="31" t="s">
        <v>116</v>
      </c>
    </row>
    <row r="15" spans="2:6">
      <c r="B15" s="54" t="s">
        <v>146</v>
      </c>
      <c r="C15" s="88">
        <f>'Hi Eff Vent Fans'!C12</f>
        <v>0</v>
      </c>
      <c r="D15" s="31" t="s">
        <v>68</v>
      </c>
    </row>
    <row r="16" spans="2:6">
      <c r="B16" s="54" t="s">
        <v>247</v>
      </c>
      <c r="C16" s="88">
        <f>'Hi Eff Vent Fans'!C13</f>
        <v>0</v>
      </c>
      <c r="D16" s="31" t="s">
        <v>116</v>
      </c>
    </row>
    <row r="17" spans="2:4">
      <c r="B17" s="161" t="s">
        <v>243</v>
      </c>
      <c r="C17" s="88">
        <f>'Hi Eff Vent Fans'!C14</f>
        <v>0</v>
      </c>
      <c r="D17" s="31" t="s">
        <v>242</v>
      </c>
    </row>
    <row r="18" spans="2:4">
      <c r="B18" s="54" t="s">
        <v>148</v>
      </c>
      <c r="C18" s="88">
        <f>'Hi Eff Vent Fans'!C15</f>
        <v>0</v>
      </c>
      <c r="D18" s="31" t="s">
        <v>144</v>
      </c>
    </row>
    <row r="19" spans="2:4">
      <c r="B19" s="54" t="s">
        <v>149</v>
      </c>
      <c r="C19" s="88" t="e">
        <f>'Hi Eff Vent Fans'!#REF!</f>
        <v>#REF!</v>
      </c>
      <c r="D19" s="31" t="s">
        <v>77</v>
      </c>
    </row>
    <row r="20" spans="2:4">
      <c r="B20" s="161" t="s">
        <v>233</v>
      </c>
      <c r="C20" s="88">
        <f>'Hi Vol Low Speed Fans'!C9</f>
        <v>0</v>
      </c>
      <c r="D20" s="31" t="s">
        <v>68</v>
      </c>
    </row>
    <row r="21" spans="2:4">
      <c r="B21" s="54" t="s">
        <v>170</v>
      </c>
      <c r="C21" s="88">
        <f>'Hi Vol Low Speed Fans'!C10</f>
        <v>0</v>
      </c>
      <c r="D21" s="31" t="s">
        <v>68</v>
      </c>
    </row>
    <row r="22" spans="2:4">
      <c r="B22" s="161" t="s">
        <v>234</v>
      </c>
      <c r="C22" s="88">
        <f>'Hi Vol Low Speed Fans'!C11</f>
        <v>0</v>
      </c>
      <c r="D22" s="31" t="s">
        <v>168</v>
      </c>
    </row>
    <row r="23" spans="2:4">
      <c r="B23" s="54" t="s">
        <v>171</v>
      </c>
      <c r="C23" s="88">
        <f>'Hi Vol Low Speed Fans'!C12</f>
        <v>0</v>
      </c>
      <c r="D23" s="31" t="s">
        <v>168</v>
      </c>
    </row>
    <row r="24" spans="2:4">
      <c r="B24" s="54" t="s">
        <v>172</v>
      </c>
      <c r="C24" s="88">
        <f>'Hi Vol Low Speed Fans'!C13</f>
        <v>0</v>
      </c>
      <c r="D24" s="31" t="s">
        <v>77</v>
      </c>
    </row>
    <row r="25" spans="2:4">
      <c r="B25" s="3"/>
      <c r="C25" s="8"/>
      <c r="D25" s="3"/>
    </row>
    <row r="27" spans="2:4" ht="18">
      <c r="B27" s="10" t="s">
        <v>9</v>
      </c>
    </row>
    <row r="28" spans="2:4">
      <c r="B28" s="54" t="s">
        <v>44</v>
      </c>
      <c r="C28" s="54">
        <v>1.3999999999999999E-4</v>
      </c>
      <c r="D28" s="31" t="s">
        <v>43</v>
      </c>
    </row>
    <row r="29" spans="2:4">
      <c r="B29" s="32" t="s">
        <v>38</v>
      </c>
      <c r="C29" s="32">
        <v>5.85</v>
      </c>
      <c r="D29" s="31" t="s">
        <v>39</v>
      </c>
    </row>
    <row r="30" spans="2:4">
      <c r="B30" s="54" t="s">
        <v>40</v>
      </c>
      <c r="C30" s="54">
        <v>365</v>
      </c>
      <c r="D30" s="31" t="s">
        <v>41</v>
      </c>
    </row>
    <row r="31" spans="2:4">
      <c r="B31" s="54" t="s">
        <v>63</v>
      </c>
      <c r="C31" s="89">
        <f>1/1000</f>
        <v>1E-3</v>
      </c>
      <c r="D31" s="70" t="s">
        <v>64</v>
      </c>
    </row>
    <row r="32" spans="2:4">
      <c r="B32" s="54" t="s">
        <v>58</v>
      </c>
      <c r="C32" s="63">
        <v>1000</v>
      </c>
      <c r="D32" s="31" t="s">
        <v>59</v>
      </c>
    </row>
    <row r="33" spans="2:51">
      <c r="B33" s="54" t="s">
        <v>83</v>
      </c>
      <c r="C33" s="71">
        <v>0.5</v>
      </c>
      <c r="D33" s="31" t="s">
        <v>86</v>
      </c>
    </row>
    <row r="34" spans="2:51">
      <c r="B34" s="54" t="s">
        <v>84</v>
      </c>
      <c r="C34" s="85">
        <v>0.8</v>
      </c>
      <c r="D34" s="31" t="s">
        <v>88</v>
      </c>
    </row>
    <row r="35" spans="2:51">
      <c r="B35" s="54" t="s">
        <v>85</v>
      </c>
      <c r="C35" s="63">
        <v>80</v>
      </c>
      <c r="D35" s="31" t="s">
        <v>59</v>
      </c>
    </row>
    <row r="36" spans="2:51">
      <c r="B36" s="54" t="s">
        <v>101</v>
      </c>
      <c r="C36" s="89">
        <v>0.746</v>
      </c>
      <c r="D36" s="31" t="s">
        <v>102</v>
      </c>
    </row>
    <row r="37" spans="2:51">
      <c r="B37" s="54" t="s">
        <v>103</v>
      </c>
      <c r="C37" s="85">
        <v>0.9</v>
      </c>
      <c r="D37" s="31" t="s">
        <v>104</v>
      </c>
    </row>
    <row r="38" spans="2:51">
      <c r="B38" s="54" t="s">
        <v>105</v>
      </c>
      <c r="C38" s="85">
        <v>0.46</v>
      </c>
      <c r="D38" s="31" t="s">
        <v>104</v>
      </c>
    </row>
    <row r="39" spans="2:51">
      <c r="B39" s="54" t="s">
        <v>113</v>
      </c>
      <c r="C39" s="63">
        <v>1000</v>
      </c>
      <c r="D39" s="31" t="s">
        <v>59</v>
      </c>
    </row>
    <row r="40" spans="2:51">
      <c r="B40" s="54" t="s">
        <v>154</v>
      </c>
      <c r="C40" s="63">
        <v>215</v>
      </c>
      <c r="D40" s="31" t="s">
        <v>59</v>
      </c>
    </row>
    <row r="41" spans="2:51">
      <c r="B41" s="54" t="s">
        <v>173</v>
      </c>
      <c r="C41" s="95">
        <v>1</v>
      </c>
      <c r="D41" s="31" t="s">
        <v>43</v>
      </c>
    </row>
    <row r="42" spans="2:51">
      <c r="B42" s="54" t="s">
        <v>174</v>
      </c>
      <c r="C42" s="63">
        <v>125</v>
      </c>
      <c r="D42" s="31" t="s">
        <v>59</v>
      </c>
    </row>
    <row r="43" spans="2:51">
      <c r="B43" s="75"/>
      <c r="C43" s="93"/>
      <c r="D43" s="67"/>
    </row>
    <row r="44" spans="2:51">
      <c r="B44" s="3"/>
      <c r="C44" s="8"/>
      <c r="D44" s="3"/>
    </row>
    <row r="45" spans="2:51">
      <c r="O45" s="9"/>
    </row>
    <row r="46" spans="2:51" ht="18">
      <c r="B46" s="10" t="s">
        <v>53</v>
      </c>
      <c r="E46" s="10" t="s">
        <v>75</v>
      </c>
      <c r="H46" s="10" t="s">
        <v>128</v>
      </c>
      <c r="M46" s="94" t="s">
        <v>150</v>
      </c>
      <c r="S46" s="10" t="s">
        <v>126</v>
      </c>
      <c r="V46" s="2"/>
      <c r="W46" s="2"/>
      <c r="X46" s="2"/>
      <c r="Y46" s="2"/>
      <c r="Z46" s="2"/>
      <c r="AA46" s="2"/>
      <c r="AB46" s="10" t="s">
        <v>137</v>
      </c>
      <c r="AC46" s="2"/>
      <c r="AD46" s="2"/>
      <c r="AE46" s="2"/>
      <c r="AF46" s="2"/>
      <c r="AH46" s="10" t="s">
        <v>164</v>
      </c>
      <c r="AI46" s="2"/>
      <c r="AJ46" s="2"/>
      <c r="AM46" s="10" t="s">
        <v>166</v>
      </c>
      <c r="AN46" s="2"/>
      <c r="AP46" s="298" t="s">
        <v>263</v>
      </c>
      <c r="AQ46" s="298"/>
      <c r="AR46" s="298"/>
      <c r="AS46" s="298"/>
      <c r="AU46" s="298" t="s">
        <v>268</v>
      </c>
      <c r="AV46" s="298"/>
      <c r="AX46" s="298" t="s">
        <v>271</v>
      </c>
      <c r="AY46" s="298"/>
    </row>
    <row r="47" spans="2:51" s="19" customFormat="1" ht="67.5" customHeight="1">
      <c r="B47" s="37" t="s">
        <v>50</v>
      </c>
      <c r="C47" s="38" t="s">
        <v>66</v>
      </c>
      <c r="D47" s="2"/>
      <c r="E47" s="37" t="s">
        <v>73</v>
      </c>
      <c r="F47" s="38" t="s">
        <v>74</v>
      </c>
      <c r="G47" s="2"/>
      <c r="H47" s="37" t="s">
        <v>129</v>
      </c>
      <c r="I47" s="38" t="s">
        <v>130</v>
      </c>
      <c r="J47" s="38" t="s">
        <v>131</v>
      </c>
      <c r="K47" s="38" t="s">
        <v>132</v>
      </c>
      <c r="L47" s="2"/>
      <c r="M47" s="37" t="s">
        <v>73</v>
      </c>
      <c r="N47" s="38" t="s">
        <v>122</v>
      </c>
      <c r="O47" s="38" t="s">
        <v>123</v>
      </c>
      <c r="P47" s="38" t="s">
        <v>124</v>
      </c>
      <c r="Q47" s="38" t="s">
        <v>125</v>
      </c>
      <c r="R47" s="2"/>
      <c r="S47" s="37" t="s">
        <v>73</v>
      </c>
      <c r="T47" s="38" t="s">
        <v>122</v>
      </c>
      <c r="U47" s="38" t="s">
        <v>123</v>
      </c>
      <c r="V47" s="38" t="s">
        <v>124</v>
      </c>
      <c r="W47" s="38" t="s">
        <v>125</v>
      </c>
      <c r="X47" s="38" t="s">
        <v>120</v>
      </c>
      <c r="Y47" s="38" t="s">
        <v>121</v>
      </c>
      <c r="Z47" s="38" t="s">
        <v>119</v>
      </c>
      <c r="AA47" s="2"/>
      <c r="AB47" s="37" t="s">
        <v>73</v>
      </c>
      <c r="AC47" s="38" t="s">
        <v>122</v>
      </c>
      <c r="AD47" s="38" t="s">
        <v>123</v>
      </c>
      <c r="AE47" s="38" t="s">
        <v>124</v>
      </c>
      <c r="AF47" s="38" t="s">
        <v>125</v>
      </c>
      <c r="AG47" s="9"/>
      <c r="AH47" s="37" t="s">
        <v>157</v>
      </c>
      <c r="AI47" s="38" t="s">
        <v>162</v>
      </c>
      <c r="AJ47" s="38" t="s">
        <v>163</v>
      </c>
      <c r="AK47" s="38" t="s">
        <v>165</v>
      </c>
      <c r="AM47" s="37" t="s">
        <v>73</v>
      </c>
      <c r="AN47" s="38" t="s">
        <v>152</v>
      </c>
      <c r="AP47" s="37" t="s">
        <v>264</v>
      </c>
      <c r="AQ47" s="38" t="s">
        <v>265</v>
      </c>
      <c r="AR47" s="38" t="s">
        <v>266</v>
      </c>
      <c r="AS47" s="38" t="s">
        <v>267</v>
      </c>
      <c r="AU47" s="37" t="s">
        <v>270</v>
      </c>
      <c r="AV47" s="38" t="s">
        <v>269</v>
      </c>
      <c r="AX47" s="37" t="s">
        <v>272</v>
      </c>
      <c r="AY47" s="38" t="s">
        <v>273</v>
      </c>
    </row>
    <row r="48" spans="2:51" ht="13.5" customHeight="1">
      <c r="B48" s="91" t="s">
        <v>51</v>
      </c>
      <c r="C48" s="69">
        <v>922</v>
      </c>
      <c r="E48" s="35" t="s">
        <v>76</v>
      </c>
      <c r="F48" s="72">
        <v>1139</v>
      </c>
      <c r="H48" s="35" t="s">
        <v>133</v>
      </c>
      <c r="I48" s="69">
        <v>3600</v>
      </c>
      <c r="J48" s="91">
        <v>9.1999999999999993</v>
      </c>
      <c r="K48" s="91">
        <v>12.4</v>
      </c>
      <c r="M48" s="68" t="e">
        <f>C19</f>
        <v>#REF!</v>
      </c>
      <c r="N48" s="72" t="e">
        <f>VLOOKUP($M48,$S48:T48,2,FALSE)</f>
        <v>#REF!</v>
      </c>
      <c r="O48" s="72" t="e">
        <f>VLOOKUP($M48,$S48:U48,3,FALSE)</f>
        <v>#REF!</v>
      </c>
      <c r="P48" s="72" t="e">
        <f>VLOOKUP($M48,$S48:V48,4,FALSE)</f>
        <v>#REF!</v>
      </c>
      <c r="Q48" s="72" t="e">
        <f>VLOOKUP($M48,$S48:W48,5,FALSE)</f>
        <v>#REF!</v>
      </c>
      <c r="S48" s="35" t="s">
        <v>76</v>
      </c>
      <c r="T48" s="72">
        <f>0.33*$X48+0.67*$Y48+$Z48</f>
        <v>5372.1900000000005</v>
      </c>
      <c r="U48" s="72">
        <f t="shared" ref="U48" si="0">0.1*$X48+0.4*$Y48+$Z48</f>
        <v>3703.8</v>
      </c>
      <c r="V48" s="72">
        <v>5864</v>
      </c>
      <c r="W48" s="72">
        <v>4729</v>
      </c>
      <c r="X48" s="72">
        <v>3468</v>
      </c>
      <c r="Y48" s="72">
        <v>3225</v>
      </c>
      <c r="Z48" s="72">
        <v>2067</v>
      </c>
      <c r="AA48" s="2"/>
      <c r="AB48" s="35" t="s">
        <v>76</v>
      </c>
      <c r="AC48" s="72">
        <f>0.33*$X48+0.67*$Y48</f>
        <v>3305.19</v>
      </c>
      <c r="AD48" s="72">
        <f>0.1*$X48+0.4*$Y48</f>
        <v>1636.8</v>
      </c>
      <c r="AE48" s="72">
        <v>2323</v>
      </c>
      <c r="AF48" s="72">
        <v>0</v>
      </c>
      <c r="AH48" s="35" t="s">
        <v>158</v>
      </c>
      <c r="AI48" s="72">
        <v>761</v>
      </c>
      <c r="AJ48" s="72">
        <v>4497</v>
      </c>
      <c r="AK48" s="72">
        <f>AJ48-AI48</f>
        <v>3736</v>
      </c>
      <c r="AM48" s="35" t="s">
        <v>76</v>
      </c>
      <c r="AN48" s="72">
        <v>2964</v>
      </c>
      <c r="AP48" s="172">
        <v>2</v>
      </c>
      <c r="AQ48" s="173">
        <v>0.93</v>
      </c>
      <c r="AR48" s="173">
        <v>9999999999</v>
      </c>
      <c r="AS48" s="173">
        <v>0.90800000000000003</v>
      </c>
      <c r="AU48" s="35" t="s">
        <v>46</v>
      </c>
      <c r="AV48" s="173">
        <v>0.38</v>
      </c>
      <c r="AX48" s="35" t="s">
        <v>46</v>
      </c>
      <c r="AY48" s="173">
        <v>1</v>
      </c>
    </row>
    <row r="49" spans="2:51" ht="13.5" customHeight="1">
      <c r="B49" s="91" t="s">
        <v>46</v>
      </c>
      <c r="C49" s="69">
        <v>2864</v>
      </c>
      <c r="H49" s="35" t="s">
        <v>134</v>
      </c>
      <c r="I49" s="69">
        <v>6274</v>
      </c>
      <c r="J49" s="91">
        <v>11.2</v>
      </c>
      <c r="K49" s="91">
        <v>15.3</v>
      </c>
      <c r="AA49" s="2"/>
      <c r="AH49" s="35" t="s">
        <v>159</v>
      </c>
      <c r="AI49" s="72">
        <v>850</v>
      </c>
      <c r="AJ49" s="72">
        <v>5026</v>
      </c>
      <c r="AK49" s="72">
        <f t="shared" ref="AK49:AK51" si="1">AJ49-AI49</f>
        <v>4176</v>
      </c>
      <c r="AU49" s="35" t="s">
        <v>51</v>
      </c>
      <c r="AV49" s="173">
        <v>0.28999999999999998</v>
      </c>
      <c r="AX49" s="35" t="s">
        <v>51</v>
      </c>
      <c r="AY49" s="173">
        <v>0.5</v>
      </c>
    </row>
    <row r="50" spans="2:51" ht="13.5" customHeight="1">
      <c r="B50" s="78"/>
      <c r="C50" s="79"/>
      <c r="H50" s="35" t="s">
        <v>135</v>
      </c>
      <c r="I50" s="69">
        <v>10837</v>
      </c>
      <c r="J50" s="91">
        <v>15</v>
      </c>
      <c r="K50" s="91">
        <v>19.2</v>
      </c>
      <c r="M50" s="94" t="s">
        <v>151</v>
      </c>
      <c r="AA50" s="2"/>
      <c r="AH50" s="35" t="s">
        <v>160</v>
      </c>
      <c r="AI50" s="72">
        <v>940</v>
      </c>
      <c r="AJ50" s="72">
        <v>5555</v>
      </c>
      <c r="AK50" s="72">
        <f t="shared" si="1"/>
        <v>4615</v>
      </c>
    </row>
    <row r="51" spans="2:51" ht="13.5" customHeight="1">
      <c r="B51" s="78"/>
      <c r="C51" s="79"/>
      <c r="H51" s="35" t="s">
        <v>136</v>
      </c>
      <c r="I51" s="69">
        <v>22626</v>
      </c>
      <c r="J51" s="91">
        <v>17.8</v>
      </c>
      <c r="K51" s="91">
        <v>22.7</v>
      </c>
      <c r="M51" s="37" t="s">
        <v>73</v>
      </c>
      <c r="N51" s="38" t="s">
        <v>122</v>
      </c>
      <c r="O51" s="38" t="s">
        <v>123</v>
      </c>
      <c r="P51" s="38" t="s">
        <v>124</v>
      </c>
      <c r="Q51" s="38" t="s">
        <v>125</v>
      </c>
      <c r="AA51" s="2"/>
      <c r="AH51" s="35" t="s">
        <v>161</v>
      </c>
      <c r="AI51" s="72">
        <v>1119</v>
      </c>
      <c r="AJ51" s="72">
        <v>6613</v>
      </c>
      <c r="AK51" s="72">
        <f t="shared" si="1"/>
        <v>5494</v>
      </c>
    </row>
    <row r="52" spans="2:51" ht="13.5" customHeight="1">
      <c r="B52" s="78"/>
      <c r="C52" s="79"/>
      <c r="H52" s="35"/>
      <c r="I52" s="72"/>
      <c r="J52" s="35"/>
      <c r="K52" s="35"/>
      <c r="M52" s="68" t="e">
        <f>M48</f>
        <v>#REF!</v>
      </c>
      <c r="N52" s="72" t="e">
        <f>VLOOKUP($M52,$AB48:$AF48,2,FALSE)</f>
        <v>#REF!</v>
      </c>
      <c r="O52" s="72" t="e">
        <f>VLOOKUP($M52,$AB48:$AF48,3,FALSE)</f>
        <v>#REF!</v>
      </c>
      <c r="P52" s="72" t="e">
        <f>VLOOKUP($M52,$AB48:$AF48,4,FALSE)</f>
        <v>#REF!</v>
      </c>
      <c r="Q52" s="72" t="e">
        <f>VLOOKUP($M52,$AB48:$AF48,5,FALSE)</f>
        <v>#REF!</v>
      </c>
      <c r="AA52" s="2"/>
      <c r="AB52" s="19"/>
      <c r="AC52" s="19"/>
      <c r="AD52" s="19"/>
      <c r="AE52" s="19"/>
      <c r="AF52" s="19"/>
    </row>
    <row r="53" spans="2:51" ht="13.5" customHeight="1">
      <c r="B53" s="78"/>
      <c r="C53" s="79"/>
      <c r="H53" s="35"/>
      <c r="I53" s="72"/>
      <c r="J53" s="72"/>
      <c r="K53" s="72"/>
      <c r="AA53" s="2"/>
      <c r="AM53" s="19"/>
      <c r="AN53" s="19"/>
    </row>
    <row r="54" spans="2:51">
      <c r="I54" s="90"/>
    </row>
    <row r="55" spans="2:51" ht="15">
      <c r="AB55" s="19"/>
      <c r="AC55" s="19"/>
      <c r="AD55" s="19"/>
      <c r="AE55" s="19"/>
      <c r="AF55" s="19"/>
    </row>
    <row r="56" spans="2:51" ht="18">
      <c r="B56" s="10" t="s">
        <v>5</v>
      </c>
      <c r="AM56" s="19"/>
      <c r="AN56" s="19"/>
    </row>
    <row r="57" spans="2:51" s="19" customFormat="1" ht="30">
      <c r="B57" s="37"/>
      <c r="C57" s="38" t="s">
        <v>52</v>
      </c>
      <c r="D57" s="37" t="s">
        <v>61</v>
      </c>
      <c r="E57" s="37" t="s">
        <v>62</v>
      </c>
      <c r="F57" s="37" t="s">
        <v>47</v>
      </c>
      <c r="G57" s="37" t="s">
        <v>67</v>
      </c>
      <c r="H57" s="37" t="s">
        <v>30</v>
      </c>
      <c r="I57" s="37"/>
      <c r="J57" s="37"/>
      <c r="K57" s="37"/>
      <c r="L57" s="2"/>
      <c r="M57" s="2"/>
      <c r="N57" s="2"/>
      <c r="O57" s="2"/>
      <c r="P57" s="2"/>
      <c r="Q57" s="2"/>
      <c r="R57" s="2"/>
      <c r="S57" s="2"/>
      <c r="T57" s="2"/>
      <c r="U57" s="2"/>
      <c r="V57" s="9"/>
      <c r="W57" s="9"/>
      <c r="X57" s="9"/>
      <c r="Y57" s="9"/>
      <c r="Z57" s="9"/>
      <c r="AB57" s="9"/>
      <c r="AC57" s="9"/>
      <c r="AD57" s="9"/>
      <c r="AE57" s="9"/>
      <c r="AF57" s="9"/>
      <c r="AM57" s="9"/>
      <c r="AN57" s="9"/>
    </row>
    <row r="58" spans="2:51" ht="15">
      <c r="B58" s="35" t="s">
        <v>60</v>
      </c>
      <c r="C58" s="73">
        <f>IF(C6="Yes",C48,C49)</f>
        <v>2864</v>
      </c>
      <c r="D58" s="74">
        <f>C58/C29</f>
        <v>489.5726495726496</v>
      </c>
      <c r="E58" s="74" t="e">
        <f>C58/C4</f>
        <v>#DIV/0!</v>
      </c>
      <c r="F58" s="69" t="e">
        <f>(D58-E58)*C31*C30*C5</f>
        <v>#DIV/0!</v>
      </c>
      <c r="G58" s="77" t="e">
        <f>F58*C28</f>
        <v>#DIV/0!</v>
      </c>
      <c r="H58" s="63">
        <f>IF(C4&gt;5.85,C32*C3,0)</f>
        <v>0</v>
      </c>
      <c r="I58" s="36"/>
      <c r="J58" s="36"/>
      <c r="K58" s="36"/>
      <c r="AB58" s="19"/>
      <c r="AC58" s="19"/>
      <c r="AD58" s="19"/>
      <c r="AE58" s="19"/>
      <c r="AF58" s="19"/>
    </row>
    <row r="59" spans="2:51" ht="15">
      <c r="B59" s="78"/>
      <c r="C59" s="80"/>
      <c r="D59" s="81"/>
      <c r="E59" s="81"/>
      <c r="F59" s="79"/>
      <c r="G59" s="82"/>
      <c r="H59" s="83"/>
      <c r="I59" s="84"/>
      <c r="J59" s="84"/>
      <c r="K59" s="84"/>
      <c r="AM59" s="19"/>
      <c r="AN59" s="19"/>
    </row>
    <row r="60" spans="2:51" s="19" customFormat="1" ht="30">
      <c r="B60" s="37"/>
      <c r="C60" s="38" t="s">
        <v>79</v>
      </c>
      <c r="D60" s="37" t="s">
        <v>80</v>
      </c>
      <c r="E60" s="37" t="s">
        <v>81</v>
      </c>
      <c r="F60" s="37" t="s">
        <v>82</v>
      </c>
      <c r="G60" s="37" t="s">
        <v>47</v>
      </c>
      <c r="H60" s="37" t="s">
        <v>67</v>
      </c>
      <c r="I60" s="37" t="s">
        <v>30</v>
      </c>
      <c r="J60" s="37"/>
      <c r="K60" s="37"/>
      <c r="L60" s="2"/>
      <c r="M60" s="2"/>
      <c r="N60" s="2"/>
      <c r="O60" s="2"/>
      <c r="P60" s="2"/>
      <c r="Q60" s="2"/>
      <c r="R60" s="2"/>
      <c r="S60" s="2"/>
      <c r="T60" s="2"/>
      <c r="U60" s="2"/>
      <c r="V60" s="9"/>
      <c r="W60" s="9"/>
      <c r="X60" s="9"/>
      <c r="Y60" s="9"/>
      <c r="Z60" s="9"/>
      <c r="AB60" s="9"/>
      <c r="AC60" s="9"/>
      <c r="AD60" s="9"/>
      <c r="AE60" s="9"/>
      <c r="AF60" s="9"/>
      <c r="AM60" s="9"/>
      <c r="AN60" s="9"/>
    </row>
    <row r="61" spans="2:51" ht="15">
      <c r="B61" s="35" t="s">
        <v>78</v>
      </c>
      <c r="C61" s="72">
        <f>C7</f>
        <v>0</v>
      </c>
      <c r="D61" s="72" t="e">
        <f>VLOOKUP(C8,E48:F48,2,FALSE)</f>
        <v>#N/A</v>
      </c>
      <c r="E61" s="74">
        <f>C33</f>
        <v>0.5</v>
      </c>
      <c r="F61" s="86">
        <f>C34</f>
        <v>0.8</v>
      </c>
      <c r="G61" s="72" t="e">
        <f>C61*D61*E61*F61</f>
        <v>#N/A</v>
      </c>
      <c r="H61" s="77" t="e">
        <f>G61*0</f>
        <v>#N/A</v>
      </c>
      <c r="I61" s="63">
        <f>C7*C35</f>
        <v>0</v>
      </c>
      <c r="J61" s="36"/>
      <c r="K61" s="36"/>
      <c r="AB61" s="19"/>
      <c r="AC61" s="19"/>
      <c r="AD61" s="19"/>
      <c r="AE61" s="19"/>
      <c r="AF61" s="19"/>
    </row>
    <row r="62" spans="2:51" ht="15">
      <c r="AM62" s="19"/>
      <c r="AN62" s="19"/>
    </row>
    <row r="63" spans="2:51" s="19" customFormat="1" ht="30">
      <c r="B63" s="37"/>
      <c r="C63" s="38" t="s">
        <v>92</v>
      </c>
      <c r="D63" s="37" t="s">
        <v>107</v>
      </c>
      <c r="E63" s="37" t="s">
        <v>108</v>
      </c>
      <c r="F63" s="37" t="s">
        <v>109</v>
      </c>
      <c r="G63" s="37" t="s">
        <v>110</v>
      </c>
      <c r="H63" s="37" t="s">
        <v>111</v>
      </c>
      <c r="I63" s="37" t="s">
        <v>112</v>
      </c>
      <c r="J63" s="37" t="s">
        <v>47</v>
      </c>
      <c r="K63" s="37" t="s">
        <v>67</v>
      </c>
      <c r="L63" s="37" t="s">
        <v>30</v>
      </c>
      <c r="M63" s="2"/>
      <c r="N63" s="2"/>
      <c r="O63" s="2"/>
      <c r="P63" s="2"/>
      <c r="Q63" s="2"/>
      <c r="R63" s="2"/>
      <c r="S63" s="2"/>
      <c r="T63" s="2"/>
      <c r="U63" s="2"/>
      <c r="V63" s="9"/>
      <c r="W63" s="9"/>
      <c r="X63" s="9"/>
      <c r="Y63" s="9"/>
      <c r="Z63" s="9"/>
      <c r="AA63" s="9"/>
      <c r="AB63" s="9"/>
      <c r="AC63" s="9"/>
      <c r="AD63" s="9"/>
      <c r="AE63" s="9"/>
      <c r="AF63" s="9"/>
      <c r="AM63" s="9"/>
      <c r="AN63" s="9"/>
    </row>
    <row r="64" spans="2:51">
      <c r="B64" s="35" t="s">
        <v>106</v>
      </c>
      <c r="C64" s="72">
        <f>C9</f>
        <v>0</v>
      </c>
      <c r="D64" s="76">
        <f>C36</f>
        <v>0.746</v>
      </c>
      <c r="E64" s="74">
        <f>C37</f>
        <v>0.9</v>
      </c>
      <c r="F64" s="86">
        <f>C10</f>
        <v>0</v>
      </c>
      <c r="G64" s="74">
        <f>C38</f>
        <v>0.46</v>
      </c>
      <c r="H64" s="72">
        <f>C11</f>
        <v>0</v>
      </c>
      <c r="I64" s="72">
        <f>C12</f>
        <v>0</v>
      </c>
      <c r="J64" s="73" t="e">
        <f>C64*D64*(E64/F64)*G64*H64*I64</f>
        <v>#DIV/0!</v>
      </c>
      <c r="K64" s="77" t="e">
        <f>J64*C28</f>
        <v>#DIV/0!</v>
      </c>
      <c r="L64" s="63" t="e">
        <f>IF(J64&gt;0,C39,0)</f>
        <v>#DIV/0!</v>
      </c>
    </row>
    <row r="65" spans="2:40" ht="15">
      <c r="U65" s="9"/>
      <c r="AB65" s="19"/>
      <c r="AC65" s="19"/>
      <c r="AD65" s="19"/>
      <c r="AE65" s="19"/>
      <c r="AF65" s="19"/>
    </row>
    <row r="66" spans="2:40" s="19" customFormat="1" ht="45">
      <c r="B66" s="37"/>
      <c r="C66" s="38" t="s">
        <v>141</v>
      </c>
      <c r="D66" s="37" t="s">
        <v>140</v>
      </c>
      <c r="E66" s="37" t="s">
        <v>248</v>
      </c>
      <c r="F66" s="37" t="s">
        <v>249</v>
      </c>
      <c r="G66" s="37" t="s">
        <v>152</v>
      </c>
      <c r="H66" s="38" t="s">
        <v>142</v>
      </c>
      <c r="I66" s="37" t="s">
        <v>143</v>
      </c>
      <c r="J66" s="37" t="s">
        <v>153</v>
      </c>
      <c r="K66" s="37" t="s">
        <v>47</v>
      </c>
      <c r="L66" s="37" t="s">
        <v>67</v>
      </c>
      <c r="M66" s="37" t="s">
        <v>30</v>
      </c>
      <c r="N66" s="2"/>
      <c r="O66" s="2"/>
      <c r="P66" s="2"/>
      <c r="Q66" s="2"/>
      <c r="R66" s="2"/>
      <c r="S66" s="2"/>
      <c r="T66" s="2"/>
      <c r="U66" s="2"/>
      <c r="V66" s="9"/>
      <c r="W66" s="9"/>
      <c r="X66" s="9"/>
      <c r="Y66" s="9"/>
      <c r="Z66" s="9"/>
      <c r="AA66" s="9"/>
      <c r="AB66" s="9"/>
      <c r="AC66" s="9"/>
      <c r="AD66" s="9"/>
      <c r="AE66" s="9"/>
      <c r="AF66" s="9"/>
      <c r="AG66" s="9"/>
    </row>
    <row r="67" spans="2:40">
      <c r="B67" s="35" t="s">
        <v>138</v>
      </c>
      <c r="C67" s="72">
        <f>C13</f>
        <v>0</v>
      </c>
      <c r="D67" s="74" t="e">
        <f>VLOOKUP(C14,H48:K51,3,FALSE)</f>
        <v>#N/A</v>
      </c>
      <c r="E67" s="74" t="e">
        <f>VLOOKUP(C14,H47:K53,2,FALSE)</f>
        <v>#N/A</v>
      </c>
      <c r="F67" s="73" t="e">
        <f>VLOOKUP(C16,H48:K51,2,FALSE)</f>
        <v>#N/A</v>
      </c>
      <c r="G67" s="73" t="e">
        <f>HLOOKUP(C18,N47:Q48,2,FALSE)</f>
        <v>#N/A</v>
      </c>
      <c r="H67" s="72">
        <f>C15</f>
        <v>0</v>
      </c>
      <c r="I67" s="74" t="e">
        <f>VLOOKUP(C16,H48:K51,4,FALSE)</f>
        <v>#N/A</v>
      </c>
      <c r="J67" s="73" t="e">
        <f>HLOOKUP(C18,N51:Q52,2,FALSE)</f>
        <v>#N/A</v>
      </c>
      <c r="K67" s="73" t="e">
        <f>(C67*(1/D67)*E67*G67*(1/1000))-(H67*(1/I67)*F67*G67*(1/1000))</f>
        <v>#N/A</v>
      </c>
      <c r="L67" s="77" t="e">
        <f>K67*C$28</f>
        <v>#N/A</v>
      </c>
      <c r="M67" s="63">
        <f>IF(C15&gt;0,C15*C40,0)</f>
        <v>0</v>
      </c>
      <c r="V67" s="2"/>
    </row>
    <row r="68" spans="2:40">
      <c r="B68" s="35" t="s">
        <v>139</v>
      </c>
      <c r="C68" s="72">
        <f>C67</f>
        <v>0</v>
      </c>
      <c r="D68" s="74" t="e">
        <f t="shared" ref="D68:J68" si="2">D67</f>
        <v>#N/A</v>
      </c>
      <c r="E68" s="74" t="e">
        <f>E67</f>
        <v>#N/A</v>
      </c>
      <c r="F68" s="73" t="e">
        <f t="shared" si="2"/>
        <v>#N/A</v>
      </c>
      <c r="G68" s="73" t="e">
        <f t="shared" si="2"/>
        <v>#N/A</v>
      </c>
      <c r="H68" s="72">
        <f t="shared" si="2"/>
        <v>0</v>
      </c>
      <c r="I68" s="74" t="e">
        <f t="shared" si="2"/>
        <v>#N/A</v>
      </c>
      <c r="J68" s="73" t="e">
        <f t="shared" si="2"/>
        <v>#N/A</v>
      </c>
      <c r="K68" s="73" t="str">
        <f>IF(C17="Yes",(1/I68)*F68*J68*(1/1000),"")</f>
        <v/>
      </c>
      <c r="L68" s="77"/>
      <c r="M68" s="63"/>
      <c r="V68" s="2"/>
    </row>
    <row r="70" spans="2:40" s="19" customFormat="1" ht="45">
      <c r="B70" s="37"/>
      <c r="C70" s="37" t="s">
        <v>235</v>
      </c>
      <c r="D70" s="37" t="s">
        <v>236</v>
      </c>
      <c r="E70" s="37" t="s">
        <v>237</v>
      </c>
      <c r="F70" s="37" t="s">
        <v>238</v>
      </c>
      <c r="G70" s="38" t="s">
        <v>165</v>
      </c>
      <c r="H70" s="37" t="s">
        <v>152</v>
      </c>
      <c r="I70" s="37" t="s">
        <v>47</v>
      </c>
      <c r="J70" s="37" t="s">
        <v>67</v>
      </c>
      <c r="K70" s="37" t="s">
        <v>30</v>
      </c>
      <c r="L70" s="2"/>
      <c r="M70" s="2"/>
      <c r="N70" s="2"/>
      <c r="O70" s="2"/>
      <c r="P70" s="2"/>
      <c r="Q70" s="2"/>
      <c r="R70" s="2"/>
      <c r="S70" s="2"/>
      <c r="T70" s="2"/>
      <c r="U70" s="2"/>
      <c r="V70" s="9"/>
      <c r="W70" s="9"/>
      <c r="X70" s="9"/>
      <c r="Y70" s="9"/>
      <c r="Z70" s="9"/>
      <c r="AB70" s="9"/>
      <c r="AC70" s="9"/>
      <c r="AD70" s="9"/>
      <c r="AE70" s="9"/>
      <c r="AF70" s="9"/>
      <c r="AM70" s="9"/>
      <c r="AN70" s="9"/>
    </row>
    <row r="71" spans="2:40">
      <c r="B71" s="35" t="s">
        <v>156</v>
      </c>
      <c r="C71" s="72">
        <f>C20</f>
        <v>0</v>
      </c>
      <c r="D71" s="72">
        <f>C21</f>
        <v>0</v>
      </c>
      <c r="E71" s="72" t="e">
        <f>VLOOKUP(C22,AH47:AK51,3,FALSE)</f>
        <v>#N/A</v>
      </c>
      <c r="F71" s="72" t="e">
        <f>VLOOKUP(C23,AH47:AK51,2,FALSE)</f>
        <v>#N/A</v>
      </c>
      <c r="G71" s="73" t="e">
        <f>E71-F71</f>
        <v>#N/A</v>
      </c>
      <c r="H71" s="73" t="e">
        <f>VLOOKUP(C24,AM48:AN48,2,FALSE)</f>
        <v>#N/A</v>
      </c>
      <c r="I71" s="73" t="e">
        <f>D71*(G71/1000)*H71</f>
        <v>#N/A</v>
      </c>
      <c r="J71" s="96" t="e">
        <f>D71*G71/1000*C$41</f>
        <v>#N/A</v>
      </c>
      <c r="K71" s="63">
        <f>IF(C21&gt;0,C21*C42,0)</f>
        <v>0</v>
      </c>
    </row>
  </sheetData>
  <mergeCells count="3">
    <mergeCell ref="AP46:AS46"/>
    <mergeCell ref="AU46:AV46"/>
    <mergeCell ref="AX46:AY46"/>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0" tint="-0.14999847407452621"/>
  </sheetPr>
  <dimension ref="A2:F25"/>
  <sheetViews>
    <sheetView workbookViewId="0">
      <selection activeCell="E11" sqref="E11"/>
    </sheetView>
  </sheetViews>
  <sheetFormatPr defaultColWidth="8.75" defaultRowHeight="14.25"/>
  <cols>
    <col min="1" max="1" width="3.75" style="20" customWidth="1"/>
    <col min="2" max="2" width="8.875" style="20" customWidth="1"/>
    <col min="3" max="3" width="11.375" style="20" bestFit="1" customWidth="1"/>
    <col min="4" max="4" width="19.25" style="20" customWidth="1"/>
    <col min="5" max="5" width="52.75" style="23" customWidth="1"/>
    <col min="6" max="6" width="26.75" style="20" customWidth="1"/>
    <col min="7" max="16384" width="8.75" style="1"/>
  </cols>
  <sheetData>
    <row r="2" spans="1:6" ht="20.25">
      <c r="B2" s="299" t="s">
        <v>13</v>
      </c>
      <c r="C2" s="299"/>
      <c r="D2" s="299"/>
      <c r="E2" s="299"/>
      <c r="F2" s="299"/>
    </row>
    <row r="4" spans="1:6" ht="15">
      <c r="B4" s="55" t="s">
        <v>20</v>
      </c>
      <c r="D4" s="56" t="s">
        <v>23</v>
      </c>
      <c r="E4" s="57" t="s">
        <v>19</v>
      </c>
      <c r="F4" s="56" t="s">
        <v>177</v>
      </c>
    </row>
    <row r="5" spans="1:6" ht="15">
      <c r="B5" s="55" t="s">
        <v>21</v>
      </c>
      <c r="D5" s="58" t="s">
        <v>23</v>
      </c>
      <c r="E5" s="59" t="s">
        <v>22</v>
      </c>
      <c r="F5" s="58" t="s">
        <v>177</v>
      </c>
    </row>
    <row r="6" spans="1:6" ht="25.5" customHeight="1"/>
    <row r="7" spans="1:6" s="34" customFormat="1" ht="15">
      <c r="A7" s="33"/>
      <c r="B7" s="40" t="s">
        <v>11</v>
      </c>
      <c r="C7" s="41" t="s">
        <v>0</v>
      </c>
      <c r="D7" s="41" t="s">
        <v>17</v>
      </c>
      <c r="E7" s="42" t="s">
        <v>18</v>
      </c>
      <c r="F7" s="43" t="s">
        <v>12</v>
      </c>
    </row>
    <row r="8" spans="1:6" ht="28.5" customHeight="1">
      <c r="B8" s="44">
        <v>1</v>
      </c>
      <c r="C8" s="45">
        <v>43090</v>
      </c>
      <c r="D8" s="45" t="s">
        <v>24</v>
      </c>
      <c r="E8" s="46" t="s">
        <v>25</v>
      </c>
      <c r="F8" s="47" t="s">
        <v>26</v>
      </c>
    </row>
    <row r="9" spans="1:6" ht="36" customHeight="1">
      <c r="B9" s="44">
        <v>1</v>
      </c>
      <c r="C9" s="45">
        <v>43110</v>
      </c>
      <c r="D9" s="48" t="s">
        <v>223</v>
      </c>
      <c r="E9" s="46" t="s">
        <v>224</v>
      </c>
      <c r="F9" s="47" t="s">
        <v>177</v>
      </c>
    </row>
    <row r="10" spans="1:6" ht="28.5" customHeight="1">
      <c r="B10" s="44">
        <v>1.1000000000000001</v>
      </c>
      <c r="C10" s="45">
        <v>43123</v>
      </c>
      <c r="D10" s="48" t="s">
        <v>223</v>
      </c>
      <c r="E10" s="46" t="s">
        <v>228</v>
      </c>
      <c r="F10" s="47" t="s">
        <v>177</v>
      </c>
    </row>
    <row r="11" spans="1:6" ht="28.5" customHeight="1">
      <c r="B11" s="44">
        <v>3</v>
      </c>
      <c r="C11" s="45">
        <v>43434</v>
      </c>
      <c r="D11" s="48" t="s">
        <v>339</v>
      </c>
      <c r="E11" s="46"/>
      <c r="F11" s="47" t="s">
        <v>338</v>
      </c>
    </row>
    <row r="12" spans="1:6" ht="28.5" customHeight="1">
      <c r="B12" s="44"/>
      <c r="C12" s="45"/>
      <c r="D12" s="48"/>
      <c r="E12" s="46"/>
      <c r="F12" s="47"/>
    </row>
    <row r="13" spans="1:6" ht="28.5" customHeight="1">
      <c r="B13" s="44"/>
      <c r="C13" s="48"/>
      <c r="D13" s="48"/>
      <c r="E13" s="46"/>
      <c r="F13" s="47"/>
    </row>
    <row r="14" spans="1:6" ht="28.5" customHeight="1">
      <c r="B14" s="44"/>
      <c r="C14" s="48"/>
      <c r="D14" s="48"/>
      <c r="E14" s="46"/>
      <c r="F14" s="47"/>
    </row>
    <row r="15" spans="1:6" ht="28.5" customHeight="1">
      <c r="B15" s="44"/>
      <c r="C15" s="48"/>
      <c r="D15" s="48"/>
      <c r="E15" s="46"/>
      <c r="F15" s="47"/>
    </row>
    <row r="16" spans="1:6" ht="28.5" customHeight="1">
      <c r="B16" s="44"/>
      <c r="C16" s="48"/>
      <c r="D16" s="48"/>
      <c r="E16" s="46"/>
      <c r="F16" s="47"/>
    </row>
    <row r="17" spans="2:6" ht="28.5" customHeight="1">
      <c r="B17" s="44"/>
      <c r="C17" s="48"/>
      <c r="D17" s="48"/>
      <c r="E17" s="46"/>
      <c r="F17" s="47"/>
    </row>
    <row r="18" spans="2:6" ht="28.5" customHeight="1">
      <c r="B18" s="44"/>
      <c r="C18" s="48"/>
      <c r="D18" s="48"/>
      <c r="E18" s="46"/>
      <c r="F18" s="47"/>
    </row>
    <row r="19" spans="2:6" ht="28.5" customHeight="1">
      <c r="B19" s="44"/>
      <c r="C19" s="48"/>
      <c r="D19" s="48"/>
      <c r="E19" s="46"/>
      <c r="F19" s="47"/>
    </row>
    <row r="20" spans="2:6" ht="28.5" customHeight="1">
      <c r="B20" s="44"/>
      <c r="C20" s="48"/>
      <c r="D20" s="48"/>
      <c r="E20" s="46"/>
      <c r="F20" s="47"/>
    </row>
    <row r="21" spans="2:6" ht="28.5" customHeight="1">
      <c r="B21" s="44"/>
      <c r="C21" s="48"/>
      <c r="D21" s="48"/>
      <c r="E21" s="46"/>
      <c r="F21" s="47"/>
    </row>
    <row r="22" spans="2:6" ht="28.5" customHeight="1">
      <c r="B22" s="44"/>
      <c r="C22" s="48"/>
      <c r="D22" s="48"/>
      <c r="E22" s="46"/>
      <c r="F22" s="47"/>
    </row>
    <row r="23" spans="2:6" ht="28.5" customHeight="1">
      <c r="B23" s="44"/>
      <c r="C23" s="48"/>
      <c r="D23" s="48"/>
      <c r="E23" s="46"/>
      <c r="F23" s="47"/>
    </row>
    <row r="24" spans="2:6" ht="28.5" customHeight="1">
      <c r="B24" s="39"/>
      <c r="C24" s="49"/>
      <c r="D24" s="49"/>
      <c r="E24" s="50"/>
      <c r="F24" s="51"/>
    </row>
    <row r="25" spans="2:6">
      <c r="B25" s="21"/>
      <c r="C25" s="21"/>
      <c r="D25" s="21"/>
      <c r="E25" s="22"/>
      <c r="F25" s="21"/>
    </row>
  </sheetData>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B2:CF6"/>
  <sheetViews>
    <sheetView zoomScale="85" zoomScaleNormal="85" workbookViewId="0">
      <selection activeCell="D6" sqref="D6"/>
    </sheetView>
  </sheetViews>
  <sheetFormatPr defaultColWidth="8.75" defaultRowHeight="14.25"/>
  <cols>
    <col min="1" max="1" width="3.25" style="131" customWidth="1"/>
    <col min="2" max="2" width="53.625" style="131" bestFit="1" customWidth="1"/>
    <col min="3" max="3" width="2.875" style="124" customWidth="1"/>
    <col min="4" max="11" width="8.75" style="131" customWidth="1"/>
    <col min="12" max="12" width="4.625" style="131" customWidth="1"/>
    <col min="13" max="13" width="2.875" style="124" customWidth="1"/>
    <col min="14" max="21" width="8.75" style="131" customWidth="1"/>
    <col min="22" max="22" width="4.75" style="131" customWidth="1"/>
    <col min="23" max="23" width="2.875" style="124" customWidth="1"/>
    <col min="24" max="31" width="8.75" style="131" customWidth="1"/>
    <col min="32" max="32" width="4.25" style="131" customWidth="1"/>
    <col min="33" max="33" width="4.5" style="124" customWidth="1"/>
    <col min="34" max="42" width="8.75" style="131" customWidth="1"/>
    <col min="43" max="43" width="4.5" style="124" customWidth="1"/>
    <col min="44" max="52" width="8.75" style="131" customWidth="1"/>
    <col min="53" max="53" width="3.75" style="131" customWidth="1"/>
    <col min="54" max="54" width="4.5" style="124" customWidth="1"/>
    <col min="55" max="62" width="8.75" style="131" customWidth="1"/>
    <col min="63" max="63" width="5.125" style="131" customWidth="1"/>
    <col min="64" max="64" width="4.5" style="124" customWidth="1"/>
    <col min="65" max="72" width="8.75" style="131"/>
    <col min="73" max="73" width="3.75" style="131" customWidth="1"/>
    <col min="74" max="74" width="4.5" style="124" customWidth="1"/>
    <col min="75" max="81" width="8.75" style="131"/>
    <col min="82" max="82" width="8.75" style="131" customWidth="1"/>
    <col min="83" max="83" width="1.25" style="131" customWidth="1"/>
    <col min="84" max="84" width="4.5" style="124" customWidth="1"/>
    <col min="85" max="16384" width="8.75" style="131"/>
  </cols>
  <sheetData>
    <row r="2" spans="2:75" ht="34.5">
      <c r="B2" s="201" t="s">
        <v>15</v>
      </c>
      <c r="C2" s="130"/>
      <c r="D2" s="128" t="s">
        <v>183</v>
      </c>
      <c r="M2" s="130"/>
      <c r="N2" s="128" t="s">
        <v>183</v>
      </c>
      <c r="W2" s="130"/>
      <c r="X2" s="128" t="s">
        <v>183</v>
      </c>
      <c r="AG2" s="130"/>
      <c r="AH2" s="128" t="s">
        <v>183</v>
      </c>
      <c r="AQ2" s="130"/>
      <c r="AR2" s="128" t="s">
        <v>183</v>
      </c>
      <c r="BB2" s="130"/>
      <c r="BC2" s="128" t="s">
        <v>183</v>
      </c>
      <c r="BM2" s="128" t="s">
        <v>183</v>
      </c>
      <c r="BW2" s="128" t="s">
        <v>183</v>
      </c>
    </row>
    <row r="4" spans="2:75" ht="30" customHeight="1">
      <c r="B4" s="129" t="s">
        <v>186</v>
      </c>
      <c r="C4" s="122"/>
      <c r="D4" s="129" t="s">
        <v>184</v>
      </c>
      <c r="M4" s="122"/>
      <c r="N4" s="129" t="s">
        <v>185</v>
      </c>
      <c r="W4" s="122"/>
      <c r="X4" s="129" t="s">
        <v>78</v>
      </c>
      <c r="AG4" s="122"/>
      <c r="AH4" s="129" t="s">
        <v>187</v>
      </c>
      <c r="AQ4" s="122"/>
      <c r="AR4" s="129" t="s">
        <v>188</v>
      </c>
      <c r="BB4" s="122"/>
      <c r="BC4" s="129" t="s">
        <v>156</v>
      </c>
      <c r="BM4" s="129" t="s">
        <v>282</v>
      </c>
      <c r="BW4" s="129" t="s">
        <v>300</v>
      </c>
    </row>
    <row r="6" spans="2:75" ht="33" customHeight="1">
      <c r="B6" s="121" t="s">
        <v>183</v>
      </c>
      <c r="C6" s="122"/>
      <c r="M6" s="122"/>
      <c r="W6" s="122"/>
      <c r="AG6" s="122"/>
      <c r="AQ6" s="122"/>
      <c r="BB6" s="12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codeName="Sheet3">
    <tabColor rgb="FF0070C0"/>
  </sheetPr>
  <dimension ref="A1:AG74"/>
  <sheetViews>
    <sheetView showZeros="0" tabSelected="1" topLeftCell="B1" zoomScale="90" zoomScaleNormal="90" workbookViewId="0">
      <selection activeCell="C5" sqref="C5"/>
    </sheetView>
  </sheetViews>
  <sheetFormatPr defaultColWidth="9" defaultRowHeight="14.25"/>
  <cols>
    <col min="1" max="1" width="3" style="14" customWidth="1"/>
    <col min="2" max="2" width="14.375" style="116" bestFit="1" customWidth="1"/>
    <col min="3" max="3" width="41.75" style="116" customWidth="1"/>
    <col min="4" max="4" width="5.25" style="14" customWidth="1"/>
    <col min="5" max="5" width="40.375" style="115" bestFit="1" customWidth="1"/>
    <col min="6" max="9" width="20.625" style="115" customWidth="1"/>
    <col min="10" max="31" width="9" style="14"/>
    <col min="32" max="33" width="9" style="117"/>
    <col min="34" max="16384" width="9" style="116"/>
  </cols>
  <sheetData>
    <row r="1" spans="2:33" s="14" customFormat="1"/>
    <row r="2" spans="2:33" s="99" customFormat="1" ht="12">
      <c r="H2" s="100" t="s">
        <v>225</v>
      </c>
      <c r="I2" s="120">
        <v>4</v>
      </c>
    </row>
    <row r="3" spans="2:33" s="99" customFormat="1" ht="12">
      <c r="H3" s="100" t="s">
        <v>226</v>
      </c>
      <c r="I3" s="101">
        <v>44377</v>
      </c>
    </row>
    <row r="4" spans="2:33" s="14" customFormat="1" ht="15" thickBot="1"/>
    <row r="5" spans="2:33" s="17" customFormat="1" ht="24.95" customHeight="1">
      <c r="B5" s="102" t="s">
        <v>0</v>
      </c>
      <c r="C5" s="103"/>
      <c r="E5" s="269" t="s">
        <v>213</v>
      </c>
      <c r="F5" s="271" t="s">
        <v>214</v>
      </c>
      <c r="G5" s="273" t="s">
        <v>215</v>
      </c>
      <c r="H5" s="273"/>
      <c r="I5" s="274" t="s">
        <v>30</v>
      </c>
      <c r="AF5" s="104"/>
      <c r="AG5" s="104"/>
    </row>
    <row r="6" spans="2:33" s="17" customFormat="1" ht="24.95" customHeight="1" thickBot="1">
      <c r="B6" s="105" t="s">
        <v>216</v>
      </c>
      <c r="C6" s="106"/>
      <c r="E6" s="270"/>
      <c r="F6" s="272"/>
      <c r="G6" s="196" t="s">
        <v>32</v>
      </c>
      <c r="H6" s="196" t="s">
        <v>1</v>
      </c>
      <c r="I6" s="275"/>
      <c r="AF6" s="104"/>
      <c r="AG6" s="104"/>
    </row>
    <row r="7" spans="2:33" s="17" customFormat="1" ht="24.95" customHeight="1" thickBot="1">
      <c r="B7" s="107" t="s">
        <v>217</v>
      </c>
      <c r="C7" s="108"/>
      <c r="E7" s="191" t="s">
        <v>219</v>
      </c>
      <c r="F7" s="192">
        <f>'Auto Milker Takeoff Calculator'!C11</f>
        <v>0</v>
      </c>
      <c r="G7" s="193">
        <f>ROUND('Auto Milker Takeoff Calculator'!C14,4)</f>
        <v>0</v>
      </c>
      <c r="H7" s="194">
        <f>ROUND('Auto Milker Takeoff Calculator'!C13,2)</f>
        <v>0</v>
      </c>
      <c r="I7" s="195" t="str">
        <f>'Auto Milker Takeoff Calculator'!C15</f>
        <v/>
      </c>
      <c r="AF7" s="104"/>
      <c r="AG7" s="104"/>
    </row>
    <row r="8" spans="2:33" s="17" customFormat="1" ht="30.75" customHeight="1" thickBot="1">
      <c r="B8" s="224" t="s">
        <v>354</v>
      </c>
      <c r="C8" s="108"/>
      <c r="E8" s="119" t="s">
        <v>60</v>
      </c>
      <c r="F8" s="176">
        <f>'Dairy Scroll Comp Calculator'!C13</f>
        <v>0</v>
      </c>
      <c r="G8" s="112">
        <f>IFERROR(ROUND('Dairy Scroll Comp Calculator'!C16,4),0)</f>
        <v>0</v>
      </c>
      <c r="H8" s="113">
        <f>IFERROR(ROUND('Dairy Scroll Comp Calculator'!C15,2),0)</f>
        <v>0</v>
      </c>
      <c r="I8" s="114" t="str">
        <f>'Dairy Scroll Comp Calculator'!C17</f>
        <v/>
      </c>
      <c r="AF8" s="104"/>
      <c r="AG8" s="104"/>
    </row>
    <row r="9" spans="2:33" s="17" customFormat="1" ht="24.95" customHeight="1">
      <c r="E9" s="118" t="s">
        <v>78</v>
      </c>
      <c r="F9" s="175">
        <f>'Livestock Waterer Calculator'!C12</f>
        <v>0</v>
      </c>
      <c r="G9" s="109">
        <f>IFERROR(ROUND('Livestock Waterer Calculator'!C15,4),0)</f>
        <v>0</v>
      </c>
      <c r="H9" s="110">
        <f>IFERROR(ROUND('Livestock Waterer Calculator'!C14,2),0)</f>
        <v>0</v>
      </c>
      <c r="I9" s="111" t="str">
        <f>'Livestock Waterer Calculator'!C16</f>
        <v/>
      </c>
      <c r="AF9" s="104"/>
      <c r="AG9" s="104"/>
    </row>
    <row r="10" spans="2:33" s="17" customFormat="1" ht="24.95" customHeight="1">
      <c r="E10" s="119" t="s">
        <v>220</v>
      </c>
      <c r="F10" s="176">
        <f>'VSD Controller'!C13</f>
        <v>0</v>
      </c>
      <c r="G10" s="112">
        <f>IFERROR(ROUND('VSD Controller'!C16,4),0)</f>
        <v>0</v>
      </c>
      <c r="H10" s="113">
        <f>IFERROR(ROUND('VSD Controller'!C15,2),0)</f>
        <v>0</v>
      </c>
      <c r="I10" s="114" t="str">
        <f>'VSD Controller'!C17</f>
        <v/>
      </c>
      <c r="AF10" s="104"/>
      <c r="AG10" s="104"/>
    </row>
    <row r="11" spans="2:33" s="17" customFormat="1" ht="24.95" customHeight="1">
      <c r="E11" s="118" t="s">
        <v>221</v>
      </c>
      <c r="F11" s="175">
        <f>'Hi Eff Vent Fans'!C16</f>
        <v>0</v>
      </c>
      <c r="G11" s="109">
        <f>IFERROR(ROUND('Hi Eff Vent Fans'!C19,4),0)</f>
        <v>0</v>
      </c>
      <c r="H11" s="110">
        <f>IFERROR(ROUND('Hi Eff Vent Fans'!C18,2),0)</f>
        <v>0</v>
      </c>
      <c r="I11" s="111" t="str">
        <f>'Hi Eff Vent Fans'!C20</f>
        <v/>
      </c>
      <c r="AF11" s="104"/>
      <c r="AG11" s="104"/>
    </row>
    <row r="12" spans="2:33" s="17" customFormat="1" ht="24.95" customHeight="1">
      <c r="E12" s="119" t="s">
        <v>222</v>
      </c>
      <c r="F12" s="176">
        <f>'Hi Vol Low Speed Fans'!C14</f>
        <v>0</v>
      </c>
      <c r="G12" s="112">
        <f>IFERROR(ROUND('Hi Vol Low Speed Fans'!C17,4),0)</f>
        <v>0</v>
      </c>
      <c r="H12" s="113">
        <f>IFERROR(ROUND('Hi Vol Low Speed Fans'!C16,2),0)</f>
        <v>0</v>
      </c>
      <c r="I12" s="114" t="str">
        <f>'Hi Vol Low Speed Fans'!C18</f>
        <v/>
      </c>
      <c r="AF12" s="104"/>
      <c r="AG12" s="104"/>
    </row>
    <row r="13" spans="2:33" s="17" customFormat="1" ht="24.95" customHeight="1">
      <c r="E13" s="118" t="s">
        <v>282</v>
      </c>
      <c r="F13" s="175">
        <f>'Heat Reclaimers'!C15</f>
        <v>0</v>
      </c>
      <c r="G13" s="109">
        <f>IFERROR(ROUND('Heat Reclaimers'!C18,4),0)</f>
        <v>0</v>
      </c>
      <c r="H13" s="110">
        <f>IFERROR(ROUND('Heat Reclaimers'!C17,2),0)</f>
        <v>0</v>
      </c>
      <c r="I13" s="111" t="str">
        <f>'Heat Reclaimers'!C19</f>
        <v/>
      </c>
      <c r="AF13" s="104"/>
      <c r="AG13" s="104"/>
    </row>
    <row r="14" spans="2:33" s="17" customFormat="1" ht="24.95" customHeight="1" thickBot="1">
      <c r="E14" s="186" t="s">
        <v>300</v>
      </c>
      <c r="F14" s="187">
        <f>'Low Pressure Irrigation System'!C16</f>
        <v>0</v>
      </c>
      <c r="G14" s="188">
        <f>ROUND('Low Pressure Irrigation System'!C19,4)</f>
        <v>0</v>
      </c>
      <c r="H14" s="189" t="str">
        <f>IF('Low Pressure Irrigation System'!C18="","",ROUND('Low Pressure Irrigation System'!C18,2))</f>
        <v/>
      </c>
      <c r="I14" s="190" t="str">
        <f>'Low Pressure Irrigation System'!C20</f>
        <v/>
      </c>
      <c r="AF14" s="104"/>
      <c r="AG14" s="104"/>
    </row>
    <row r="15" spans="2:33" s="17" customFormat="1" ht="24.95" customHeight="1" thickBot="1">
      <c r="E15" s="181" t="s">
        <v>218</v>
      </c>
      <c r="F15" s="182">
        <f>SUM(F7:F14)</f>
        <v>0</v>
      </c>
      <c r="G15" s="183">
        <f>SUM(G7:G14)</f>
        <v>0</v>
      </c>
      <c r="H15" s="184">
        <f>SUM(H7:H14)</f>
        <v>0</v>
      </c>
      <c r="I15" s="185">
        <f>SUM(I7:I14)</f>
        <v>0</v>
      </c>
      <c r="AF15" s="104"/>
      <c r="AG15" s="104"/>
    </row>
    <row r="16" spans="2:33" s="14" customFormat="1" ht="24.95" customHeight="1"/>
    <row r="17" s="14" customFormat="1" ht="24.95" customHeight="1"/>
    <row r="18" s="14" customFormat="1" ht="24.95" customHeight="1"/>
    <row r="19" s="14" customFormat="1"/>
    <row r="20" s="14" customFormat="1"/>
    <row r="21" s="14" customFormat="1"/>
    <row r="22" s="14" customFormat="1"/>
    <row r="23" s="14" customFormat="1"/>
    <row r="24" s="14" customFormat="1"/>
    <row r="25" s="14" customFormat="1"/>
    <row r="26" s="14" customFormat="1"/>
    <row r="27" s="14" customFormat="1"/>
    <row r="28" s="14" customFormat="1"/>
    <row r="29" s="14" customFormat="1"/>
    <row r="30" s="14" customFormat="1"/>
    <row r="31" s="14" customFormat="1"/>
    <row r="32" s="14" customFormat="1"/>
    <row r="33" spans="1:31" s="14" customFormat="1"/>
    <row r="34" spans="1:31" s="14" customFormat="1"/>
    <row r="35" spans="1:31" s="14" customFormat="1"/>
    <row r="36" spans="1:31" s="14" customFormat="1"/>
    <row r="37" spans="1:31" s="14" customFormat="1"/>
    <row r="38" spans="1:31" s="115" customFormat="1">
      <c r="A38" s="14"/>
      <c r="D38" s="14"/>
      <c r="J38" s="14"/>
      <c r="K38" s="14"/>
      <c r="L38" s="14"/>
      <c r="M38" s="14"/>
      <c r="N38" s="14"/>
      <c r="O38" s="14"/>
      <c r="P38" s="14"/>
      <c r="Q38" s="14"/>
      <c r="R38" s="14"/>
      <c r="S38" s="14"/>
      <c r="T38" s="14"/>
      <c r="U38" s="14"/>
      <c r="V38" s="14"/>
      <c r="W38" s="14"/>
      <c r="X38" s="14"/>
      <c r="Y38" s="14"/>
      <c r="Z38" s="14"/>
      <c r="AA38" s="14"/>
      <c r="AB38" s="14"/>
      <c r="AC38" s="14"/>
      <c r="AD38" s="14"/>
      <c r="AE38" s="14"/>
    </row>
    <row r="39" spans="1:31" s="115" customFormat="1">
      <c r="A39" s="14"/>
      <c r="D39" s="14"/>
      <c r="J39" s="14"/>
      <c r="K39" s="14"/>
      <c r="L39" s="14"/>
      <c r="M39" s="14"/>
      <c r="N39" s="14"/>
      <c r="O39" s="14"/>
      <c r="P39" s="14"/>
      <c r="Q39" s="14"/>
      <c r="R39" s="14"/>
      <c r="S39" s="14"/>
      <c r="T39" s="14"/>
      <c r="U39" s="14"/>
      <c r="V39" s="14"/>
      <c r="W39" s="14"/>
      <c r="X39" s="14"/>
      <c r="Y39" s="14"/>
      <c r="Z39" s="14"/>
      <c r="AA39" s="14"/>
      <c r="AB39" s="14"/>
      <c r="AC39" s="14"/>
      <c r="AD39" s="14"/>
      <c r="AE39" s="14"/>
    </row>
    <row r="40" spans="1:31" s="115" customFormat="1">
      <c r="A40" s="14"/>
      <c r="D40" s="14"/>
      <c r="J40" s="14"/>
      <c r="K40" s="14"/>
      <c r="L40" s="14"/>
      <c r="M40" s="14"/>
      <c r="N40" s="14"/>
      <c r="O40" s="14"/>
      <c r="P40" s="14"/>
      <c r="Q40" s="14"/>
      <c r="R40" s="14"/>
      <c r="S40" s="14"/>
      <c r="T40" s="14"/>
      <c r="U40" s="14"/>
      <c r="V40" s="14"/>
      <c r="W40" s="14"/>
      <c r="X40" s="14"/>
      <c r="Y40" s="14"/>
      <c r="Z40" s="14"/>
      <c r="AA40" s="14"/>
      <c r="AB40" s="14"/>
      <c r="AC40" s="14"/>
      <c r="AD40" s="14"/>
      <c r="AE40" s="14"/>
    </row>
    <row r="41" spans="1:31" s="115" customFormat="1">
      <c r="A41" s="14"/>
      <c r="D41" s="14"/>
      <c r="J41" s="14"/>
      <c r="K41" s="14"/>
      <c r="L41" s="14"/>
      <c r="M41" s="14"/>
      <c r="N41" s="14"/>
      <c r="O41" s="14"/>
      <c r="P41" s="14"/>
      <c r="Q41" s="14"/>
      <c r="R41" s="14"/>
      <c r="S41" s="14"/>
      <c r="T41" s="14"/>
      <c r="U41" s="14"/>
      <c r="V41" s="14"/>
      <c r="W41" s="14"/>
      <c r="X41" s="14"/>
      <c r="Y41" s="14"/>
      <c r="Z41" s="14"/>
      <c r="AA41" s="14"/>
      <c r="AB41" s="14"/>
      <c r="AC41" s="14"/>
      <c r="AD41" s="14"/>
      <c r="AE41" s="14"/>
    </row>
    <row r="42" spans="1:31" s="115" customFormat="1">
      <c r="A42" s="14"/>
      <c r="D42" s="14"/>
      <c r="J42" s="14"/>
      <c r="K42" s="14"/>
      <c r="L42" s="14"/>
      <c r="M42" s="14"/>
      <c r="N42" s="14"/>
      <c r="O42" s="14"/>
      <c r="P42" s="14"/>
      <c r="Q42" s="14"/>
      <c r="R42" s="14"/>
      <c r="S42" s="14"/>
      <c r="T42" s="14"/>
      <c r="U42" s="14"/>
      <c r="V42" s="14"/>
      <c r="W42" s="14"/>
      <c r="X42" s="14"/>
      <c r="Y42" s="14"/>
      <c r="Z42" s="14"/>
      <c r="AA42" s="14"/>
      <c r="AB42" s="14"/>
      <c r="AC42" s="14"/>
      <c r="AD42" s="14"/>
      <c r="AE42" s="14"/>
    </row>
    <row r="43" spans="1:31" s="115" customFormat="1">
      <c r="A43" s="14"/>
      <c r="D43" s="14"/>
      <c r="J43" s="14"/>
      <c r="K43" s="14"/>
      <c r="L43" s="14"/>
      <c r="M43" s="14"/>
      <c r="N43" s="14"/>
      <c r="O43" s="14"/>
      <c r="P43" s="14"/>
      <c r="Q43" s="14"/>
      <c r="R43" s="14"/>
      <c r="S43" s="14"/>
      <c r="T43" s="14"/>
      <c r="U43" s="14"/>
      <c r="V43" s="14"/>
      <c r="W43" s="14"/>
      <c r="X43" s="14"/>
      <c r="Y43" s="14"/>
      <c r="Z43" s="14"/>
      <c r="AA43" s="14"/>
      <c r="AB43" s="14"/>
      <c r="AC43" s="14"/>
      <c r="AD43" s="14"/>
      <c r="AE43" s="14"/>
    </row>
    <row r="44" spans="1:31" s="115" customFormat="1">
      <c r="A44" s="14"/>
      <c r="D44" s="14"/>
      <c r="J44" s="14"/>
      <c r="K44" s="14"/>
      <c r="L44" s="14"/>
      <c r="M44" s="14"/>
      <c r="N44" s="14"/>
      <c r="O44" s="14"/>
      <c r="P44" s="14"/>
      <c r="Q44" s="14"/>
      <c r="R44" s="14"/>
      <c r="S44" s="14"/>
      <c r="T44" s="14"/>
      <c r="U44" s="14"/>
      <c r="V44" s="14"/>
      <c r="W44" s="14"/>
      <c r="X44" s="14"/>
      <c r="Y44" s="14"/>
      <c r="Z44" s="14"/>
      <c r="AA44" s="14"/>
      <c r="AB44" s="14"/>
      <c r="AC44" s="14"/>
      <c r="AD44" s="14"/>
      <c r="AE44" s="14"/>
    </row>
    <row r="45" spans="1:31" s="115" customFormat="1">
      <c r="A45" s="14"/>
      <c r="D45" s="14"/>
      <c r="J45" s="14"/>
      <c r="K45" s="14"/>
      <c r="L45" s="14"/>
      <c r="M45" s="14"/>
      <c r="N45" s="14"/>
      <c r="O45" s="14"/>
      <c r="P45" s="14"/>
      <c r="Q45" s="14"/>
      <c r="R45" s="14"/>
      <c r="S45" s="14"/>
      <c r="T45" s="14"/>
      <c r="U45" s="14"/>
      <c r="V45" s="14"/>
      <c r="W45" s="14"/>
      <c r="X45" s="14"/>
      <c r="Y45" s="14"/>
      <c r="Z45" s="14"/>
      <c r="AA45" s="14"/>
      <c r="AB45" s="14"/>
      <c r="AC45" s="14"/>
      <c r="AD45" s="14"/>
      <c r="AE45" s="14"/>
    </row>
    <row r="46" spans="1:31" s="115" customFormat="1">
      <c r="A46" s="14"/>
      <c r="D46" s="14"/>
      <c r="J46" s="14"/>
      <c r="K46" s="14"/>
      <c r="L46" s="14"/>
      <c r="M46" s="14"/>
      <c r="N46" s="14"/>
      <c r="O46" s="14"/>
      <c r="P46" s="14"/>
      <c r="Q46" s="14"/>
      <c r="R46" s="14"/>
      <c r="S46" s="14"/>
      <c r="T46" s="14"/>
      <c r="U46" s="14"/>
      <c r="V46" s="14"/>
      <c r="W46" s="14"/>
      <c r="X46" s="14"/>
      <c r="Y46" s="14"/>
      <c r="Z46" s="14"/>
      <c r="AA46" s="14"/>
      <c r="AB46" s="14"/>
      <c r="AC46" s="14"/>
      <c r="AD46" s="14"/>
      <c r="AE46" s="14"/>
    </row>
    <row r="47" spans="1:31" s="115" customFormat="1">
      <c r="A47" s="14"/>
      <c r="D47" s="14"/>
      <c r="J47" s="14"/>
      <c r="K47" s="14"/>
      <c r="L47" s="14"/>
      <c r="M47" s="14"/>
      <c r="N47" s="14"/>
      <c r="O47" s="14"/>
      <c r="P47" s="14"/>
      <c r="Q47" s="14"/>
      <c r="R47" s="14"/>
      <c r="S47" s="14"/>
      <c r="T47" s="14"/>
      <c r="U47" s="14"/>
      <c r="V47" s="14"/>
      <c r="W47" s="14"/>
      <c r="X47" s="14"/>
      <c r="Y47" s="14"/>
      <c r="Z47" s="14"/>
      <c r="AA47" s="14"/>
      <c r="AB47" s="14"/>
      <c r="AC47" s="14"/>
      <c r="AD47" s="14"/>
      <c r="AE47" s="14"/>
    </row>
    <row r="48" spans="1:31" s="115" customFormat="1">
      <c r="A48" s="14"/>
      <c r="D48" s="14"/>
      <c r="J48" s="14"/>
      <c r="K48" s="14"/>
      <c r="L48" s="14"/>
      <c r="M48" s="14"/>
      <c r="N48" s="14"/>
      <c r="O48" s="14"/>
      <c r="P48" s="14"/>
      <c r="Q48" s="14"/>
      <c r="R48" s="14"/>
      <c r="S48" s="14"/>
      <c r="T48" s="14"/>
      <c r="U48" s="14"/>
      <c r="V48" s="14"/>
      <c r="W48" s="14"/>
      <c r="X48" s="14"/>
      <c r="Y48" s="14"/>
      <c r="Z48" s="14"/>
      <c r="AA48" s="14"/>
      <c r="AB48" s="14"/>
      <c r="AC48" s="14"/>
      <c r="AD48" s="14"/>
      <c r="AE48" s="14"/>
    </row>
    <row r="49" spans="1:31" s="115" customFormat="1">
      <c r="A49" s="14"/>
      <c r="D49" s="14"/>
      <c r="J49" s="14"/>
      <c r="K49" s="14"/>
      <c r="L49" s="14"/>
      <c r="M49" s="14"/>
      <c r="N49" s="14"/>
      <c r="O49" s="14"/>
      <c r="P49" s="14"/>
      <c r="Q49" s="14"/>
      <c r="R49" s="14"/>
      <c r="S49" s="14"/>
      <c r="T49" s="14"/>
      <c r="U49" s="14"/>
      <c r="V49" s="14"/>
      <c r="W49" s="14"/>
      <c r="X49" s="14"/>
      <c r="Y49" s="14"/>
      <c r="Z49" s="14"/>
      <c r="AA49" s="14"/>
      <c r="AB49" s="14"/>
      <c r="AC49" s="14"/>
      <c r="AD49" s="14"/>
      <c r="AE49" s="14"/>
    </row>
    <row r="50" spans="1:31" s="115" customFormat="1">
      <c r="A50" s="14"/>
      <c r="D50" s="14"/>
      <c r="J50" s="14"/>
      <c r="K50" s="14"/>
      <c r="L50" s="14"/>
      <c r="M50" s="14"/>
      <c r="N50" s="14"/>
      <c r="O50" s="14"/>
      <c r="P50" s="14"/>
      <c r="Q50" s="14"/>
      <c r="R50" s="14"/>
      <c r="S50" s="14"/>
      <c r="T50" s="14"/>
      <c r="U50" s="14"/>
      <c r="V50" s="14"/>
      <c r="W50" s="14"/>
      <c r="X50" s="14"/>
      <c r="Y50" s="14"/>
      <c r="Z50" s="14"/>
      <c r="AA50" s="14"/>
      <c r="AB50" s="14"/>
      <c r="AC50" s="14"/>
      <c r="AD50" s="14"/>
      <c r="AE50" s="14"/>
    </row>
    <row r="51" spans="1:31" s="115" customFormat="1">
      <c r="A51" s="14"/>
      <c r="D51" s="14"/>
      <c r="J51" s="14"/>
      <c r="K51" s="14"/>
      <c r="L51" s="14"/>
      <c r="M51" s="14"/>
      <c r="N51" s="14"/>
      <c r="O51" s="14"/>
      <c r="P51" s="14"/>
      <c r="Q51" s="14"/>
      <c r="R51" s="14"/>
      <c r="S51" s="14"/>
      <c r="T51" s="14"/>
      <c r="U51" s="14"/>
      <c r="V51" s="14"/>
      <c r="W51" s="14"/>
      <c r="X51" s="14"/>
      <c r="Y51" s="14"/>
      <c r="Z51" s="14"/>
      <c r="AA51" s="14"/>
      <c r="AB51" s="14"/>
      <c r="AC51" s="14"/>
      <c r="AD51" s="14"/>
      <c r="AE51" s="14"/>
    </row>
    <row r="52" spans="1:31" s="115" customFormat="1">
      <c r="A52" s="14"/>
      <c r="D52" s="14"/>
      <c r="J52" s="14"/>
      <c r="K52" s="14"/>
      <c r="L52" s="14"/>
      <c r="M52" s="14"/>
      <c r="N52" s="14"/>
      <c r="O52" s="14"/>
      <c r="P52" s="14"/>
      <c r="Q52" s="14"/>
      <c r="R52" s="14"/>
      <c r="S52" s="14"/>
      <c r="T52" s="14"/>
      <c r="U52" s="14"/>
      <c r="V52" s="14"/>
      <c r="W52" s="14"/>
      <c r="X52" s="14"/>
      <c r="Y52" s="14"/>
      <c r="Z52" s="14"/>
      <c r="AA52" s="14"/>
      <c r="AB52" s="14"/>
      <c r="AC52" s="14"/>
      <c r="AD52" s="14"/>
      <c r="AE52" s="14"/>
    </row>
    <row r="53" spans="1:31" s="115" customFormat="1">
      <c r="A53" s="14"/>
      <c r="D53" s="14"/>
      <c r="J53" s="14"/>
      <c r="K53" s="14"/>
      <c r="L53" s="14"/>
      <c r="M53" s="14"/>
      <c r="N53" s="14"/>
      <c r="O53" s="14"/>
      <c r="P53" s="14"/>
      <c r="Q53" s="14"/>
      <c r="R53" s="14"/>
      <c r="S53" s="14"/>
      <c r="T53" s="14"/>
      <c r="U53" s="14"/>
      <c r="V53" s="14"/>
      <c r="W53" s="14"/>
      <c r="X53" s="14"/>
      <c r="Y53" s="14"/>
      <c r="Z53" s="14"/>
      <c r="AA53" s="14"/>
      <c r="AB53" s="14"/>
      <c r="AC53" s="14"/>
      <c r="AD53" s="14"/>
      <c r="AE53" s="14"/>
    </row>
    <row r="54" spans="1:31" s="115" customFormat="1">
      <c r="A54" s="14"/>
      <c r="D54" s="14"/>
      <c r="J54" s="14"/>
      <c r="K54" s="14"/>
      <c r="L54" s="14"/>
      <c r="M54" s="14"/>
      <c r="N54" s="14"/>
      <c r="O54" s="14"/>
      <c r="P54" s="14"/>
      <c r="Q54" s="14"/>
      <c r="R54" s="14"/>
      <c r="S54" s="14"/>
      <c r="T54" s="14"/>
      <c r="U54" s="14"/>
      <c r="V54" s="14"/>
      <c r="W54" s="14"/>
      <c r="X54" s="14"/>
      <c r="Y54" s="14"/>
      <c r="Z54" s="14"/>
      <c r="AA54" s="14"/>
      <c r="AB54" s="14"/>
      <c r="AC54" s="14"/>
      <c r="AD54" s="14"/>
      <c r="AE54" s="14"/>
    </row>
    <row r="55" spans="1:31" s="115" customFormat="1">
      <c r="A55" s="14"/>
      <c r="D55" s="14"/>
      <c r="J55" s="14"/>
      <c r="K55" s="14"/>
      <c r="L55" s="14"/>
      <c r="M55" s="14"/>
      <c r="N55" s="14"/>
      <c r="O55" s="14"/>
      <c r="P55" s="14"/>
      <c r="Q55" s="14"/>
      <c r="R55" s="14"/>
      <c r="S55" s="14"/>
      <c r="T55" s="14"/>
      <c r="U55" s="14"/>
      <c r="V55" s="14"/>
      <c r="W55" s="14"/>
      <c r="X55" s="14"/>
      <c r="Y55" s="14"/>
      <c r="Z55" s="14"/>
      <c r="AA55" s="14"/>
      <c r="AB55" s="14"/>
      <c r="AC55" s="14"/>
      <c r="AD55" s="14"/>
      <c r="AE55" s="14"/>
    </row>
    <row r="56" spans="1:31" s="115" customFormat="1">
      <c r="A56" s="14"/>
      <c r="D56" s="14"/>
      <c r="J56" s="14"/>
      <c r="K56" s="14"/>
      <c r="L56" s="14"/>
      <c r="M56" s="14"/>
      <c r="N56" s="14"/>
      <c r="O56" s="14"/>
      <c r="P56" s="14"/>
      <c r="Q56" s="14"/>
      <c r="R56" s="14"/>
      <c r="S56" s="14"/>
      <c r="T56" s="14"/>
      <c r="U56" s="14"/>
      <c r="V56" s="14"/>
      <c r="W56" s="14"/>
      <c r="X56" s="14"/>
      <c r="Y56" s="14"/>
      <c r="Z56" s="14"/>
      <c r="AA56" s="14"/>
      <c r="AB56" s="14"/>
      <c r="AC56" s="14"/>
      <c r="AD56" s="14"/>
      <c r="AE56" s="14"/>
    </row>
    <row r="57" spans="1:31" s="115" customFormat="1">
      <c r="A57" s="14"/>
      <c r="D57" s="14"/>
      <c r="J57" s="14"/>
      <c r="K57" s="14"/>
      <c r="L57" s="14"/>
      <c r="M57" s="14"/>
      <c r="N57" s="14"/>
      <c r="O57" s="14"/>
      <c r="P57" s="14"/>
      <c r="Q57" s="14"/>
      <c r="R57" s="14"/>
      <c r="S57" s="14"/>
      <c r="T57" s="14"/>
      <c r="U57" s="14"/>
      <c r="V57" s="14"/>
      <c r="W57" s="14"/>
      <c r="X57" s="14"/>
      <c r="Y57" s="14"/>
      <c r="Z57" s="14"/>
      <c r="AA57" s="14"/>
      <c r="AB57" s="14"/>
      <c r="AC57" s="14"/>
      <c r="AD57" s="14"/>
      <c r="AE57" s="14"/>
    </row>
    <row r="58" spans="1:31" s="115" customFormat="1">
      <c r="A58" s="14"/>
      <c r="D58" s="14"/>
      <c r="J58" s="14"/>
      <c r="K58" s="14"/>
      <c r="L58" s="14"/>
      <c r="M58" s="14"/>
      <c r="N58" s="14"/>
      <c r="O58" s="14"/>
      <c r="P58" s="14"/>
      <c r="Q58" s="14"/>
      <c r="R58" s="14"/>
      <c r="S58" s="14"/>
      <c r="T58" s="14"/>
      <c r="U58" s="14"/>
      <c r="V58" s="14"/>
      <c r="W58" s="14"/>
      <c r="X58" s="14"/>
      <c r="Y58" s="14"/>
      <c r="Z58" s="14"/>
      <c r="AA58" s="14"/>
      <c r="AB58" s="14"/>
      <c r="AC58" s="14"/>
      <c r="AD58" s="14"/>
      <c r="AE58" s="14"/>
    </row>
    <row r="59" spans="1:31" s="115" customFormat="1">
      <c r="A59" s="14"/>
      <c r="D59" s="14"/>
      <c r="J59" s="14"/>
      <c r="K59" s="14"/>
      <c r="L59" s="14"/>
      <c r="M59" s="14"/>
      <c r="N59" s="14"/>
      <c r="O59" s="14"/>
      <c r="P59" s="14"/>
      <c r="Q59" s="14"/>
      <c r="R59" s="14"/>
      <c r="S59" s="14"/>
      <c r="T59" s="14"/>
      <c r="U59" s="14"/>
      <c r="V59" s="14"/>
      <c r="W59" s="14"/>
      <c r="X59" s="14"/>
      <c r="Y59" s="14"/>
      <c r="Z59" s="14"/>
      <c r="AA59" s="14"/>
      <c r="AB59" s="14"/>
      <c r="AC59" s="14"/>
      <c r="AD59" s="14"/>
      <c r="AE59" s="14"/>
    </row>
    <row r="60" spans="1:31" s="115" customFormat="1">
      <c r="A60" s="14"/>
      <c r="D60" s="14"/>
      <c r="J60" s="14"/>
      <c r="K60" s="14"/>
      <c r="L60" s="14"/>
      <c r="M60" s="14"/>
      <c r="N60" s="14"/>
      <c r="O60" s="14"/>
      <c r="P60" s="14"/>
      <c r="Q60" s="14"/>
      <c r="R60" s="14"/>
      <c r="S60" s="14"/>
      <c r="T60" s="14"/>
      <c r="U60" s="14"/>
      <c r="V60" s="14"/>
      <c r="W60" s="14"/>
      <c r="X60" s="14"/>
      <c r="Y60" s="14"/>
      <c r="Z60" s="14"/>
      <c r="AA60" s="14"/>
      <c r="AB60" s="14"/>
      <c r="AC60" s="14"/>
      <c r="AD60" s="14"/>
      <c r="AE60" s="14"/>
    </row>
    <row r="61" spans="1:31" s="115" customFormat="1">
      <c r="A61" s="14"/>
      <c r="D61" s="14"/>
      <c r="J61" s="14"/>
      <c r="K61" s="14"/>
      <c r="L61" s="14"/>
      <c r="M61" s="14"/>
      <c r="N61" s="14"/>
      <c r="O61" s="14"/>
      <c r="P61" s="14"/>
      <c r="Q61" s="14"/>
      <c r="R61" s="14"/>
      <c r="S61" s="14"/>
      <c r="T61" s="14"/>
      <c r="U61" s="14"/>
      <c r="V61" s="14"/>
      <c r="W61" s="14"/>
      <c r="X61" s="14"/>
      <c r="Y61" s="14"/>
      <c r="Z61" s="14"/>
      <c r="AA61" s="14"/>
      <c r="AB61" s="14"/>
      <c r="AC61" s="14"/>
      <c r="AD61" s="14"/>
      <c r="AE61" s="14"/>
    </row>
    <row r="62" spans="1:31" s="115" customFormat="1">
      <c r="A62" s="14"/>
      <c r="D62" s="14"/>
      <c r="J62" s="14"/>
      <c r="K62" s="14"/>
      <c r="L62" s="14"/>
      <c r="M62" s="14"/>
      <c r="N62" s="14"/>
      <c r="O62" s="14"/>
      <c r="P62" s="14"/>
      <c r="Q62" s="14"/>
      <c r="R62" s="14"/>
      <c r="S62" s="14"/>
      <c r="T62" s="14"/>
      <c r="U62" s="14"/>
      <c r="V62" s="14"/>
      <c r="W62" s="14"/>
      <c r="X62" s="14"/>
      <c r="Y62" s="14"/>
      <c r="Z62" s="14"/>
      <c r="AA62" s="14"/>
      <c r="AB62" s="14"/>
      <c r="AC62" s="14"/>
      <c r="AD62" s="14"/>
      <c r="AE62" s="14"/>
    </row>
    <row r="63" spans="1:31" s="115" customFormat="1">
      <c r="A63" s="14"/>
      <c r="D63" s="14"/>
      <c r="J63" s="14"/>
      <c r="K63" s="14"/>
      <c r="L63" s="14"/>
      <c r="M63" s="14"/>
      <c r="N63" s="14"/>
      <c r="O63" s="14"/>
      <c r="P63" s="14"/>
      <c r="Q63" s="14"/>
      <c r="R63" s="14"/>
      <c r="S63" s="14"/>
      <c r="T63" s="14"/>
      <c r="U63" s="14"/>
      <c r="V63" s="14"/>
      <c r="W63" s="14"/>
      <c r="X63" s="14"/>
      <c r="Y63" s="14"/>
      <c r="Z63" s="14"/>
      <c r="AA63" s="14"/>
      <c r="AB63" s="14"/>
      <c r="AC63" s="14"/>
      <c r="AD63" s="14"/>
      <c r="AE63" s="14"/>
    </row>
    <row r="64" spans="1:31" s="115" customFormat="1">
      <c r="A64" s="14"/>
      <c r="D64" s="14"/>
      <c r="J64" s="14"/>
      <c r="K64" s="14"/>
      <c r="L64" s="14"/>
      <c r="M64" s="14"/>
      <c r="N64" s="14"/>
      <c r="O64" s="14"/>
      <c r="P64" s="14"/>
      <c r="Q64" s="14"/>
      <c r="R64" s="14"/>
      <c r="S64" s="14"/>
      <c r="T64" s="14"/>
      <c r="U64" s="14"/>
      <c r="V64" s="14"/>
      <c r="W64" s="14"/>
      <c r="X64" s="14"/>
      <c r="Y64" s="14"/>
      <c r="Z64" s="14"/>
      <c r="AA64" s="14"/>
      <c r="AB64" s="14"/>
      <c r="AC64" s="14"/>
      <c r="AD64" s="14"/>
      <c r="AE64" s="14"/>
    </row>
    <row r="65" spans="1:31" s="115" customFormat="1">
      <c r="A65" s="14"/>
      <c r="D65" s="14"/>
      <c r="J65" s="14"/>
      <c r="K65" s="14"/>
      <c r="L65" s="14"/>
      <c r="M65" s="14"/>
      <c r="N65" s="14"/>
      <c r="O65" s="14"/>
      <c r="P65" s="14"/>
      <c r="Q65" s="14"/>
      <c r="R65" s="14"/>
      <c r="S65" s="14"/>
      <c r="T65" s="14"/>
      <c r="U65" s="14"/>
      <c r="V65" s="14"/>
      <c r="W65" s="14"/>
      <c r="X65" s="14"/>
      <c r="Y65" s="14"/>
      <c r="Z65" s="14"/>
      <c r="AA65" s="14"/>
      <c r="AB65" s="14"/>
      <c r="AC65" s="14"/>
      <c r="AD65" s="14"/>
      <c r="AE65" s="14"/>
    </row>
    <row r="66" spans="1:31" s="115" customFormat="1">
      <c r="A66" s="14"/>
      <c r="D66" s="14"/>
      <c r="J66" s="14"/>
      <c r="K66" s="14"/>
      <c r="L66" s="14"/>
      <c r="M66" s="14"/>
      <c r="N66" s="14"/>
      <c r="O66" s="14"/>
      <c r="P66" s="14"/>
      <c r="Q66" s="14"/>
      <c r="R66" s="14"/>
      <c r="S66" s="14"/>
      <c r="T66" s="14"/>
      <c r="U66" s="14"/>
      <c r="V66" s="14"/>
      <c r="W66" s="14"/>
      <c r="X66" s="14"/>
      <c r="Y66" s="14"/>
      <c r="Z66" s="14"/>
      <c r="AA66" s="14"/>
      <c r="AB66" s="14"/>
      <c r="AC66" s="14"/>
      <c r="AD66" s="14"/>
      <c r="AE66" s="14"/>
    </row>
    <row r="67" spans="1:31" s="115" customFormat="1">
      <c r="A67" s="14"/>
      <c r="D67" s="14"/>
      <c r="J67" s="14"/>
      <c r="K67" s="14"/>
      <c r="L67" s="14"/>
      <c r="M67" s="14"/>
      <c r="N67" s="14"/>
      <c r="O67" s="14"/>
      <c r="P67" s="14"/>
      <c r="Q67" s="14"/>
      <c r="R67" s="14"/>
      <c r="S67" s="14"/>
      <c r="T67" s="14"/>
      <c r="U67" s="14"/>
      <c r="V67" s="14"/>
      <c r="W67" s="14"/>
      <c r="X67" s="14"/>
      <c r="Y67" s="14"/>
      <c r="Z67" s="14"/>
      <c r="AA67" s="14"/>
      <c r="AB67" s="14"/>
      <c r="AC67" s="14"/>
      <c r="AD67" s="14"/>
      <c r="AE67" s="14"/>
    </row>
    <row r="68" spans="1:31" s="115" customFormat="1">
      <c r="A68" s="14"/>
      <c r="D68" s="14"/>
      <c r="J68" s="14"/>
      <c r="K68" s="14"/>
      <c r="L68" s="14"/>
      <c r="M68" s="14"/>
      <c r="N68" s="14"/>
      <c r="O68" s="14"/>
      <c r="P68" s="14"/>
      <c r="Q68" s="14"/>
      <c r="R68" s="14"/>
      <c r="S68" s="14"/>
      <c r="T68" s="14"/>
      <c r="U68" s="14"/>
      <c r="V68" s="14"/>
      <c r="W68" s="14"/>
      <c r="X68" s="14"/>
      <c r="Y68" s="14"/>
      <c r="Z68" s="14"/>
      <c r="AA68" s="14"/>
      <c r="AB68" s="14"/>
      <c r="AC68" s="14"/>
      <c r="AD68" s="14"/>
      <c r="AE68" s="14"/>
    </row>
    <row r="69" spans="1:31" s="115" customFormat="1">
      <c r="A69" s="14"/>
      <c r="D69" s="14"/>
      <c r="J69" s="14"/>
      <c r="K69" s="14"/>
      <c r="L69" s="14"/>
      <c r="M69" s="14"/>
      <c r="N69" s="14"/>
      <c r="O69" s="14"/>
      <c r="P69" s="14"/>
      <c r="Q69" s="14"/>
      <c r="R69" s="14"/>
      <c r="S69" s="14"/>
      <c r="T69" s="14"/>
      <c r="U69" s="14"/>
      <c r="V69" s="14"/>
      <c r="W69" s="14"/>
      <c r="X69" s="14"/>
      <c r="Y69" s="14"/>
      <c r="Z69" s="14"/>
      <c r="AA69" s="14"/>
      <c r="AB69" s="14"/>
      <c r="AC69" s="14"/>
      <c r="AD69" s="14"/>
      <c r="AE69" s="14"/>
    </row>
    <row r="70" spans="1:31" s="115" customFormat="1">
      <c r="A70" s="14"/>
      <c r="D70" s="14"/>
      <c r="J70" s="14"/>
      <c r="K70" s="14"/>
      <c r="L70" s="14"/>
      <c r="M70" s="14"/>
      <c r="N70" s="14"/>
      <c r="O70" s="14"/>
      <c r="P70" s="14"/>
      <c r="Q70" s="14"/>
      <c r="R70" s="14"/>
      <c r="S70" s="14"/>
      <c r="T70" s="14"/>
      <c r="U70" s="14"/>
      <c r="V70" s="14"/>
      <c r="W70" s="14"/>
      <c r="X70" s="14"/>
      <c r="Y70" s="14"/>
      <c r="Z70" s="14"/>
      <c r="AA70" s="14"/>
      <c r="AB70" s="14"/>
      <c r="AC70" s="14"/>
      <c r="AD70" s="14"/>
      <c r="AE70" s="14"/>
    </row>
    <row r="71" spans="1:31" s="115" customFormat="1">
      <c r="A71" s="14"/>
      <c r="D71" s="14"/>
      <c r="J71" s="14"/>
      <c r="K71" s="14"/>
      <c r="L71" s="14"/>
      <c r="M71" s="14"/>
      <c r="N71" s="14"/>
      <c r="O71" s="14"/>
      <c r="P71" s="14"/>
      <c r="Q71" s="14"/>
      <c r="R71" s="14"/>
      <c r="S71" s="14"/>
      <c r="T71" s="14"/>
      <c r="U71" s="14"/>
      <c r="V71" s="14"/>
      <c r="W71" s="14"/>
      <c r="X71" s="14"/>
      <c r="Y71" s="14"/>
      <c r="Z71" s="14"/>
      <c r="AA71" s="14"/>
      <c r="AB71" s="14"/>
      <c r="AC71" s="14"/>
      <c r="AD71" s="14"/>
      <c r="AE71" s="14"/>
    </row>
    <row r="72" spans="1:31" s="115" customFormat="1">
      <c r="A72" s="14"/>
      <c r="D72" s="14"/>
      <c r="J72" s="14"/>
      <c r="K72" s="14"/>
      <c r="L72" s="14"/>
      <c r="M72" s="14"/>
      <c r="N72" s="14"/>
      <c r="O72" s="14"/>
      <c r="P72" s="14"/>
      <c r="Q72" s="14"/>
      <c r="R72" s="14"/>
      <c r="S72" s="14"/>
      <c r="T72" s="14"/>
      <c r="U72" s="14"/>
      <c r="V72" s="14"/>
      <c r="W72" s="14"/>
      <c r="X72" s="14"/>
      <c r="Y72" s="14"/>
      <c r="Z72" s="14"/>
      <c r="AA72" s="14"/>
      <c r="AB72" s="14"/>
      <c r="AC72" s="14"/>
      <c r="AD72" s="14"/>
      <c r="AE72" s="14"/>
    </row>
    <row r="73" spans="1:31" s="115" customFormat="1">
      <c r="A73" s="14"/>
      <c r="D73" s="14"/>
      <c r="J73" s="14"/>
      <c r="K73" s="14"/>
      <c r="L73" s="14"/>
      <c r="M73" s="14"/>
      <c r="N73" s="14"/>
      <c r="O73" s="14"/>
      <c r="P73" s="14"/>
      <c r="Q73" s="14"/>
      <c r="R73" s="14"/>
      <c r="S73" s="14"/>
      <c r="T73" s="14"/>
      <c r="U73" s="14"/>
      <c r="V73" s="14"/>
      <c r="W73" s="14"/>
      <c r="X73" s="14"/>
      <c r="Y73" s="14"/>
      <c r="Z73" s="14"/>
      <c r="AA73" s="14"/>
      <c r="AB73" s="14"/>
      <c r="AC73" s="14"/>
      <c r="AD73" s="14"/>
      <c r="AE73" s="14"/>
    </row>
    <row r="74" spans="1:31" s="115" customFormat="1">
      <c r="A74" s="14"/>
      <c r="D74" s="14"/>
      <c r="J74" s="14"/>
      <c r="K74" s="14"/>
      <c r="L74" s="14"/>
      <c r="M74" s="14"/>
      <c r="N74" s="14"/>
      <c r="O74" s="14"/>
      <c r="P74" s="14"/>
      <c r="Q74" s="14"/>
      <c r="R74" s="14"/>
      <c r="S74" s="14"/>
      <c r="T74" s="14"/>
      <c r="U74" s="14"/>
      <c r="V74" s="14"/>
      <c r="W74" s="14"/>
      <c r="X74" s="14"/>
      <c r="Y74" s="14"/>
      <c r="Z74" s="14"/>
      <c r="AA74" s="14"/>
      <c r="AB74" s="14"/>
      <c r="AC74" s="14"/>
      <c r="AD74" s="14"/>
      <c r="AE74" s="14"/>
    </row>
  </sheetData>
  <sheetProtection algorithmName="SHA-512" hashValue="3D48dBLktk+jIUgArvBFzWmynKKd7rvaLeTY+zYjsqgtxKFdfiKkcQM2Dl6jR83i07KjVeEgvp7dik/pPLGGIw==" saltValue="YQB+rBOBdU571eyGHogCgQ==" spinCount="100000" sheet="1" objects="1" scenarios="1"/>
  <mergeCells count="4">
    <mergeCell ref="E5:E6"/>
    <mergeCell ref="F5:F6"/>
    <mergeCell ref="G5:H5"/>
    <mergeCell ref="I5:I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A4765FE-43C1-4DC9-8203-819C4F119117}">
          <x14:formula1>
            <xm:f>'Ag Measures Calcs'!$E$3:$E$11</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X28"/>
  <sheetViews>
    <sheetView zoomScaleNormal="100" workbookViewId="0">
      <selection activeCell="C14" sqref="C14"/>
    </sheetView>
  </sheetViews>
  <sheetFormatPr defaultColWidth="0" defaultRowHeight="14.25"/>
  <cols>
    <col min="1" max="1" width="3.625" style="13" customWidth="1"/>
    <col min="2" max="2" width="26.75" style="14" customWidth="1"/>
    <col min="3" max="3" width="18.125" style="14" customWidth="1"/>
    <col min="4" max="4" width="15.625" style="14" customWidth="1"/>
    <col min="5" max="5" width="8.75" style="13" customWidth="1"/>
    <col min="6" max="6" width="9.625" style="14" customWidth="1"/>
    <col min="7" max="11" width="8.75" style="14" customWidth="1"/>
    <col min="12" max="24" width="0" style="14" hidden="1" customWidth="1"/>
    <col min="25" max="16384" width="8.75" style="14" hidden="1"/>
  </cols>
  <sheetData>
    <row r="1" spans="1:11">
      <c r="A1" s="53"/>
    </row>
    <row r="2" spans="1:11" s="13" customFormat="1" ht="9.75" customHeight="1"/>
    <row r="3" spans="1:11" ht="34.5" customHeight="1">
      <c r="A3" s="14"/>
      <c r="B3" s="279" t="s">
        <v>250</v>
      </c>
      <c r="C3" s="280"/>
      <c r="D3" s="280"/>
      <c r="G3" s="277" t="s">
        <v>229</v>
      </c>
      <c r="H3" s="277"/>
      <c r="I3" s="277"/>
    </row>
    <row r="4" spans="1:11" ht="28.9" customHeight="1">
      <c r="A4" s="14"/>
      <c r="B4" s="278" t="s">
        <v>8</v>
      </c>
      <c r="C4" s="278"/>
      <c r="D4" s="278"/>
      <c r="G4" s="276" t="s">
        <v>340</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3" t="str">
        <f>IF(Summary!C6="","",Summary!C6)</f>
        <v/>
      </c>
      <c r="D7" s="284"/>
      <c r="E7" s="16"/>
      <c r="G7" s="276"/>
      <c r="H7" s="276"/>
      <c r="I7" s="276"/>
      <c r="J7" s="276"/>
      <c r="K7" s="276"/>
    </row>
    <row r="8" spans="1:11" s="17" customFormat="1" ht="22.15" customHeight="1">
      <c r="B8" s="26" t="s">
        <v>217</v>
      </c>
      <c r="C8" s="283" t="str">
        <f>IF(Summary!C7="","",Summary!C7)</f>
        <v/>
      </c>
      <c r="D8" s="284"/>
      <c r="E8" s="16"/>
      <c r="G8" s="276"/>
      <c r="H8" s="276"/>
      <c r="I8" s="276"/>
      <c r="J8" s="276"/>
      <c r="K8" s="276"/>
    </row>
    <row r="9" spans="1:11" s="17" customFormat="1" ht="22.15" customHeight="1">
      <c r="B9" s="26" t="s">
        <v>28</v>
      </c>
      <c r="C9" s="138"/>
      <c r="D9" s="27" t="s">
        <v>27</v>
      </c>
      <c r="E9" s="16"/>
      <c r="G9" s="276"/>
      <c r="H9" s="276"/>
      <c r="I9" s="276"/>
      <c r="J9" s="276"/>
      <c r="K9" s="276"/>
    </row>
    <row r="10" spans="1:11" s="17" customFormat="1" ht="22.15" customHeight="1">
      <c r="B10" s="62" t="s">
        <v>33</v>
      </c>
      <c r="C10" s="136"/>
      <c r="D10" s="92" t="s">
        <v>34</v>
      </c>
      <c r="E10" s="16"/>
      <c r="G10" s="276"/>
      <c r="H10" s="276"/>
      <c r="I10" s="276"/>
      <c r="J10" s="276"/>
      <c r="K10" s="276"/>
    </row>
    <row r="11" spans="1:11" s="17" customFormat="1" ht="22.15" customHeight="1" thickBot="1">
      <c r="B11" s="28" t="s">
        <v>178</v>
      </c>
      <c r="C11" s="97"/>
      <c r="D11" s="29" t="s">
        <v>179</v>
      </c>
      <c r="E11" s="16"/>
      <c r="G11" s="276"/>
      <c r="H11" s="276"/>
      <c r="I11" s="276"/>
      <c r="J11" s="276"/>
      <c r="K11" s="276"/>
    </row>
    <row r="12" spans="1:11" s="17" customFormat="1" ht="7.9" customHeight="1" thickBot="1">
      <c r="B12" s="30"/>
      <c r="C12" s="30"/>
      <c r="D12" s="30"/>
      <c r="E12" s="16"/>
      <c r="G12" s="276"/>
      <c r="H12" s="276"/>
      <c r="I12" s="276"/>
      <c r="J12" s="276"/>
      <c r="K12" s="276"/>
    </row>
    <row r="13" spans="1:11" s="17" customFormat="1" ht="22.15" customHeight="1">
      <c r="B13" s="139" t="s">
        <v>29</v>
      </c>
      <c r="C13" s="140">
        <f>ROUND(C9*C27,2)</f>
        <v>0</v>
      </c>
      <c r="D13" s="141" t="s">
        <v>1</v>
      </c>
      <c r="E13" s="16"/>
      <c r="G13" s="276"/>
      <c r="H13" s="276"/>
      <c r="I13" s="276"/>
      <c r="J13" s="276"/>
      <c r="K13" s="276"/>
    </row>
    <row r="14" spans="1:11" s="17" customFormat="1" ht="22.15" customHeight="1">
      <c r="B14" s="142" t="s">
        <v>31</v>
      </c>
      <c r="C14" s="143">
        <f>ROUND(C13*C26,4)</f>
        <v>0</v>
      </c>
      <c r="D14" s="144" t="s">
        <v>32</v>
      </c>
      <c r="E14" s="16"/>
      <c r="G14" s="276"/>
      <c r="H14" s="276"/>
      <c r="I14" s="276"/>
      <c r="J14" s="276"/>
      <c r="K14" s="276"/>
    </row>
    <row r="15" spans="1:11" s="17" customFormat="1" ht="22.15" customHeight="1" thickBot="1">
      <c r="B15" s="145" t="s">
        <v>30</v>
      </c>
      <c r="C15" s="146" t="str">
        <f>IF(OR(C9="",C10="",C11=""),"",ROUND(MIN(C10*C28,C11),2))</f>
        <v/>
      </c>
      <c r="D15" s="147"/>
      <c r="E15" s="16"/>
      <c r="G15" s="276"/>
      <c r="H15" s="276"/>
      <c r="I15" s="276"/>
      <c r="J15" s="276"/>
      <c r="K15" s="276"/>
    </row>
    <row r="16" spans="1:11" s="13" customFormat="1"/>
    <row r="17" spans="2:24">
      <c r="B17" s="52"/>
    </row>
    <row r="21" spans="2:24" s="9" customFormat="1" ht="18">
      <c r="B21" s="10" t="s">
        <v>10</v>
      </c>
      <c r="C21" s="8"/>
      <c r="D21" s="10"/>
      <c r="E21" s="2"/>
      <c r="F21" s="2"/>
      <c r="G21" s="2"/>
      <c r="H21" s="2"/>
      <c r="I21" s="2"/>
      <c r="J21" s="2"/>
      <c r="K21" s="2"/>
      <c r="L21" s="2"/>
      <c r="M21" s="2"/>
      <c r="N21" s="2"/>
      <c r="O21" s="2"/>
      <c r="P21" s="2"/>
      <c r="Q21" s="2"/>
      <c r="R21" s="2"/>
      <c r="S21" s="2"/>
      <c r="T21" s="2"/>
      <c r="U21" s="2"/>
      <c r="V21" s="2"/>
    </row>
    <row r="22" spans="2:24" s="9" customFormat="1">
      <c r="B22" s="54" t="s">
        <v>48</v>
      </c>
      <c r="C22" s="64">
        <f>C9</f>
        <v>0</v>
      </c>
      <c r="D22" s="31" t="s">
        <v>27</v>
      </c>
      <c r="E22" s="2"/>
      <c r="F22" s="2"/>
      <c r="G22" s="2"/>
      <c r="H22" s="2"/>
      <c r="I22" s="2"/>
      <c r="J22" s="2"/>
      <c r="K22" s="2"/>
      <c r="L22" s="2"/>
      <c r="M22" s="2"/>
      <c r="N22" s="2"/>
      <c r="O22" s="2"/>
      <c r="P22" s="2"/>
      <c r="Q22" s="2"/>
      <c r="R22" s="2"/>
      <c r="S22" s="2"/>
      <c r="T22" s="2"/>
      <c r="U22" s="2"/>
      <c r="V22" s="2"/>
      <c r="X22" s="2"/>
    </row>
    <row r="23" spans="2:24" s="9" customFormat="1">
      <c r="B23" s="54" t="s">
        <v>49</v>
      </c>
      <c r="C23" s="64">
        <f>C10</f>
        <v>0</v>
      </c>
      <c r="D23" s="31" t="s">
        <v>34</v>
      </c>
      <c r="E23" s="2"/>
      <c r="F23" s="2"/>
      <c r="G23" s="2"/>
      <c r="H23" s="2"/>
      <c r="I23" s="2"/>
      <c r="J23" s="2"/>
      <c r="K23" s="2"/>
      <c r="L23" s="2"/>
      <c r="M23" s="2"/>
      <c r="N23" s="2"/>
      <c r="O23" s="2"/>
      <c r="P23" s="2"/>
      <c r="Q23" s="2"/>
      <c r="R23" s="2"/>
      <c r="S23" s="2"/>
      <c r="T23" s="2"/>
      <c r="U23" s="2"/>
      <c r="V23" s="2"/>
      <c r="X23" s="2"/>
    </row>
    <row r="24" spans="2:24" s="9" customFormat="1">
      <c r="B24" s="2"/>
      <c r="C24" s="2"/>
      <c r="D24" s="2"/>
      <c r="E24" s="2"/>
      <c r="F24" s="2"/>
      <c r="G24" s="2"/>
      <c r="H24" s="2"/>
      <c r="I24" s="2"/>
      <c r="J24" s="2"/>
      <c r="K24" s="2"/>
      <c r="L24" s="2"/>
      <c r="M24" s="2"/>
      <c r="N24" s="2"/>
      <c r="O24" s="2"/>
      <c r="P24" s="2"/>
      <c r="Q24" s="2"/>
      <c r="R24" s="2"/>
      <c r="S24" s="2"/>
      <c r="T24" s="2"/>
      <c r="U24" s="2"/>
      <c r="V24" s="2"/>
      <c r="W24" s="2"/>
    </row>
    <row r="25" spans="2:24" s="9" customFormat="1" ht="18">
      <c r="B25" s="10" t="s">
        <v>9</v>
      </c>
      <c r="C25" s="2"/>
      <c r="D25" s="2"/>
      <c r="E25" s="2"/>
      <c r="F25" s="2"/>
      <c r="G25" s="2"/>
      <c r="H25" s="2"/>
      <c r="I25" s="2"/>
      <c r="J25" s="2"/>
      <c r="K25" s="2"/>
      <c r="L25" s="2"/>
      <c r="M25" s="2"/>
      <c r="N25" s="2"/>
      <c r="O25" s="2"/>
      <c r="P25" s="2"/>
      <c r="Q25" s="2"/>
      <c r="R25" s="2"/>
      <c r="S25" s="2"/>
      <c r="T25" s="2"/>
      <c r="U25" s="2"/>
      <c r="V25" s="2"/>
      <c r="W25" s="2"/>
    </row>
    <row r="26" spans="2:24" s="9" customFormat="1">
      <c r="B26" s="54" t="s">
        <v>44</v>
      </c>
      <c r="C26" s="65">
        <v>1.7000000000000001E-4</v>
      </c>
      <c r="D26" s="31" t="s">
        <v>43</v>
      </c>
      <c r="E26" s="2"/>
      <c r="F26" s="2"/>
      <c r="G26" s="2"/>
      <c r="H26" s="2"/>
      <c r="I26" s="2"/>
      <c r="J26" s="2"/>
      <c r="K26" s="2"/>
      <c r="L26" s="2"/>
      <c r="M26" s="2"/>
      <c r="N26" s="2"/>
      <c r="O26" s="2"/>
      <c r="P26" s="2"/>
      <c r="Q26" s="2"/>
      <c r="R26" s="2"/>
      <c r="S26" s="2"/>
      <c r="T26" s="2"/>
      <c r="U26" s="2"/>
      <c r="V26" s="2"/>
      <c r="W26" s="2"/>
    </row>
    <row r="27" spans="2:24" s="9" customFormat="1">
      <c r="B27" s="54" t="s">
        <v>35</v>
      </c>
      <c r="C27" s="65">
        <v>34</v>
      </c>
      <c r="D27" s="31" t="s">
        <v>175</v>
      </c>
      <c r="E27" s="2"/>
      <c r="F27" s="2"/>
      <c r="G27" s="2"/>
      <c r="H27" s="2"/>
      <c r="I27" s="2"/>
      <c r="J27" s="2"/>
      <c r="K27" s="2"/>
      <c r="L27" s="2"/>
      <c r="M27" s="2"/>
      <c r="N27" s="2"/>
      <c r="O27" s="2"/>
      <c r="P27" s="2"/>
      <c r="Q27" s="2"/>
      <c r="R27" s="2"/>
      <c r="S27" s="2"/>
      <c r="T27" s="2"/>
      <c r="U27" s="2"/>
      <c r="V27" s="2"/>
      <c r="W27" s="2"/>
    </row>
    <row r="28" spans="2:24" s="9" customFormat="1">
      <c r="B28" s="54" t="s">
        <v>36</v>
      </c>
      <c r="C28" s="66">
        <v>90</v>
      </c>
      <c r="D28" s="31" t="s">
        <v>37</v>
      </c>
      <c r="E28" s="2"/>
      <c r="F28" s="2"/>
      <c r="G28" s="2"/>
      <c r="H28" s="2"/>
      <c r="I28" s="2"/>
      <c r="J28" s="2"/>
      <c r="K28" s="2"/>
      <c r="L28" s="2"/>
      <c r="M28" s="2"/>
      <c r="N28" s="2"/>
      <c r="O28" s="2"/>
      <c r="P28" s="2"/>
      <c r="Q28" s="2"/>
      <c r="R28" s="2"/>
      <c r="S28" s="2"/>
      <c r="T28" s="2"/>
      <c r="U28" s="2"/>
      <c r="V28" s="2"/>
      <c r="X28" s="2"/>
    </row>
  </sheetData>
  <sheetProtection algorithmName="SHA-512" hashValue="5stPBd2oeR2RlmdIh2enLLfee0dHrlJ3K6O6GNySDi4oc3YTQRzqGqTerC9D0V3TMWfNvRDaD3W6W+g6ofWwPw==" saltValue="kZU4Zz33djCHXwhXItu02Q==" spinCount="100000" sheet="1" formatColumns="0"/>
  <mergeCells count="7">
    <mergeCell ref="G4:K15"/>
    <mergeCell ref="G3:I3"/>
    <mergeCell ref="B4:D4"/>
    <mergeCell ref="B3:D3"/>
    <mergeCell ref="C6:D6"/>
    <mergeCell ref="C7:D7"/>
    <mergeCell ref="C8:D8"/>
  </mergeCells>
  <dataValidations count="1">
    <dataValidation type="decimal" allowBlank="1" showInputMessage="1" showErrorMessage="1" sqref="C9 C13:C14" xr:uid="{00000000-0002-0000-0200-000000000000}">
      <formula1>0</formula1>
      <formula2>999999999999999000</formula2>
    </dataValidation>
  </dataValidations>
  <pageMargins left="0.5" right="0.5" top="0.5" bottom="0.5" header="0.3" footer="0.3"/>
  <pageSetup orientation="portrait" r:id="rId1"/>
  <ignoredErrors>
    <ignoredError sqref="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59999389629810485"/>
  </sheetPr>
  <dimension ref="A1:K19"/>
  <sheetViews>
    <sheetView zoomScaleNormal="100" workbookViewId="0">
      <selection activeCell="C9" sqref="C9:C13"/>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79" t="s">
        <v>251</v>
      </c>
      <c r="C3" s="280"/>
      <c r="D3" s="280"/>
      <c r="G3" s="277" t="s">
        <v>229</v>
      </c>
      <c r="H3" s="277"/>
      <c r="I3" s="277"/>
    </row>
    <row r="4" spans="1:11" ht="28.9" customHeight="1">
      <c r="A4" s="14"/>
      <c r="B4" s="278" t="s">
        <v>8</v>
      </c>
      <c r="C4" s="278"/>
      <c r="D4" s="278"/>
      <c r="G4" s="276" t="s">
        <v>341</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5" t="str">
        <f>IF(Summary!C6="","",Summary!C6)</f>
        <v/>
      </c>
      <c r="D7" s="286"/>
      <c r="E7" s="16"/>
      <c r="G7" s="276"/>
      <c r="H7" s="276"/>
      <c r="I7" s="276"/>
      <c r="J7" s="276"/>
      <c r="K7" s="276"/>
    </row>
    <row r="8" spans="1:11" s="17" customFormat="1" ht="22.15" customHeight="1">
      <c r="B8" s="26" t="s">
        <v>217</v>
      </c>
      <c r="C8" s="285" t="str">
        <f>IF(Summary!C7="","",Summary!C7)</f>
        <v/>
      </c>
      <c r="D8" s="286"/>
      <c r="E8" s="16"/>
      <c r="G8" s="276"/>
      <c r="H8" s="276"/>
      <c r="I8" s="276"/>
      <c r="J8" s="276"/>
      <c r="K8" s="276"/>
    </row>
    <row r="9" spans="1:11" s="17" customFormat="1" ht="22.15" customHeight="1">
      <c r="B9" s="62" t="s">
        <v>70</v>
      </c>
      <c r="C9" s="136"/>
      <c r="D9" s="27" t="s">
        <v>68</v>
      </c>
      <c r="E9" s="16"/>
      <c r="G9" s="276"/>
      <c r="H9" s="276"/>
      <c r="I9" s="276"/>
      <c r="J9" s="276"/>
      <c r="K9" s="276"/>
    </row>
    <row r="10" spans="1:11" s="17" customFormat="1" ht="22.15" customHeight="1">
      <c r="B10" s="62" t="s">
        <v>45</v>
      </c>
      <c r="C10" s="136"/>
      <c r="D10" s="27" t="s">
        <v>39</v>
      </c>
      <c r="E10" s="16"/>
      <c r="G10" s="276"/>
      <c r="H10" s="276"/>
      <c r="I10" s="276"/>
      <c r="J10" s="276"/>
      <c r="K10" s="276"/>
    </row>
    <row r="11" spans="1:11" s="17" customFormat="1" ht="22.15" customHeight="1">
      <c r="B11" s="62" t="s">
        <v>55</v>
      </c>
      <c r="C11" s="136"/>
      <c r="D11" s="61" t="s">
        <v>27</v>
      </c>
      <c r="E11" s="16"/>
      <c r="G11" s="276"/>
      <c r="H11" s="276"/>
      <c r="I11" s="276"/>
      <c r="J11" s="276"/>
      <c r="K11" s="276"/>
    </row>
    <row r="12" spans="1:11" s="17" customFormat="1" ht="22.15" customHeight="1">
      <c r="B12" s="26" t="s">
        <v>56</v>
      </c>
      <c r="C12" s="137"/>
      <c r="D12" s="27" t="s">
        <v>57</v>
      </c>
      <c r="E12" s="16"/>
      <c r="G12" s="276"/>
      <c r="H12" s="276"/>
      <c r="I12" s="276"/>
      <c r="J12" s="276"/>
      <c r="K12" s="276"/>
    </row>
    <row r="13" spans="1:11" s="17" customFormat="1" ht="22.15" customHeight="1" thickBot="1">
      <c r="B13" s="28" t="s">
        <v>178</v>
      </c>
      <c r="C13" s="148"/>
      <c r="D13" s="29" t="s">
        <v>59</v>
      </c>
      <c r="E13" s="16"/>
      <c r="G13" s="276"/>
      <c r="H13" s="276"/>
      <c r="I13" s="276"/>
      <c r="J13" s="276"/>
      <c r="K13" s="276"/>
    </row>
    <row r="14" spans="1:11" s="17" customFormat="1" ht="7.9" customHeight="1" thickBot="1">
      <c r="B14" s="30"/>
      <c r="C14" s="30"/>
      <c r="D14" s="30"/>
      <c r="E14" s="16"/>
      <c r="G14" s="276"/>
      <c r="H14" s="276"/>
      <c r="I14" s="276"/>
      <c r="J14" s="276"/>
      <c r="K14" s="276"/>
    </row>
    <row r="15" spans="1:11" s="17" customFormat="1" ht="22.15" customHeight="1">
      <c r="B15" s="139" t="s">
        <v>29</v>
      </c>
      <c r="C15" s="152" t="str">
        <f>IFERROR('Ag Measures Calcs'!F58,"")</f>
        <v/>
      </c>
      <c r="D15" s="141" t="s">
        <v>1</v>
      </c>
      <c r="E15" s="16"/>
      <c r="G15" s="276"/>
      <c r="H15" s="276"/>
      <c r="I15" s="276"/>
      <c r="J15" s="276"/>
      <c r="K15" s="276"/>
    </row>
    <row r="16" spans="1:11" s="17" customFormat="1" ht="22.15" customHeight="1">
      <c r="B16" s="142" t="s">
        <v>31</v>
      </c>
      <c r="C16" s="153" t="str">
        <f>IFERROR('Ag Measure'!G58,"")</f>
        <v/>
      </c>
      <c r="D16" s="144" t="s">
        <v>32</v>
      </c>
      <c r="E16" s="16"/>
      <c r="G16" s="276"/>
      <c r="H16" s="276"/>
      <c r="I16" s="276"/>
      <c r="J16" s="276"/>
      <c r="K16" s="276"/>
    </row>
    <row r="17" spans="2:11" s="17" customFormat="1" ht="22.15" customHeight="1" thickBot="1">
      <c r="B17" s="145" t="s">
        <v>30</v>
      </c>
      <c r="C17" s="154" t="str">
        <f>IF(OR(C9="",C10="",C11="",C12="",C13=""),"",MIN('Ag Measures Calcs'!$H$58,C13))</f>
        <v/>
      </c>
      <c r="D17" s="147" t="s">
        <v>59</v>
      </c>
      <c r="E17" s="16"/>
      <c r="G17" s="276"/>
      <c r="H17" s="276"/>
      <c r="I17" s="276"/>
      <c r="J17" s="276"/>
      <c r="K17" s="276"/>
    </row>
    <row r="18" spans="2:11" s="13" customFormat="1" ht="9" customHeight="1"/>
    <row r="19" spans="2:11" hidden="1">
      <c r="B19" s="52"/>
    </row>
  </sheetData>
  <sheetProtection algorithmName="SHA-512" hashValue="4jvt98GBdh10bfgPM30OX2BSIomeaX1y36HHI1EFSHnZM/kZECNZw+MSA77SzbLfHCrY37jDdwny94+1uoPFpg==" saltValue="Q2cvI6D5BDfpPsk0JpYy1Q==" spinCount="100000" sheet="1" formatColumns="0"/>
  <mergeCells count="8">
    <mergeCell ref="G3:I3"/>
    <mergeCell ref="G4:K15"/>
    <mergeCell ref="G16:K17"/>
    <mergeCell ref="B3:D3"/>
    <mergeCell ref="B4:D4"/>
    <mergeCell ref="C6:D6"/>
    <mergeCell ref="C7:D7"/>
    <mergeCell ref="C8:D8"/>
  </mergeCells>
  <dataValidations count="1">
    <dataValidation showInputMessage="1" showErrorMessage="1" sqref="C13" xr:uid="{15EB9DB9-F910-4FB3-BB09-5CF7C51F5FA4}"/>
  </dataValidations>
  <pageMargins left="0.5" right="0.5" top="0.5" bottom="0.5" header="0.3" footer="0.3"/>
  <pageSetup orientation="portrait" r:id="rId1"/>
  <ignoredErrors>
    <ignoredError sqref="C16 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Calcs'!$B$48:$B$49</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59999389629810485"/>
  </sheetPr>
  <dimension ref="A1:K18"/>
  <sheetViews>
    <sheetView zoomScaleNormal="100" workbookViewId="0">
      <selection activeCell="C10" sqref="C10:C12"/>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79" t="s">
        <v>252</v>
      </c>
      <c r="C3" s="280"/>
      <c r="D3" s="280"/>
      <c r="G3" s="277" t="s">
        <v>229</v>
      </c>
      <c r="H3" s="277"/>
      <c r="I3" s="277"/>
    </row>
    <row r="4" spans="1:11" ht="28.9" customHeight="1">
      <c r="A4" s="14"/>
      <c r="B4" s="278" t="s">
        <v>8</v>
      </c>
      <c r="C4" s="278"/>
      <c r="D4" s="278"/>
      <c r="G4" s="276" t="s">
        <v>368</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5" t="str">
        <f>IF(Summary!C6="","",Summary!C6)</f>
        <v/>
      </c>
      <c r="D7" s="286"/>
      <c r="E7" s="16"/>
      <c r="G7" s="276"/>
      <c r="H7" s="276"/>
      <c r="I7" s="276"/>
      <c r="J7" s="276"/>
      <c r="K7" s="276"/>
    </row>
    <row r="8" spans="1:11" s="17" customFormat="1" ht="22.15" customHeight="1">
      <c r="B8" s="26" t="s">
        <v>217</v>
      </c>
      <c r="C8" s="285" t="str">
        <f>IF(Summary!C7="","",Summary!C7)</f>
        <v/>
      </c>
      <c r="D8" s="286"/>
      <c r="E8" s="16"/>
      <c r="G8" s="276"/>
      <c r="H8" s="276"/>
      <c r="I8" s="276"/>
      <c r="J8" s="276"/>
      <c r="K8" s="276"/>
    </row>
    <row r="9" spans="1:11" s="17" customFormat="1" ht="22.15" customHeight="1">
      <c r="B9" s="62" t="str">
        <f>Summary!B8</f>
        <v>Weather Location</v>
      </c>
      <c r="C9" s="287">
        <f>Summary!C8</f>
        <v>0</v>
      </c>
      <c r="D9" s="288"/>
      <c r="E9" s="16"/>
      <c r="G9" s="276"/>
      <c r="H9" s="276"/>
      <c r="I9" s="276"/>
      <c r="J9" s="276"/>
      <c r="K9" s="276"/>
    </row>
    <row r="10" spans="1:11" s="17" customFormat="1" ht="22.15" customHeight="1">
      <c r="B10" s="62" t="s">
        <v>71</v>
      </c>
      <c r="C10" s="136"/>
      <c r="D10" s="27" t="s">
        <v>68</v>
      </c>
      <c r="E10" s="16"/>
      <c r="G10" s="276"/>
      <c r="H10" s="276"/>
      <c r="I10" s="276"/>
      <c r="J10" s="276"/>
      <c r="K10" s="276"/>
    </row>
    <row r="11" spans="1:11" s="17" customFormat="1" ht="22.15" customHeight="1">
      <c r="B11" s="62" t="s">
        <v>72</v>
      </c>
      <c r="C11" s="136"/>
      <c r="D11" s="92" t="s">
        <v>77</v>
      </c>
      <c r="E11" s="16"/>
      <c r="G11" s="276"/>
      <c r="H11" s="276"/>
      <c r="I11" s="276"/>
      <c r="J11" s="276"/>
      <c r="K11" s="276"/>
    </row>
    <row r="12" spans="1:11" s="17" customFormat="1" ht="22.15" customHeight="1" thickBot="1">
      <c r="B12" s="28" t="s">
        <v>178</v>
      </c>
      <c r="C12" s="149"/>
      <c r="D12" s="29" t="s">
        <v>59</v>
      </c>
      <c r="E12" s="16"/>
      <c r="G12" s="276"/>
      <c r="H12" s="276"/>
      <c r="I12" s="276"/>
      <c r="J12" s="276"/>
      <c r="K12" s="276"/>
    </row>
    <row r="13" spans="1:11" s="17" customFormat="1" ht="7.9" customHeight="1" thickBot="1">
      <c r="B13" s="30"/>
      <c r="C13" s="30"/>
      <c r="D13" s="30"/>
      <c r="E13" s="16"/>
      <c r="G13" s="276"/>
      <c r="H13" s="276"/>
      <c r="I13" s="276"/>
      <c r="J13" s="276"/>
      <c r="K13" s="276"/>
    </row>
    <row r="14" spans="1:11" s="17" customFormat="1" ht="22.15" customHeight="1">
      <c r="B14" s="139" t="s">
        <v>29</v>
      </c>
      <c r="C14" s="150" t="str">
        <f>IFERROR('Ag Measures Calcs'!$G$61,"")</f>
        <v/>
      </c>
      <c r="D14" s="141" t="s">
        <v>1</v>
      </c>
      <c r="E14" s="16"/>
      <c r="G14" s="276"/>
      <c r="H14" s="276"/>
      <c r="I14" s="276"/>
      <c r="J14" s="276"/>
      <c r="K14" s="276"/>
    </row>
    <row r="15" spans="1:11" s="17" customFormat="1" ht="22.15" customHeight="1">
      <c r="B15" s="142" t="s">
        <v>31</v>
      </c>
      <c r="C15" s="151" t="str">
        <f>IFERROR('Ag Measures Calcs'!$H$61,"")</f>
        <v/>
      </c>
      <c r="D15" s="144" t="s">
        <v>32</v>
      </c>
      <c r="E15" s="16"/>
      <c r="G15" s="276"/>
      <c r="H15" s="276"/>
      <c r="I15" s="276"/>
      <c r="J15" s="276"/>
      <c r="K15" s="276"/>
    </row>
    <row r="16" spans="1:11" s="17" customFormat="1" ht="22.15" customHeight="1" thickBot="1">
      <c r="B16" s="145" t="s">
        <v>30</v>
      </c>
      <c r="C16" s="146" t="str">
        <f>IF(OR(C10="",C11="",C12=""),"",MIN('Ag Measures Calcs'!$I$61,C12))</f>
        <v/>
      </c>
      <c r="D16" s="147" t="s">
        <v>59</v>
      </c>
      <c r="E16" s="16"/>
      <c r="G16" s="276"/>
      <c r="H16" s="276"/>
      <c r="I16" s="276"/>
      <c r="J16" s="276"/>
      <c r="K16" s="276"/>
    </row>
    <row r="17" spans="2:2" s="13" customFormat="1" ht="9" customHeight="1"/>
    <row r="18" spans="2:2" hidden="1">
      <c r="B18" s="52"/>
    </row>
  </sheetData>
  <sheetProtection algorithmName="SHA-512" hashValue="60rW91V4O9d4bdidYVuNtz1mzZrhtTEAzl0TAcq5tHtVns/JtqP5bK61DzNb1s0dWHSOqboXK3mhebvkc/isbQ==" saltValue="6MBpDZQNkQ8O2BMjXuTuqg==" spinCount="100000" sheet="1" formatColumns="0"/>
  <mergeCells count="8">
    <mergeCell ref="G3:I3"/>
    <mergeCell ref="G4:K16"/>
    <mergeCell ref="B3:D3"/>
    <mergeCell ref="B4:D4"/>
    <mergeCell ref="C6:D6"/>
    <mergeCell ref="C7:D7"/>
    <mergeCell ref="C8:D8"/>
    <mergeCell ref="C9:D9"/>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'Ag Measures Calcs'!$E$3:$E$11</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59999389629810485"/>
  </sheetPr>
  <dimension ref="A1:K19"/>
  <sheetViews>
    <sheetView zoomScaleNormal="100" workbookViewId="0">
      <selection activeCell="C9" sqref="C9:C13"/>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22" customWidth="1"/>
    <col min="12" max="16384" width="8.75" style="14" hidden="1"/>
  </cols>
  <sheetData>
    <row r="1" spans="1:11">
      <c r="A1" s="53"/>
      <c r="G1" s="14"/>
      <c r="H1" s="14"/>
      <c r="I1" s="14"/>
      <c r="J1" s="14"/>
      <c r="K1" s="14"/>
    </row>
    <row r="2" spans="1:11" s="13" customFormat="1" ht="9.75" customHeight="1"/>
    <row r="3" spans="1:11" ht="34.5" customHeight="1">
      <c r="A3" s="14"/>
      <c r="B3" s="279" t="s">
        <v>333</v>
      </c>
      <c r="C3" s="280"/>
      <c r="D3" s="280"/>
      <c r="G3" s="277" t="s">
        <v>229</v>
      </c>
      <c r="H3" s="277"/>
      <c r="I3" s="277"/>
      <c r="J3" s="14"/>
      <c r="K3" s="14"/>
    </row>
    <row r="4" spans="1:11" ht="28.9" customHeight="1">
      <c r="A4" s="14"/>
      <c r="B4" s="278" t="s">
        <v>8</v>
      </c>
      <c r="C4" s="278"/>
      <c r="D4" s="278"/>
      <c r="G4" s="289" t="s">
        <v>230</v>
      </c>
      <c r="H4" s="289"/>
      <c r="I4" s="289"/>
      <c r="J4" s="289"/>
      <c r="K4" s="289"/>
    </row>
    <row r="5" spans="1:11" ht="9" customHeight="1" thickBot="1">
      <c r="A5" s="14"/>
      <c r="B5" s="15"/>
      <c r="C5" s="15"/>
      <c r="D5" s="13"/>
      <c r="G5" s="289"/>
      <c r="H5" s="289"/>
      <c r="I5" s="289"/>
      <c r="J5" s="289"/>
      <c r="K5" s="289"/>
    </row>
    <row r="6" spans="1:11" s="17" customFormat="1" ht="22.15" customHeight="1">
      <c r="B6" s="139" t="s">
        <v>0</v>
      </c>
      <c r="C6" s="281" t="str">
        <f>IF(Summary!C5="","",Summary!C5)</f>
        <v/>
      </c>
      <c r="D6" s="282"/>
      <c r="E6" s="16"/>
      <c r="G6" s="289"/>
      <c r="H6" s="289"/>
      <c r="I6" s="289"/>
      <c r="J6" s="289"/>
      <c r="K6" s="289"/>
    </row>
    <row r="7" spans="1:11" s="17" customFormat="1" ht="22.15" customHeight="1">
      <c r="B7" s="155" t="s">
        <v>216</v>
      </c>
      <c r="C7" s="285" t="str">
        <f>IF(Summary!C6="","",Summary!C6)</f>
        <v/>
      </c>
      <c r="D7" s="286"/>
      <c r="E7" s="16"/>
      <c r="G7" s="289"/>
      <c r="H7" s="289"/>
      <c r="I7" s="289"/>
      <c r="J7" s="289"/>
      <c r="K7" s="289"/>
    </row>
    <row r="8" spans="1:11" s="17" customFormat="1" ht="22.15" customHeight="1">
      <c r="B8" s="155" t="s">
        <v>217</v>
      </c>
      <c r="C8" s="285" t="str">
        <f>IF(Summary!C7="","",Summary!C7)</f>
        <v/>
      </c>
      <c r="D8" s="286"/>
      <c r="E8" s="16"/>
      <c r="G8" s="289"/>
      <c r="H8" s="289"/>
      <c r="I8" s="289"/>
      <c r="J8" s="289"/>
      <c r="K8" s="289"/>
    </row>
    <row r="9" spans="1:11" s="17" customFormat="1" ht="22.15" customHeight="1">
      <c r="B9" s="26" t="s">
        <v>91</v>
      </c>
      <c r="C9" s="156"/>
      <c r="D9" s="27" t="s">
        <v>92</v>
      </c>
      <c r="E9" s="16"/>
      <c r="G9" s="289"/>
      <c r="H9" s="289"/>
      <c r="I9" s="289"/>
      <c r="J9" s="289"/>
      <c r="K9" s="289"/>
    </row>
    <row r="10" spans="1:11" s="17" customFormat="1" ht="22.15" customHeight="1">
      <c r="B10" s="26" t="s">
        <v>93</v>
      </c>
      <c r="C10" s="157"/>
      <c r="D10" s="27" t="s">
        <v>96</v>
      </c>
      <c r="E10" s="16"/>
      <c r="G10" s="289"/>
      <c r="H10" s="289"/>
      <c r="I10" s="289"/>
      <c r="J10" s="289"/>
      <c r="K10" s="289"/>
    </row>
    <row r="11" spans="1:11" s="17" customFormat="1" ht="22.15" customHeight="1">
      <c r="B11" s="26" t="s">
        <v>97</v>
      </c>
      <c r="C11" s="156"/>
      <c r="D11" s="27" t="s">
        <v>74</v>
      </c>
      <c r="E11" s="16"/>
      <c r="G11" s="289"/>
      <c r="H11" s="289"/>
      <c r="I11" s="289"/>
      <c r="J11" s="289"/>
      <c r="K11" s="289"/>
    </row>
    <row r="12" spans="1:11" s="17" customFormat="1" ht="22.15" customHeight="1">
      <c r="B12" s="62" t="s">
        <v>100</v>
      </c>
      <c r="C12" s="158"/>
      <c r="D12" s="92" t="s">
        <v>41</v>
      </c>
      <c r="E12" s="16"/>
      <c r="G12" s="289"/>
      <c r="H12" s="289"/>
      <c r="I12" s="289"/>
      <c r="J12" s="289"/>
      <c r="K12" s="289"/>
    </row>
    <row r="13" spans="1:11" s="17" customFormat="1" ht="22.15" customHeight="1" thickBot="1">
      <c r="B13" s="28" t="s">
        <v>178</v>
      </c>
      <c r="C13" s="159"/>
      <c r="D13" s="29" t="s">
        <v>59</v>
      </c>
      <c r="E13" s="16"/>
      <c r="G13" s="289"/>
      <c r="H13" s="289"/>
      <c r="I13" s="289"/>
      <c r="J13" s="289"/>
      <c r="K13" s="289"/>
    </row>
    <row r="14" spans="1:11" s="17" customFormat="1" ht="7.9" customHeight="1" thickBot="1">
      <c r="B14" s="30"/>
      <c r="C14" s="30"/>
      <c r="D14" s="30"/>
      <c r="E14" s="16"/>
      <c r="G14" s="289"/>
      <c r="H14" s="289"/>
      <c r="I14" s="289"/>
      <c r="J14" s="289"/>
      <c r="K14" s="289"/>
    </row>
    <row r="15" spans="1:11" s="17" customFormat="1" ht="22.15" customHeight="1">
      <c r="B15" s="139" t="s">
        <v>29</v>
      </c>
      <c r="C15" s="150" t="str">
        <f>IFERROR('Ag Measures Calcs'!$J$64,"")</f>
        <v/>
      </c>
      <c r="D15" s="141" t="s">
        <v>1</v>
      </c>
      <c r="E15" s="16"/>
      <c r="G15" s="289"/>
      <c r="H15" s="289"/>
      <c r="I15" s="289"/>
      <c r="J15" s="289"/>
      <c r="K15" s="289"/>
    </row>
    <row r="16" spans="1:11" s="17" customFormat="1" ht="22.15" customHeight="1">
      <c r="B16" s="142" t="s">
        <v>31</v>
      </c>
      <c r="C16" s="151" t="str">
        <f>IFERROR('Ag Measures Calcs'!$K$64,"")</f>
        <v/>
      </c>
      <c r="D16" s="144" t="s">
        <v>32</v>
      </c>
      <c r="E16" s="16"/>
      <c r="G16" s="289"/>
      <c r="H16" s="289"/>
      <c r="I16" s="289"/>
      <c r="J16" s="289"/>
      <c r="K16" s="289"/>
    </row>
    <row r="17" spans="2:11" s="17" customFormat="1" ht="22.15" customHeight="1" thickBot="1">
      <c r="B17" s="145" t="s">
        <v>30</v>
      </c>
      <c r="C17" s="163" t="str">
        <f>IF(OR(C9="",C10="",C11="",C12="",C13=""),"",MIN('Ag Measures Calcs'!$L$64,C13))</f>
        <v/>
      </c>
      <c r="D17" s="147" t="s">
        <v>59</v>
      </c>
      <c r="E17" s="16"/>
      <c r="G17" s="289"/>
      <c r="H17" s="289"/>
      <c r="I17" s="289"/>
      <c r="J17" s="289"/>
      <c r="K17" s="289"/>
    </row>
    <row r="18" spans="2:11" s="13" customFormat="1" ht="17.25" customHeight="1">
      <c r="G18" s="289"/>
      <c r="H18" s="289"/>
      <c r="I18" s="289"/>
      <c r="J18" s="289"/>
      <c r="K18" s="289"/>
    </row>
    <row r="19" spans="2:11" ht="14.25" hidden="1" customHeight="1">
      <c r="B19" s="52"/>
    </row>
  </sheetData>
  <sheetProtection algorithmName="SHA-512" hashValue="aMhjC0h1esay4RghGYxuyKb5FBQqnTfdOb2xFX+93n2xjJnv7asn0qG7YbCwDqXUYe7ZPUhfDvQ2tgOp3yK/0g==" saltValue="L7CXVjH6i9bKvA7W0cWjXg==" spinCount="100000" sheet="1" formatColumns="0"/>
  <mergeCells count="7">
    <mergeCell ref="C8:D8"/>
    <mergeCell ref="G4:K18"/>
    <mergeCell ref="G3:I3"/>
    <mergeCell ref="B3:D3"/>
    <mergeCell ref="B4:D4"/>
    <mergeCell ref="C6:D6"/>
    <mergeCell ref="C7:D7"/>
  </mergeCells>
  <pageMargins left="0.5" right="0.5" top="0.5" bottom="0.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59999389629810485"/>
  </sheetPr>
  <dimension ref="A1:K22"/>
  <sheetViews>
    <sheetView zoomScaleNormal="100" workbookViewId="0">
      <selection activeCell="C10" sqref="C10:C16"/>
    </sheetView>
  </sheetViews>
  <sheetFormatPr defaultColWidth="8.75" defaultRowHeight="14.25"/>
  <cols>
    <col min="1" max="1" width="3.625" style="13" customWidth="1"/>
    <col min="2" max="2" width="3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cols>
  <sheetData>
    <row r="1" spans="1:11">
      <c r="A1" s="53"/>
    </row>
    <row r="2" spans="1:11" s="13" customFormat="1" ht="9.75" customHeight="1"/>
    <row r="3" spans="1:11" ht="34.5" customHeight="1">
      <c r="A3" s="14"/>
      <c r="B3" s="279" t="s">
        <v>334</v>
      </c>
      <c r="C3" s="280"/>
      <c r="D3" s="280"/>
      <c r="G3" s="277" t="s">
        <v>229</v>
      </c>
      <c r="H3" s="277"/>
      <c r="I3" s="277"/>
    </row>
    <row r="4" spans="1:11" ht="28.9" customHeight="1">
      <c r="A4" s="14"/>
      <c r="B4" s="278" t="s">
        <v>8</v>
      </c>
      <c r="C4" s="278"/>
      <c r="D4" s="278"/>
      <c r="G4" s="276" t="s">
        <v>240</v>
      </c>
      <c r="H4" s="276"/>
      <c r="I4" s="276"/>
      <c r="J4" s="276"/>
      <c r="K4" s="276"/>
    </row>
    <row r="5" spans="1:11" ht="9" customHeight="1" thickBot="1">
      <c r="A5" s="14"/>
      <c r="B5" s="15"/>
      <c r="C5" s="15"/>
      <c r="D5" s="13"/>
      <c r="G5" s="276"/>
      <c r="H5" s="276"/>
      <c r="I5" s="276"/>
      <c r="J5" s="276"/>
      <c r="K5" s="276"/>
    </row>
    <row r="6" spans="1:11" s="17" customFormat="1" ht="22.15" customHeight="1">
      <c r="B6" s="25" t="s">
        <v>0</v>
      </c>
      <c r="C6" s="281" t="str">
        <f>IF(Summary!C5="","",Summary!C5)</f>
        <v/>
      </c>
      <c r="D6" s="282"/>
      <c r="E6" s="16"/>
      <c r="G6" s="276"/>
      <c r="H6" s="276"/>
      <c r="I6" s="276"/>
      <c r="J6" s="276"/>
      <c r="K6" s="276"/>
    </row>
    <row r="7" spans="1:11" s="17" customFormat="1" ht="22.15" customHeight="1">
      <c r="B7" s="26" t="s">
        <v>216</v>
      </c>
      <c r="C7" s="285" t="str">
        <f>IF(Summary!C6="","",Summary!C6)</f>
        <v/>
      </c>
      <c r="D7" s="286"/>
      <c r="E7" s="16"/>
      <c r="G7" s="276"/>
      <c r="H7" s="276"/>
      <c r="I7" s="276"/>
      <c r="J7" s="276"/>
      <c r="K7" s="276"/>
    </row>
    <row r="8" spans="1:11" s="17" customFormat="1" ht="22.15" customHeight="1">
      <c r="B8" s="26" t="s">
        <v>217</v>
      </c>
      <c r="C8" s="285" t="str">
        <f>IF(Summary!C7="","",Summary!C7)</f>
        <v/>
      </c>
      <c r="D8" s="286"/>
      <c r="E8" s="16"/>
      <c r="G8" s="276"/>
      <c r="H8" s="276"/>
      <c r="I8" s="276"/>
      <c r="J8" s="276"/>
      <c r="K8" s="276"/>
    </row>
    <row r="9" spans="1:11" s="17" customFormat="1" ht="22.15" customHeight="1">
      <c r="B9" s="26" t="s">
        <v>354</v>
      </c>
      <c r="C9" s="202" t="str">
        <f>IF(Summary!$C$8="","",Summary!$C$8)</f>
        <v/>
      </c>
      <c r="D9" s="203"/>
      <c r="E9" s="16"/>
      <c r="G9" s="276"/>
      <c r="H9" s="276"/>
      <c r="I9" s="276"/>
      <c r="J9" s="276"/>
      <c r="K9" s="276"/>
    </row>
    <row r="10" spans="1:11" s="17" customFormat="1" ht="22.15" customHeight="1">
      <c r="B10" s="26" t="s">
        <v>114</v>
      </c>
      <c r="C10" s="156"/>
      <c r="D10" s="27" t="s">
        <v>68</v>
      </c>
      <c r="E10" s="16"/>
      <c r="G10" s="276"/>
      <c r="H10" s="276"/>
      <c r="I10" s="276"/>
      <c r="J10" s="276"/>
      <c r="K10" s="276"/>
    </row>
    <row r="11" spans="1:11" s="17" customFormat="1" ht="22.15" customHeight="1">
      <c r="B11" s="62" t="s">
        <v>244</v>
      </c>
      <c r="C11" s="136"/>
      <c r="D11" s="92" t="s">
        <v>117</v>
      </c>
      <c r="E11" s="16"/>
      <c r="G11" s="276"/>
      <c r="H11" s="276"/>
      <c r="I11" s="276"/>
      <c r="J11" s="276"/>
      <c r="K11" s="276"/>
    </row>
    <row r="12" spans="1:11" s="17" customFormat="1" ht="22.15" customHeight="1">
      <c r="B12" s="26" t="s">
        <v>115</v>
      </c>
      <c r="C12" s="156"/>
      <c r="D12" s="27" t="s">
        <v>68</v>
      </c>
      <c r="E12" s="16"/>
      <c r="G12" s="276"/>
      <c r="H12" s="276"/>
      <c r="I12" s="276"/>
      <c r="J12" s="276"/>
      <c r="K12" s="276"/>
    </row>
    <row r="13" spans="1:11" s="17" customFormat="1" ht="22.15" customHeight="1">
      <c r="B13" s="62" t="s">
        <v>245</v>
      </c>
      <c r="C13" s="136"/>
      <c r="D13" s="92" t="s">
        <v>117</v>
      </c>
      <c r="E13" s="16"/>
      <c r="G13" s="276"/>
      <c r="H13" s="276"/>
      <c r="I13" s="276"/>
      <c r="J13" s="276"/>
      <c r="K13" s="276"/>
    </row>
    <row r="14" spans="1:11" s="17" customFormat="1" ht="22.15" customHeight="1">
      <c r="B14" s="62" t="s">
        <v>241</v>
      </c>
      <c r="C14" s="136"/>
      <c r="D14" s="92" t="s">
        <v>242</v>
      </c>
      <c r="E14" s="16"/>
      <c r="G14" s="276"/>
      <c r="H14" s="276"/>
      <c r="I14" s="276"/>
      <c r="J14" s="276"/>
      <c r="K14" s="276"/>
    </row>
    <row r="15" spans="1:11" s="17" customFormat="1" ht="22.15" customHeight="1">
      <c r="B15" s="26" t="s">
        <v>118</v>
      </c>
      <c r="C15" s="166"/>
      <c r="D15" s="27" t="s">
        <v>127</v>
      </c>
      <c r="E15" s="16"/>
      <c r="G15" s="276"/>
      <c r="H15" s="276"/>
      <c r="I15" s="276"/>
      <c r="J15" s="276"/>
      <c r="K15" s="276"/>
    </row>
    <row r="16" spans="1:11" s="17" customFormat="1" ht="22.15" customHeight="1" thickBot="1">
      <c r="B16" s="28" t="s">
        <v>178</v>
      </c>
      <c r="C16" s="149"/>
      <c r="D16" s="29" t="s">
        <v>59</v>
      </c>
      <c r="E16" s="16"/>
      <c r="G16" s="276"/>
      <c r="H16" s="276"/>
      <c r="I16" s="276"/>
      <c r="J16" s="276"/>
      <c r="K16" s="276"/>
    </row>
    <row r="17" spans="1:11" s="17" customFormat="1" ht="22.15" customHeight="1">
      <c r="B17" s="30"/>
      <c r="C17" s="30"/>
      <c r="D17" s="30"/>
      <c r="E17" s="16"/>
      <c r="G17" s="276"/>
      <c r="H17" s="276"/>
      <c r="I17" s="276"/>
      <c r="J17" s="276"/>
      <c r="K17" s="276"/>
    </row>
    <row r="18" spans="1:11" s="17" customFormat="1" ht="22.15" customHeight="1">
      <c r="B18" s="155" t="s">
        <v>176</v>
      </c>
      <c r="C18" s="165" t="str">
        <f>IF(C10="","",'Ag Measures Calcs'!K67)</f>
        <v/>
      </c>
      <c r="D18" s="162" t="s">
        <v>1</v>
      </c>
      <c r="E18" s="16"/>
      <c r="G18" s="276"/>
      <c r="H18" s="276"/>
      <c r="I18" s="276"/>
      <c r="J18" s="276"/>
      <c r="K18" s="276"/>
    </row>
    <row r="19" spans="1:11" s="13" customFormat="1" ht="21.75" customHeight="1">
      <c r="A19" s="17"/>
      <c r="B19" s="155" t="s">
        <v>31</v>
      </c>
      <c r="C19" s="165" t="str">
        <f>IFERROR('Ag Measures Calcs'!L67,"")</f>
        <v/>
      </c>
      <c r="D19" s="162" t="s">
        <v>32</v>
      </c>
    </row>
    <row r="20" spans="1:11" ht="15" thickBot="1">
      <c r="A20" s="17"/>
      <c r="B20" s="145" t="s">
        <v>30</v>
      </c>
      <c r="C20" s="154" t="str">
        <f>IF(OR(C10="",C12="",C13="",C14="",C15="",C18="",C16=""),"",MIN('Ag Measure'!M67,C16))</f>
        <v/>
      </c>
      <c r="D20" s="147" t="s">
        <v>59</v>
      </c>
    </row>
    <row r="21" spans="1:11">
      <c r="B21" s="13"/>
      <c r="C21" s="13"/>
      <c r="D21" s="13"/>
    </row>
    <row r="22" spans="1:11">
      <c r="B22" s="52"/>
    </row>
  </sheetData>
  <sheetProtection algorithmName="SHA-512" hashValue="y4okm0qqchnoMp1KlijbzglKUkoVhk6XApFGgzuDTEr7VmCevHRtNBwHGr59Yo1mwIeDMarNA/9SK0AfNFI+GQ==" saltValue="pLFJPgBzJWtw5mHGO+Sf+g==" spinCount="100000" sheet="1" formatColumns="0"/>
  <mergeCells count="7">
    <mergeCell ref="G3:I3"/>
    <mergeCell ref="G4:K18"/>
    <mergeCell ref="B3:D3"/>
    <mergeCell ref="B4:D4"/>
    <mergeCell ref="C6:D6"/>
    <mergeCell ref="C7:D7"/>
    <mergeCell ref="C8:D8"/>
  </mergeCells>
  <dataValidations count="1">
    <dataValidation type="list" allowBlank="1" showInputMessage="1" showErrorMessage="1" sqref="C14" xr:uid="{0D35FDA1-92C6-4F79-83E7-DE7C6CDD12D0}">
      <formula1>"Yes, No"</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70EE2C09-0B67-4374-99B1-7743BD891EB3}">
          <x14:formula1>
            <xm:f>'Ag Measures Calcs'!$H$48:$H$51</xm:f>
          </x14:formula1>
          <xm:sqref>C11</xm:sqref>
        </x14:dataValidation>
        <x14:dataValidation type="list" allowBlank="1" showInputMessage="1" showErrorMessage="1" xr:uid="{AC476F8A-2724-4F2A-8CAA-0CF8E2DB19E7}">
          <x14:formula1>
            <xm:f>'Ag Measures Calcs'!$S$52:$S$56</xm:f>
          </x14:formula1>
          <xm:sqref>C15</xm:sqref>
        </x14:dataValidation>
        <x14:dataValidation type="list" allowBlank="1" showInputMessage="1" showErrorMessage="1" xr:uid="{8C1A37DA-AAEC-42D5-B5EE-DFC9D418D292}">
          <x14:formula1>
            <xm:f>'Ag Measure'!$H$48:$H$51</xm:f>
          </x14:formula1>
          <xm:sqref>C13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8" tint="0.59999389629810485"/>
  </sheetPr>
  <dimension ref="A1:K20"/>
  <sheetViews>
    <sheetView zoomScaleNormal="100" workbookViewId="0">
      <selection activeCell="C9" sqref="C9:C14"/>
    </sheetView>
  </sheetViews>
  <sheetFormatPr defaultColWidth="0" defaultRowHeight="14.25" zeroHeight="1"/>
  <cols>
    <col min="1" max="1" width="3.625" style="13" customWidth="1"/>
    <col min="2" max="2" width="34.6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79" t="s">
        <v>335</v>
      </c>
      <c r="C3" s="279"/>
      <c r="D3" s="279"/>
      <c r="G3" s="277" t="s">
        <v>229</v>
      </c>
      <c r="H3" s="277"/>
      <c r="I3" s="277"/>
    </row>
    <row r="4" spans="1:11" ht="28.9" customHeight="1">
      <c r="A4" s="14"/>
      <c r="B4" s="278" t="s">
        <v>8</v>
      </c>
      <c r="C4" s="278"/>
      <c r="D4" s="278"/>
      <c r="G4" s="290" t="s">
        <v>239</v>
      </c>
      <c r="H4" s="290"/>
      <c r="I4" s="290"/>
      <c r="J4" s="290"/>
      <c r="K4" s="290"/>
    </row>
    <row r="5" spans="1:11" ht="9" customHeight="1" thickBot="1">
      <c r="A5" s="14"/>
      <c r="B5" s="15"/>
      <c r="C5" s="15"/>
      <c r="D5" s="13"/>
      <c r="G5" s="290"/>
      <c r="H5" s="290"/>
      <c r="I5" s="290"/>
      <c r="J5" s="290"/>
      <c r="K5" s="290"/>
    </row>
    <row r="6" spans="1:11" s="17" customFormat="1" ht="22.15" customHeight="1">
      <c r="B6" s="25" t="s">
        <v>0</v>
      </c>
      <c r="C6" s="281" t="str">
        <f>IF(Summary!C5="","",Summary!C5)</f>
        <v/>
      </c>
      <c r="D6" s="282"/>
      <c r="E6" s="16"/>
      <c r="G6" s="290"/>
      <c r="H6" s="290"/>
      <c r="I6" s="290"/>
      <c r="J6" s="290"/>
      <c r="K6" s="290"/>
    </row>
    <row r="7" spans="1:11" s="17" customFormat="1" ht="22.15" customHeight="1">
      <c r="B7" s="26" t="s">
        <v>216</v>
      </c>
      <c r="C7" s="285" t="str">
        <f>IF(Summary!C6="","",Summary!C6)</f>
        <v/>
      </c>
      <c r="D7" s="286"/>
      <c r="E7" s="16"/>
      <c r="G7" s="290"/>
      <c r="H7" s="290"/>
      <c r="I7" s="290"/>
      <c r="J7" s="290"/>
      <c r="K7" s="290"/>
    </row>
    <row r="8" spans="1:11" s="17" customFormat="1" ht="22.15" customHeight="1">
      <c r="B8" s="26" t="s">
        <v>217</v>
      </c>
      <c r="C8" s="285" t="str">
        <f>IF(Summary!C7="","",Summary!C7)</f>
        <v/>
      </c>
      <c r="D8" s="286"/>
      <c r="E8" s="16"/>
      <c r="G8" s="290"/>
      <c r="H8" s="290"/>
      <c r="I8" s="290"/>
      <c r="J8" s="290"/>
      <c r="K8" s="290"/>
    </row>
    <row r="9" spans="1:11" s="17" customFormat="1" ht="22.15" customHeight="1">
      <c r="B9" s="26" t="s">
        <v>231</v>
      </c>
      <c r="C9" s="156"/>
      <c r="D9" s="162" t="s">
        <v>68</v>
      </c>
      <c r="E9" s="16"/>
      <c r="G9" s="290"/>
      <c r="H9" s="290"/>
      <c r="I9" s="290"/>
      <c r="J9" s="290"/>
      <c r="K9" s="290"/>
    </row>
    <row r="10" spans="1:11" s="17" customFormat="1" ht="22.15" customHeight="1">
      <c r="B10" s="26" t="s">
        <v>167</v>
      </c>
      <c r="C10" s="156"/>
      <c r="D10" s="27" t="s">
        <v>68</v>
      </c>
      <c r="E10" s="16"/>
      <c r="G10" s="290"/>
      <c r="H10" s="290"/>
      <c r="I10" s="290"/>
      <c r="J10" s="290"/>
      <c r="K10" s="290"/>
    </row>
    <row r="11" spans="1:11" s="17" customFormat="1" ht="22.15" customHeight="1">
      <c r="B11" s="62" t="s">
        <v>232</v>
      </c>
      <c r="C11" s="136"/>
      <c r="D11" s="92" t="s">
        <v>168</v>
      </c>
      <c r="E11" s="16"/>
      <c r="G11" s="290"/>
      <c r="H11" s="290"/>
      <c r="I11" s="290"/>
      <c r="J11" s="290"/>
      <c r="K11" s="290"/>
    </row>
    <row r="12" spans="1:11" s="17" customFormat="1" ht="22.15" customHeight="1">
      <c r="B12" s="62" t="s">
        <v>169</v>
      </c>
      <c r="C12" s="136"/>
      <c r="D12" s="92" t="s">
        <v>168</v>
      </c>
      <c r="E12" s="16"/>
      <c r="G12" s="290"/>
      <c r="H12" s="290"/>
      <c r="I12" s="290"/>
      <c r="J12" s="290"/>
      <c r="K12" s="290"/>
    </row>
    <row r="13" spans="1:11" s="17" customFormat="1" ht="21.75" customHeight="1">
      <c r="B13" s="62" t="s">
        <v>72</v>
      </c>
      <c r="C13" s="136"/>
      <c r="D13" s="92" t="s">
        <v>77</v>
      </c>
      <c r="E13" s="16"/>
      <c r="G13" s="290"/>
      <c r="H13" s="290"/>
      <c r="I13" s="290"/>
      <c r="J13" s="290"/>
      <c r="K13" s="290"/>
    </row>
    <row r="14" spans="1:11" s="17" customFormat="1" ht="22.15" customHeight="1" thickBot="1">
      <c r="B14" s="28" t="s">
        <v>178</v>
      </c>
      <c r="C14" s="149"/>
      <c r="D14" s="29" t="s">
        <v>59</v>
      </c>
      <c r="E14" s="16"/>
      <c r="G14" s="290"/>
      <c r="H14" s="290"/>
      <c r="I14" s="290"/>
      <c r="J14" s="290"/>
      <c r="K14" s="290"/>
    </row>
    <row r="15" spans="1:11" s="17" customFormat="1" ht="22.15" customHeight="1" thickBot="1">
      <c r="B15" s="30"/>
      <c r="C15" s="30"/>
      <c r="D15" s="30"/>
      <c r="E15" s="16"/>
      <c r="G15" s="290"/>
      <c r="H15" s="290"/>
      <c r="I15" s="290"/>
      <c r="J15" s="290"/>
      <c r="K15" s="290"/>
    </row>
    <row r="16" spans="1:11" s="17" customFormat="1" ht="22.15" customHeight="1" thickBot="1">
      <c r="B16" s="139" t="s">
        <v>155</v>
      </c>
      <c r="C16" s="164" t="str">
        <f>IFERROR('Ag Measures Calcs'!I71,"")</f>
        <v/>
      </c>
      <c r="D16" s="141" t="s">
        <v>1</v>
      </c>
      <c r="E16" s="16"/>
      <c r="G16" s="290"/>
      <c r="H16" s="290"/>
      <c r="I16" s="290"/>
      <c r="J16" s="290"/>
      <c r="K16" s="290"/>
    </row>
    <row r="17" spans="1:4" s="13" customFormat="1" ht="21.75" customHeight="1">
      <c r="A17" s="17"/>
      <c r="B17" s="155" t="s">
        <v>31</v>
      </c>
      <c r="C17" s="164" t="str">
        <f>IFERROR('Ag Measures Calcs'!J71,"")</f>
        <v/>
      </c>
      <c r="D17" s="162" t="s">
        <v>32</v>
      </c>
    </row>
    <row r="18" spans="1:4" ht="15" thickBot="1">
      <c r="A18" s="17"/>
      <c r="B18" s="145" t="s">
        <v>30</v>
      </c>
      <c r="C18" s="154" t="str">
        <f>IF(OR(C9="",C10="",C11="",C12="",C13="",C14=""),"",MIN('Ag Measures Calcs'!$K$71,C14))</f>
        <v/>
      </c>
      <c r="D18" s="147" t="s">
        <v>59</v>
      </c>
    </row>
    <row r="19" spans="1:4">
      <c r="B19" s="13"/>
      <c r="C19" s="13"/>
      <c r="D19" s="13"/>
    </row>
    <row r="20" spans="1:4" hidden="1">
      <c r="B20" s="52"/>
    </row>
  </sheetData>
  <sheetProtection algorithmName="SHA-512" hashValue="6VRnOQCsQKCx8vY1LLqkCrWVBgU3SwyM+ja3u67Nl8khjkFJoF+0Uf/IgpPqIwjBUUmbRLMedONdUVFqpZP60A==" saltValue="ASM5jdNcMBkzhetcSp1gHw==" spinCount="100000" sheet="1" formatColumns="0"/>
  <mergeCells count="7">
    <mergeCell ref="G3:I3"/>
    <mergeCell ref="G4:K16"/>
    <mergeCell ref="B3:D3"/>
    <mergeCell ref="B4:D4"/>
    <mergeCell ref="C6:D6"/>
    <mergeCell ref="C7:D7"/>
    <mergeCell ref="C8:D8"/>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'Ag Measures Calcs'!$AH$48:$AH$51</xm:f>
          </x14:formula1>
          <xm:sqref>C11:C12</xm:sqref>
        </x14:dataValidation>
        <x14:dataValidation type="list" allowBlank="1" showInputMessage="1" showErrorMessage="1" xr:uid="{C779E6EC-D704-4FF5-BB8F-AA599E9F6746}">
          <x14:formula1>
            <xm:f>'Ag Measures Calcs'!$E$3:$E$11</xm:f>
          </x14:formula1>
          <xm:sqref>C13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4" ma:contentTypeDescription="Create a new document." ma:contentTypeScope="" ma:versionID="b74fb153ef3ded02eb86255071a4b384">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022a87dbd28e9cfb78467d0ea1e64d1c"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documentManagement>
</p:properties>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BC37F342-512C-436C-B776-565976437BEC}"/>
</file>

<file path=customXml/itemProps3.xml><?xml version="1.0" encoding="utf-8"?>
<ds:datastoreItem xmlns:ds="http://schemas.openxmlformats.org/officeDocument/2006/customXml" ds:itemID="{37399D27-9BFE-4155-AE52-51AF6A72D0EF}">
  <ds:schemaRefs>
    <ds:schemaRef ds:uri="98788742-c24c-455f-83e9-59d89e3de440"/>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 ds:uri="http://purl.org/dc/terms/"/>
    <ds:schemaRef ds:uri="http://schemas.openxmlformats.org/package/2006/metadata/core-properties"/>
    <ds:schemaRef ds:uri="52741100-c965-4fd4-8aa7-2d9d842b1c9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Instructions</vt:lpstr>
      <vt:lpstr>Methodology</vt:lpstr>
      <vt:lpstr>Summary</vt:lpstr>
      <vt:lpstr>Auto Milker Takeoff Calculator</vt:lpstr>
      <vt:lpstr>Dairy Scroll Comp Calculator</vt:lpstr>
      <vt:lpstr>Livestock Waterer Calculator</vt:lpstr>
      <vt:lpstr>VSD Controller</vt:lpstr>
      <vt:lpstr>Hi Eff Vent Fans</vt:lpstr>
      <vt:lpstr>Hi Vol Low Speed Fans</vt:lpstr>
      <vt:lpstr>Heat Reclaimers</vt:lpstr>
      <vt:lpstr>Low Pressure Irrigation System</vt:lpstr>
      <vt:lpstr>Data Export</vt:lpstr>
      <vt:lpstr>Ag Measures Calcs</vt:lpstr>
      <vt:lpstr>Ag Measure</vt:lpstr>
      <vt:lpstr>Version Log</vt:lpstr>
      <vt:lpstr>'Auto Milker Takeoff Calculator'!Print_Area</vt:lpstr>
      <vt:lpstr>'Dairy Scroll Comp Calculator'!Print_Area</vt:lpstr>
      <vt:lpstr>'Heat Reclaimers'!Print_Area</vt:lpstr>
      <vt:lpstr>'Hi Eff Vent Fans'!Print_Area</vt:lpstr>
      <vt:lpstr>'Hi Vol Low Speed Fans'!Print_Area</vt:lpstr>
      <vt:lpstr>'Livestock Waterer Calculator'!Print_Area</vt:lpstr>
      <vt:lpstr>'Low Pressure Irrigation System'!Print_Area</vt:lpstr>
      <vt:lpstr>'VSD Controller'!Print_Area</vt:lpstr>
    </vt:vector>
  </TitlesOfParts>
  <Company>CLEAResult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Janine Morency</dc:creator>
  <cp:lastModifiedBy>Liam Kane</cp:lastModifiedBy>
  <cp:lastPrinted>2014-05-07T20:29:46Z</cp:lastPrinted>
  <dcterms:created xsi:type="dcterms:W3CDTF">2014-05-06T17:45:34Z</dcterms:created>
  <dcterms:modified xsi:type="dcterms:W3CDTF">2021-07-15T14:24:28Z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ies>
</file>